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SCHDW-David Schmeider\2023\Workpapers\Schmeider Super Fund\"/>
    </mc:Choice>
  </mc:AlternateContent>
  <xr:revisionPtr revIDLastSave="0" documentId="13_ncr:1_{55F240C4-D723-4EFE-818E-709E73F99110}" xr6:coauthVersionLast="47" xr6:coauthVersionMax="47" xr10:uidLastSave="{00000000-0000-0000-0000-000000000000}"/>
  <bookViews>
    <workbookView xWindow="28680" yWindow="-120" windowWidth="29040" windowHeight="15840" tabRatio="808" firstSheet="6" activeTab="7" xr2:uid="{00000000-000D-0000-FFFF-FFFF00000000}"/>
  </bookViews>
  <sheets>
    <sheet name="Job Summary" sheetId="13" r:id="rId1"/>
    <sheet name="Query Sheet" sheetId="7" r:id="rId2"/>
    <sheet name="Review Sheet" sheetId="8" r:id="rId3"/>
    <sheet name="Tax reconciliation" sheetId="11" r:id="rId4"/>
    <sheet name="Journals" sheetId="1" r:id="rId5"/>
    <sheet name="Super Contributions" sheetId="28" r:id="rId6"/>
    <sheet name="SBE Depn" sheetId="4" r:id="rId7"/>
    <sheet name="DGZ Summary (Qtrly)" sheetId="21" r:id="rId8"/>
    <sheet name="Interest Received" sheetId="31" r:id="rId9"/>
    <sheet name="Interest Paid" sheetId="25" r:id="rId10"/>
    <sheet name="Rental Income" sheetId="29" r:id="rId11"/>
    <sheet name="Barrel Sales" sheetId="24" r:id="rId12"/>
    <sheet name="Barrel Purchases" sheetId="27" r:id="rId13"/>
    <sheet name="Expenses" sheetId="30" r:id="rId14"/>
    <sheet name="Rental Expenses" sheetId="33" r:id="rId15"/>
    <sheet name="Capital Gain Calculation" sheetId="34" r:id="rId16"/>
    <sheet name="GST Reconciliation" sheetId="35" r:id="rId17"/>
  </sheets>
  <externalReferences>
    <externalReference r:id="rId18"/>
  </externalReference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G30" i="21" l="1"/>
  <c r="E105" i="24"/>
  <c r="H30" i="34"/>
  <c r="H28" i="34"/>
  <c r="G50" i="1"/>
  <c r="G54" i="1"/>
  <c r="K98" i="24"/>
  <c r="Q101" i="24" s="1"/>
  <c r="H22" i="34"/>
  <c r="J24" i="27"/>
  <c r="J22" i="27"/>
  <c r="H8" i="34"/>
  <c r="G10" i="21"/>
  <c r="H10" i="21" s="1"/>
  <c r="K9" i="21" s="1"/>
  <c r="K10" i="21"/>
  <c r="I28" i="21"/>
  <c r="G28" i="21"/>
  <c r="H47" i="21" l="1"/>
  <c r="H45" i="21"/>
  <c r="H41" i="21"/>
  <c r="I43" i="29" l="1"/>
  <c r="G11" i="35"/>
  <c r="G9" i="35"/>
  <c r="H17" i="34"/>
  <c r="H16" i="34"/>
  <c r="H26" i="34" s="1"/>
  <c r="M17" i="34"/>
  <c r="N17" i="34"/>
  <c r="O17" i="34"/>
  <c r="P17" i="34"/>
  <c r="Q17" i="34"/>
  <c r="L17" i="34"/>
  <c r="G35" i="1"/>
  <c r="R17" i="34" l="1"/>
  <c r="G6" i="35" l="1"/>
  <c r="E21" i="33"/>
  <c r="D25" i="30"/>
  <c r="F25" i="27"/>
  <c r="F9" i="33"/>
  <c r="E24" i="30"/>
  <c r="E25" i="30"/>
  <c r="C24" i="30"/>
  <c r="D21" i="33" l="1"/>
  <c r="G7" i="35"/>
  <c r="H3" i="35"/>
  <c r="E43" i="29"/>
  <c r="C23" i="30"/>
  <c r="E23" i="30" s="1"/>
  <c r="C22" i="30"/>
  <c r="E22" i="30" s="1"/>
  <c r="E21" i="30"/>
  <c r="F7" i="27"/>
  <c r="E7" i="27"/>
  <c r="G7" i="27" s="1"/>
  <c r="E20" i="30"/>
  <c r="G21" i="27"/>
  <c r="G22" i="27"/>
  <c r="F102" i="24"/>
  <c r="H5" i="35" s="1"/>
  <c r="E102" i="24"/>
  <c r="K17" i="21" s="1"/>
  <c r="D97" i="24"/>
  <c r="F77" i="24"/>
  <c r="E77" i="24"/>
  <c r="G73" i="24"/>
  <c r="G94" i="24"/>
  <c r="G95" i="24"/>
  <c r="F19" i="33"/>
  <c r="G89" i="24"/>
  <c r="G90" i="24"/>
  <c r="G91" i="24"/>
  <c r="G92" i="24"/>
  <c r="G20" i="27"/>
  <c r="G86" i="24"/>
  <c r="G87" i="24"/>
  <c r="G88" i="24"/>
  <c r="G93" i="24"/>
  <c r="G67" i="24"/>
  <c r="F18" i="33"/>
  <c r="C19" i="30"/>
  <c r="G79" i="24"/>
  <c r="G80" i="24"/>
  <c r="G81" i="24"/>
  <c r="G82" i="24"/>
  <c r="G83" i="24"/>
  <c r="G74" i="24"/>
  <c r="G75" i="24"/>
  <c r="G76" i="24"/>
  <c r="G78" i="24"/>
  <c r="G85" i="24"/>
  <c r="E18" i="30"/>
  <c r="G84" i="24"/>
  <c r="G68" i="24"/>
  <c r="G69" i="24"/>
  <c r="G70" i="24"/>
  <c r="G71" i="24"/>
  <c r="G72" i="24"/>
  <c r="E17" i="30"/>
  <c r="G64" i="24"/>
  <c r="G65" i="24"/>
  <c r="G66" i="24"/>
  <c r="G96" i="24"/>
  <c r="J31" i="29"/>
  <c r="F17" i="33"/>
  <c r="G12" i="27"/>
  <c r="G59" i="24"/>
  <c r="G60" i="24"/>
  <c r="G61" i="24"/>
  <c r="G62" i="24"/>
  <c r="G11" i="27"/>
  <c r="G10" i="27"/>
  <c r="F51" i="24"/>
  <c r="F97" i="24" s="1"/>
  <c r="H4" i="35" s="1"/>
  <c r="E51" i="24"/>
  <c r="K97" i="24" s="1"/>
  <c r="Q97" i="24" s="1"/>
  <c r="E16" i="30"/>
  <c r="G48" i="24"/>
  <c r="G49" i="24"/>
  <c r="G50" i="24"/>
  <c r="G52" i="24"/>
  <c r="G53" i="24"/>
  <c r="G54" i="24"/>
  <c r="G55" i="24"/>
  <c r="G56" i="24"/>
  <c r="G57" i="24"/>
  <c r="G58" i="24"/>
  <c r="F16" i="33"/>
  <c r="F15" i="33"/>
  <c r="E15" i="30"/>
  <c r="G45" i="24"/>
  <c r="G46" i="24"/>
  <c r="G47" i="24"/>
  <c r="G63" i="24"/>
  <c r="G98" i="24"/>
  <c r="G42" i="24"/>
  <c r="G43" i="24"/>
  <c r="G44" i="24"/>
  <c r="F14" i="33"/>
  <c r="F13" i="33"/>
  <c r="E14" i="30"/>
  <c r="E13" i="30"/>
  <c r="E12" i="30"/>
  <c r="G36" i="24"/>
  <c r="G37" i="24"/>
  <c r="G38" i="24"/>
  <c r="G39" i="24"/>
  <c r="G40" i="24"/>
  <c r="G41" i="24"/>
  <c r="F12" i="33"/>
  <c r="G29" i="24"/>
  <c r="G30" i="24"/>
  <c r="G31" i="24"/>
  <c r="G32" i="24"/>
  <c r="G33" i="24"/>
  <c r="G34" i="24"/>
  <c r="G35" i="24"/>
  <c r="E8" i="30"/>
  <c r="E9" i="30"/>
  <c r="E10" i="30"/>
  <c r="E11" i="30"/>
  <c r="G21" i="24"/>
  <c r="G12" i="24"/>
  <c r="C6" i="30"/>
  <c r="E6" i="30"/>
  <c r="E7" i="30"/>
  <c r="E5" i="30"/>
  <c r="F6" i="33"/>
  <c r="F7" i="33"/>
  <c r="F8" i="33"/>
  <c r="F10" i="33"/>
  <c r="F11" i="33"/>
  <c r="F5" i="33"/>
  <c r="F21" i="33" s="1"/>
  <c r="G6" i="27"/>
  <c r="G8" i="27"/>
  <c r="G9" i="27"/>
  <c r="G13" i="27"/>
  <c r="G14" i="27"/>
  <c r="G15" i="27"/>
  <c r="G16" i="27"/>
  <c r="G17" i="27"/>
  <c r="G18" i="27"/>
  <c r="G19" i="27"/>
  <c r="G23" i="27"/>
  <c r="G24" i="27"/>
  <c r="G5" i="27"/>
  <c r="J37" i="29"/>
  <c r="J21" i="29"/>
  <c r="J20" i="29"/>
  <c r="E97" i="24" l="1"/>
  <c r="K16" i="21" s="1"/>
  <c r="H11" i="35"/>
  <c r="G77" i="24"/>
  <c r="G51" i="24"/>
  <c r="J12" i="29"/>
  <c r="J41" i="29"/>
  <c r="J40" i="29"/>
  <c r="J33" i="29"/>
  <c r="J32" i="29"/>
  <c r="J28" i="29"/>
  <c r="J27" i="29"/>
  <c r="G97" i="24" l="1"/>
  <c r="I29" i="21"/>
  <c r="J29" i="21" s="1"/>
  <c r="G5" i="24"/>
  <c r="G6" i="24"/>
  <c r="G7" i="24"/>
  <c r="G8" i="24"/>
  <c r="G9" i="24"/>
  <c r="G10" i="24"/>
  <c r="G11" i="24"/>
  <c r="G13" i="24"/>
  <c r="G14" i="24"/>
  <c r="G15" i="24"/>
  <c r="G16" i="24"/>
  <c r="G17" i="24"/>
  <c r="G18" i="24"/>
  <c r="G19" i="24"/>
  <c r="G20" i="24"/>
  <c r="G22" i="24"/>
  <c r="G23" i="24"/>
  <c r="G24" i="24"/>
  <c r="G25" i="24"/>
  <c r="G26" i="24"/>
  <c r="G27" i="24"/>
  <c r="G28" i="24"/>
  <c r="G99" i="24"/>
  <c r="G100" i="24"/>
  <c r="G101" i="24"/>
  <c r="G4" i="24"/>
  <c r="G8" i="35"/>
  <c r="I31" i="21" s="1"/>
  <c r="J31" i="21" s="1"/>
  <c r="I3" i="29"/>
  <c r="C17" i="25"/>
  <c r="C19" i="31"/>
  <c r="G102" i="24" l="1"/>
  <c r="J33" i="21"/>
  <c r="G13" i="35"/>
  <c r="G20" i="35" s="1"/>
  <c r="G24" i="35" s="1"/>
  <c r="I35" i="21"/>
  <c r="C25" i="30"/>
  <c r="G43" i="29" l="1"/>
  <c r="C43" i="29"/>
  <c r="J30" i="29"/>
  <c r="J26" i="29"/>
  <c r="J24" i="29"/>
  <c r="J38" i="29"/>
  <c r="J39" i="29"/>
  <c r="J42" i="29"/>
  <c r="J15" i="29"/>
  <c r="J17" i="29"/>
  <c r="J18" i="29"/>
  <c r="J19" i="29"/>
  <c r="J35" i="29"/>
  <c r="J36" i="29"/>
  <c r="J11" i="29"/>
  <c r="J4" i="29"/>
  <c r="J5" i="29"/>
  <c r="J6" i="29"/>
  <c r="J7" i="29"/>
  <c r="J9" i="29"/>
  <c r="J10" i="29"/>
  <c r="J13" i="29"/>
  <c r="J14" i="29"/>
  <c r="J16" i="29"/>
  <c r="J3" i="29"/>
  <c r="E25" i="27"/>
  <c r="G35" i="21"/>
  <c r="J43" i="29" l="1"/>
  <c r="J45" i="29" s="1"/>
  <c r="D25" i="27"/>
  <c r="G8" i="28"/>
  <c r="E8" i="28"/>
  <c r="G25" i="27" l="1"/>
  <c r="F35" i="21" l="1"/>
  <c r="E35" i="21"/>
  <c r="D35" i="21"/>
  <c r="H33" i="21"/>
  <c r="H31" i="21"/>
  <c r="H29" i="21"/>
  <c r="H27" i="21"/>
  <c r="H25" i="21"/>
  <c r="H23" i="21"/>
  <c r="H21" i="21"/>
  <c r="K19" i="21"/>
  <c r="H19" i="21"/>
  <c r="H17" i="21"/>
  <c r="H15" i="21"/>
  <c r="H13" i="21"/>
  <c r="H11" i="21"/>
  <c r="F4" i="21"/>
  <c r="K11" i="21" l="1"/>
  <c r="K21" i="21" s="1"/>
  <c r="H35" i="21"/>
  <c r="H31" i="11" l="1"/>
  <c r="H22" i="11"/>
  <c r="H24" i="11" s="1"/>
  <c r="H33" i="11" l="1"/>
  <c r="H35" i="11" s="1"/>
  <c r="D49" i="4"/>
  <c r="H15" i="4" s="1"/>
  <c r="D40" i="4"/>
  <c r="H13" i="4" s="1"/>
  <c r="H42" i="11" l="1"/>
  <c r="H46" i="11" s="1"/>
  <c r="H25" i="4" l="1"/>
  <c r="H24" i="4"/>
  <c r="H17" i="4"/>
  <c r="C3" i="1"/>
  <c r="C2" i="1"/>
  <c r="H4" i="1"/>
  <c r="H3" i="1"/>
  <c r="H2" i="1"/>
  <c r="F2" i="7"/>
  <c r="F3" i="7"/>
  <c r="C4" i="11"/>
  <c r="C3" i="11"/>
  <c r="F3" i="8"/>
  <c r="D3" i="8"/>
  <c r="F2" i="4"/>
  <c r="C2" i="4"/>
  <c r="G2" i="11"/>
  <c r="C2" i="11"/>
  <c r="F2" i="8"/>
  <c r="D2" i="8"/>
  <c r="F4" i="7"/>
  <c r="D4" i="7"/>
  <c r="D3" i="7"/>
  <c r="D2" i="7"/>
  <c r="H62" i="1"/>
  <c r="G62" i="1"/>
  <c r="F62" i="1" l="1"/>
  <c r="H29" i="4"/>
  <c r="H27" i="4"/>
  <c r="F4" i="4"/>
  <c r="C3" i="4"/>
  <c r="F3" i="4"/>
  <c r="G4" i="11"/>
  <c r="G3" i="11"/>
  <c r="C4" i="4"/>
  <c r="C4" i="1"/>
</calcChain>
</file>

<file path=xl/sharedStrings.xml><?xml version="1.0" encoding="utf-8"?>
<sst xmlns="http://schemas.openxmlformats.org/spreadsheetml/2006/main" count="491" uniqueCount="313">
  <si>
    <t>Date</t>
  </si>
  <si>
    <t>Details</t>
  </si>
  <si>
    <t>Code</t>
  </si>
  <si>
    <t>Debit</t>
  </si>
  <si>
    <t>Credit</t>
  </si>
  <si>
    <t>DGZ BAS Workpapers</t>
  </si>
  <si>
    <t>Client name</t>
  </si>
  <si>
    <t>Prepared by</t>
  </si>
  <si>
    <t>Client code</t>
  </si>
  <si>
    <t>Date prepared</t>
  </si>
  <si>
    <t>Year ended</t>
  </si>
  <si>
    <t>Reviewed by</t>
  </si>
  <si>
    <t>Business Activity Statement Summary</t>
  </si>
  <si>
    <t>Description</t>
  </si>
  <si>
    <t>Total</t>
  </si>
  <si>
    <t>G1</t>
  </si>
  <si>
    <t>Total Sales (Option1)</t>
  </si>
  <si>
    <t>G2</t>
  </si>
  <si>
    <t>Export Sales</t>
  </si>
  <si>
    <t>G3</t>
  </si>
  <si>
    <t>Other GST Free Sales</t>
  </si>
  <si>
    <t>G10</t>
  </si>
  <si>
    <t>Capital Purchases</t>
  </si>
  <si>
    <t>G11</t>
  </si>
  <si>
    <t>Non Capital Purchases</t>
  </si>
  <si>
    <t>W1</t>
  </si>
  <si>
    <t>Total Salary &amp; Wages</t>
  </si>
  <si>
    <t>W2</t>
  </si>
  <si>
    <t>Amounts Withheld</t>
  </si>
  <si>
    <t>T</t>
  </si>
  <si>
    <t>PAYG Income Tax Instalment</t>
  </si>
  <si>
    <t>F</t>
  </si>
  <si>
    <t>Fringe Benefits Tax Instalment</t>
  </si>
  <si>
    <t>1A</t>
  </si>
  <si>
    <t>GST on Sales</t>
  </si>
  <si>
    <t>1B</t>
  </si>
  <si>
    <t>GST on Purchases</t>
  </si>
  <si>
    <t>Payment (Refund)</t>
  </si>
  <si>
    <t xml:space="preserve">LOW COST ASSETS </t>
  </si>
  <si>
    <t xml:space="preserve">Opening Balance </t>
  </si>
  <si>
    <t>Depreciation for year</t>
  </si>
  <si>
    <t xml:space="preserve">  Opening Balance @ 30%</t>
  </si>
  <si>
    <t xml:space="preserve">  New Assets @ 15%</t>
  </si>
  <si>
    <t>Ref</t>
  </si>
  <si>
    <t>COA Code</t>
  </si>
  <si>
    <t>ITEM: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</si>
  <si>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</si>
  <si>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</si>
  <si>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</si>
  <si>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</si>
  <si>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</si>
  <si>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</si>
  <si>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</si>
  <si>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</si>
  <si>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TAXATION CALCULATION</t>
  </si>
  <si>
    <t>REF</t>
  </si>
  <si>
    <t>OPERATING PROFIT BEFORE INCOME TAX</t>
  </si>
  <si>
    <t>Add back:</t>
  </si>
  <si>
    <t xml:space="preserve"> - Entertainment</t>
  </si>
  <si>
    <t xml:space="preserve"> - Fines &amp; Penalties</t>
  </si>
  <si>
    <t xml:space="preserve"> - Accounting Depreciation</t>
  </si>
  <si>
    <t>Less:</t>
  </si>
  <si>
    <t xml:space="preserve"> - Taxation Depreciation</t>
  </si>
  <si>
    <t>TAXABLE INCOME</t>
  </si>
  <si>
    <t>Instalments Paid</t>
  </si>
  <si>
    <t>DGZ Tax Reconciliation Statement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</si>
  <si>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</si>
  <si>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</si>
  <si>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</si>
  <si>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</si>
  <si>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</si>
  <si>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</si>
  <si>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</si>
  <si>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</si>
  <si>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DGZ SBE Depreciation</t>
  </si>
  <si>
    <t>GENERAL SBE POOL</t>
  </si>
  <si>
    <t>Total General SBE Pool Depreciation for Year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</si>
  <si>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</si>
  <si>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</si>
  <si>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</si>
  <si>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</si>
  <si>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</si>
  <si>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</si>
  <si>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</si>
  <si>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</si>
  <si>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Sales Reconciliation</t>
  </si>
  <si>
    <t>G1 Sales</t>
  </si>
  <si>
    <t>Less 1A GST collected</t>
  </si>
  <si>
    <t>Total sales reported on BAS</t>
  </si>
  <si>
    <t>Ledger Accounts</t>
  </si>
  <si>
    <t>Total sales reported in MAS</t>
  </si>
  <si>
    <t>Difference</t>
  </si>
  <si>
    <t>$</t>
  </si>
  <si>
    <t>Fuel Tax Credits</t>
  </si>
  <si>
    <t>Add additions</t>
  </si>
  <si>
    <t>Less disposals</t>
  </si>
  <si>
    <t>Sub Total</t>
  </si>
  <si>
    <t>DGZ Journals</t>
  </si>
  <si>
    <t>Job Summary</t>
  </si>
  <si>
    <t>TAX ON TAXABLE INCOME (sbe 27.5%)</t>
  </si>
  <si>
    <t>Sept qtr</t>
  </si>
  <si>
    <t>Dec qtr</t>
  </si>
  <si>
    <t>March qtr</t>
  </si>
  <si>
    <t>June qtr</t>
  </si>
  <si>
    <t>Add:</t>
  </si>
  <si>
    <t>Amount outstanding on ATO tax account</t>
  </si>
  <si>
    <t>PROVISION FOR INCOME TAX</t>
  </si>
  <si>
    <t>New Assets:</t>
  </si>
  <si>
    <t>Item</t>
  </si>
  <si>
    <t>Amt</t>
  </si>
  <si>
    <t>Sold Assets:</t>
  </si>
  <si>
    <t xml:space="preserve"> - Prior Year Loss</t>
  </si>
  <si>
    <t>ü</t>
  </si>
  <si>
    <t>Hyperlink required documents</t>
  </si>
  <si>
    <t>(If the sub total is less than $20,000 between 12/5/15 to 28/1/19 then claim an immediate deduction for this amount)</t>
  </si>
  <si>
    <t>(If the sub total is less than $25,000 between 29/1/19 to before 7:30pm 2/4/19 then claim an immediate deduction for this amount)</t>
  </si>
  <si>
    <t>(If the sub total is less than $30,000 between 7:30pm 2/4/19 to 30/6/20 then claim an immediate deduction for this amount)</t>
  </si>
  <si>
    <t>Total General SBE Pool for year ended 30/06/2019</t>
  </si>
  <si>
    <t xml:space="preserve">https://www.ato.gov.au/Tax-professionals/Newsroom/Your-practice/Instant-asset-write-off-increased-and-extended/ </t>
  </si>
  <si>
    <t>Schmeider Super Fund</t>
  </si>
  <si>
    <t>Miranda</t>
  </si>
  <si>
    <t>SCHDW</t>
  </si>
  <si>
    <t>GST</t>
  </si>
  <si>
    <t>Nab Markets Loan</t>
  </si>
  <si>
    <t>NAB Cash Manager</t>
  </si>
  <si>
    <t>Income Tax Payable</t>
  </si>
  <si>
    <t>GST Payable</t>
  </si>
  <si>
    <t>(Reallocate PAYGI  to correct account)</t>
  </si>
  <si>
    <t>Barrel Sales</t>
  </si>
  <si>
    <t xml:space="preserve">Net </t>
  </si>
  <si>
    <t>Rental Income</t>
  </si>
  <si>
    <t>Qty</t>
  </si>
  <si>
    <t>Capital Works Depreciation</t>
  </si>
  <si>
    <t>Capital Works</t>
  </si>
  <si>
    <t>Barrel Purchases</t>
  </si>
  <si>
    <t>(capital works on line ceiling of ohana)</t>
  </si>
  <si>
    <t>Dave</t>
  </si>
  <si>
    <t>Pam</t>
  </si>
  <si>
    <t>Employer contributions</t>
  </si>
  <si>
    <t>Sharnee</t>
  </si>
  <si>
    <t>Depreciation - Shipping Container</t>
  </si>
  <si>
    <t>Shipping Container</t>
  </si>
  <si>
    <t>(Bring in depreciation of shipping container)</t>
  </si>
  <si>
    <t>Transwood</t>
  </si>
  <si>
    <t>Kitchenworks</t>
  </si>
  <si>
    <t>Ohana</t>
  </si>
  <si>
    <t>Gross</t>
  </si>
  <si>
    <t>Net</t>
  </si>
  <si>
    <t>Expenses</t>
  </si>
  <si>
    <t>Depreciation - Hicube container</t>
  </si>
  <si>
    <t>Hicube Shipping container</t>
  </si>
  <si>
    <t>(bring in Hicube Shipping Container)</t>
  </si>
  <si>
    <t>GST Adjustment</t>
  </si>
  <si>
    <t>Transwood Pty Ltd</t>
  </si>
  <si>
    <t>Tasmanian Independent Bottlers</t>
  </si>
  <si>
    <t>The Walrus Distillery</t>
  </si>
  <si>
    <t>Mackeys Distillery</t>
  </si>
  <si>
    <t>Launceston Distillery</t>
  </si>
  <si>
    <t>Belgrove Distillery</t>
  </si>
  <si>
    <t>='Job Summary'!D4</t>
  </si>
  <si>
    <t>30 June 2023</t>
  </si>
  <si>
    <t>13/11/2023</t>
  </si>
  <si>
    <t>Sep-22</t>
  </si>
  <si>
    <t>Dec-22</t>
  </si>
  <si>
    <t>Mar-23</t>
  </si>
  <si>
    <t>Jun-23</t>
  </si>
  <si>
    <t>Turner Still House</t>
  </si>
  <si>
    <t>Mackey's Distillery</t>
  </si>
  <si>
    <t>Waub Harbour Distillery</t>
  </si>
  <si>
    <t>Biocontrol Australia</t>
  </si>
  <si>
    <t>Tasmanian Heartwood</t>
  </si>
  <si>
    <t>Steel Super Fund</t>
  </si>
  <si>
    <t>CAVU</t>
  </si>
  <si>
    <t>Battery Point Distillery</t>
  </si>
  <si>
    <t>Tamar Valley Distillery</t>
  </si>
  <si>
    <t>Freight</t>
  </si>
  <si>
    <t>Insurance</t>
  </si>
  <si>
    <t>Freight Rocky Mount Barrels</t>
  </si>
  <si>
    <t>Maturing Spirit</t>
  </si>
  <si>
    <t>Other Income</t>
  </si>
  <si>
    <t>Barrel Brokers</t>
  </si>
  <si>
    <t>Rental Expenses</t>
  </si>
  <si>
    <t>South Hill Distillery</t>
  </si>
  <si>
    <t>Batttery Point Distillery</t>
  </si>
  <si>
    <t>Waubs</t>
  </si>
  <si>
    <t>Accounting Fee</t>
  </si>
  <si>
    <t>ASIC Fees</t>
  </si>
  <si>
    <t>Journey Man Distillery</t>
  </si>
  <si>
    <t>Western Tiers Distillery</t>
  </si>
  <si>
    <t>Freight and GST</t>
  </si>
  <si>
    <t>Taylor &amp; Smith Distillery</t>
  </si>
  <si>
    <t>Edge of the World Distillery</t>
  </si>
  <si>
    <t>Fanny's Bay Distillery</t>
  </si>
  <si>
    <t>TH Jones &amp; Co</t>
  </si>
  <si>
    <t>Schofield Distillery</t>
  </si>
  <si>
    <t>Bundaberg Rum</t>
  </si>
  <si>
    <t>Dutschke Barossa Valley</t>
  </si>
  <si>
    <t>Chubby Chips</t>
  </si>
  <si>
    <t>De Youngs</t>
  </si>
  <si>
    <t>Rates</t>
  </si>
  <si>
    <t>Bond Store</t>
  </si>
  <si>
    <t>Audit Fee</t>
  </si>
  <si>
    <t>Morilla Estate</t>
  </si>
  <si>
    <t>Furneaux Distillery</t>
  </si>
  <si>
    <t>Life Insurance</t>
  </si>
  <si>
    <t>GST was taken out</t>
  </si>
  <si>
    <t>Stillmaker &amp; Sons Distillery</t>
  </si>
  <si>
    <t>Waubs Harbour Distillery</t>
  </si>
  <si>
    <t>Overstory</t>
  </si>
  <si>
    <t>Maguire &amp; Co</t>
  </si>
  <si>
    <t>Schmeider's Wood Artisans</t>
  </si>
  <si>
    <t>Grey Sands</t>
  </si>
  <si>
    <t xml:space="preserve">ASIC Fee </t>
  </si>
  <si>
    <t>NAB Loan</t>
  </si>
  <si>
    <t>Suspense</t>
  </si>
  <si>
    <t>( Clear off Loan)</t>
  </si>
  <si>
    <t>Sale of 3 - 7 Alexandra Street</t>
  </si>
  <si>
    <t>Purchase Date</t>
  </si>
  <si>
    <t>Sale Date</t>
  </si>
  <si>
    <t>Release Fee</t>
  </si>
  <si>
    <t>Barrels</t>
  </si>
  <si>
    <t>Changes in Market Values</t>
  </si>
  <si>
    <t>(Barrels value at 30 June 2023)</t>
  </si>
  <si>
    <t>GST on Rental Income</t>
  </si>
  <si>
    <t>CR</t>
  </si>
  <si>
    <t>DR</t>
  </si>
  <si>
    <t>GST on Barrels</t>
  </si>
  <si>
    <t>GST on Other Income</t>
  </si>
  <si>
    <t>GST on Expenses</t>
  </si>
  <si>
    <t>GST on Rental Expenses</t>
  </si>
  <si>
    <t>GST on Barrel Purchases</t>
  </si>
  <si>
    <t>Variance</t>
  </si>
  <si>
    <t>Add PAYG Reallocated</t>
  </si>
  <si>
    <t>TB</t>
  </si>
  <si>
    <t>Add Sept 22 BAS Refund</t>
  </si>
  <si>
    <t>Less Dec 22 BAS Payment</t>
  </si>
  <si>
    <t>Less March 22 BAS Payment</t>
  </si>
  <si>
    <t>Rates Adjustment from settlement statement</t>
  </si>
  <si>
    <t>(Bring in rates adjustments from settlement statement)</t>
  </si>
  <si>
    <t>Proceeds</t>
  </si>
  <si>
    <t>Bank SMSF</t>
  </si>
  <si>
    <t>Pexa</t>
  </si>
  <si>
    <t>Adjustments</t>
  </si>
  <si>
    <t>Legal Fees</t>
  </si>
  <si>
    <t>Commission</t>
  </si>
  <si>
    <t>Advertising</t>
  </si>
  <si>
    <t>Pexa Fees</t>
  </si>
  <si>
    <t>inlcudes release of deposit</t>
  </si>
  <si>
    <t>GST on Commission and Legal Fees</t>
  </si>
  <si>
    <t>GST on Sales (correct)</t>
  </si>
  <si>
    <t>GST on Expenses (correct)</t>
  </si>
  <si>
    <t>Owe ATO</t>
  </si>
  <si>
    <t>June 2023 BAS</t>
  </si>
  <si>
    <t>Sundry Creditors</t>
  </si>
  <si>
    <t>(Put June 2023 BAS to creditors)</t>
  </si>
  <si>
    <t>Other Fees</t>
  </si>
  <si>
    <t>Capital Works CWDV</t>
  </si>
  <si>
    <t>3-7 Alexandra Street</t>
  </si>
  <si>
    <t>(Clear off CWDV)</t>
  </si>
  <si>
    <t>Capital Gain</t>
  </si>
  <si>
    <t>Sale Proceeds</t>
  </si>
  <si>
    <t>(Clear off Sales Proceeds)</t>
  </si>
  <si>
    <t>Other Investment Income</t>
  </si>
  <si>
    <t>(clear off income before 22 June 2023)</t>
  </si>
  <si>
    <t>21/06/2023</t>
  </si>
  <si>
    <t>Barrel Profit - before 22 June 2023</t>
  </si>
  <si>
    <t>before 22 June 2023 - create entries</t>
  </si>
  <si>
    <t>After 22 June -  create entries</t>
  </si>
  <si>
    <t>Before 22 June 2023 - create entries</t>
  </si>
  <si>
    <t>After 22 June 2023 - create entries</t>
  </si>
  <si>
    <t>Barrel Profit - after 22 June 2023</t>
  </si>
  <si>
    <t>(Clear off income after 22 June 2023)</t>
  </si>
  <si>
    <t>Net Capital Gain</t>
  </si>
  <si>
    <t>DISC</t>
  </si>
  <si>
    <t>Has this been kept in line with the collectible rules?</t>
  </si>
  <si>
    <t>Transwood rental - is this market value?  Is a lease agreement in</t>
  </si>
  <si>
    <t>place for this?  Only 2 payments for year.</t>
  </si>
  <si>
    <t>What is the additional freight charge for $4,132.62 on the ECS</t>
  </si>
  <si>
    <t>statement dated 26/09/22?</t>
  </si>
  <si>
    <t>Why all the sudden is freight being included in the fund?</t>
  </si>
  <si>
    <t>Insurance is for Non Alcoholic Beer Manufacturing &amp; 2 Cottages.</t>
  </si>
  <si>
    <t>Turnover is $5,000??  Also includes staff?</t>
  </si>
  <si>
    <t>Where did the spirits come from?  Are they now buying and selling</t>
  </si>
  <si>
    <t>this as well?  Again this is a trading income, but spirits can be</t>
  </si>
  <si>
    <t>classed as collectibles if held for investment.</t>
  </si>
  <si>
    <t>Barrels - why still showing as an investment?  If they are trading,</t>
  </si>
  <si>
    <t xml:space="preserve">this needs to be SOH so a Debit on the B/S and a Credit on the </t>
  </si>
  <si>
    <t>P &amp; L?  How did you even balance this when all other</t>
  </si>
  <si>
    <t>transactions are in the P &amp; L?  If its unitised it becomes a CGT asset.</t>
  </si>
  <si>
    <t>Is tax rec correct?  $20,000 of contributions less ATO levy and life</t>
  </si>
  <si>
    <t xml:space="preserve">insurance is $18,065.  Then taxable % on remaining income &amp; </t>
  </si>
  <si>
    <t>expenditure, would this be a little extra.  So why taxable</t>
  </si>
  <si>
    <t>income is $14,678?</t>
  </si>
  <si>
    <t>Watch the barrel movement with Transwood &amp; Schmeiders.  Could</t>
  </si>
  <si>
    <t>be in house assets.  How is the market value determined on these?</t>
  </si>
  <si>
    <t>No. It is port and sherry used to put into the Barrels to season</t>
  </si>
  <si>
    <t>the timber due to lack of availability of port and sherry barrels.</t>
  </si>
  <si>
    <t>They then sold it to other distilleries to do the same.</t>
  </si>
  <si>
    <t>There is a lease agreement.</t>
  </si>
  <si>
    <t>Yes just paid as lump sums.</t>
  </si>
  <si>
    <t>Pam did a comparison at the beginning of the year to what was available in East Bundaberg</t>
  </si>
  <si>
    <t>as a storage shed. The average was $80.00 per sq/m and she calculated it at $70</t>
  </si>
  <si>
    <t>per sq/m taking into consideration the following items: no security, power, water, flood area zone and old building and limited access.</t>
  </si>
  <si>
    <t>They  actually get more for the port and sherry barrels up to $1000 a barrel</t>
  </si>
  <si>
    <t>in comparison to bourbon barrels $400.</t>
  </si>
  <si>
    <t>It is a once off transaction.</t>
  </si>
  <si>
    <t>That is actually GST</t>
  </si>
  <si>
    <t>It was in here last year.</t>
  </si>
  <si>
    <t>Brad has said that it is to be as an investment</t>
  </si>
  <si>
    <t>ok</t>
  </si>
  <si>
    <t>Fixed</t>
  </si>
  <si>
    <t>Freight Expense</t>
  </si>
  <si>
    <t>Brad has asked me to put it against the barrel income so now not showing separately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</si>
</sst>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mmm\-yy_)"/>
    <numFmt numFmtId="166" formatCode="#,##0.00_);\(#,##0.00\)"/>
    <numFmt numFmtId="167" formatCode="#,##0_);\(#,##0\)"/>
    <numFmt numFmtId="168" formatCode="#,##0."/>
    <numFmt numFmtId="169" formatCode="&quot;$&quot;#."/>
    <numFmt numFmtId="170" formatCode="#.00"/>
    <numFmt numFmtId="171" formatCode="#,##0.00_);\(#,##0.00\ \);\-\ \ "/>
    <numFmt numFmtId="172" formatCode="_(* #,##0.00_);[Red]\(#,##0.00\);_(* &quot;-&quot;_);_(@_)\-"/>
    <numFmt numFmtId="173" formatCode="[$-C09]d\ mmmm\ yyyy;@"/>
  </numFmts>
  <fonts count="3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b/>
      <sz val="11.5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u/>
      <sz val="11.5"/>
      <color indexed="12"/>
      <name val="Times New Roman"/>
      <family val="1"/>
    </font>
    <font>
      <i/>
      <sz val="1"/>
      <color indexed="8"/>
      <name val="Courier"/>
      <family val="3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sz val="11.5"/>
      <color rgb="FF3030EC"/>
      <name val="Times New Roman"/>
      <family val="1"/>
    </font>
    <font>
      <b/>
      <i/>
      <sz val="10"/>
      <color rgb="FF3030EC"/>
      <name val="Arial"/>
      <family val="2"/>
    </font>
    <font>
      <u/>
      <sz val="9"/>
      <color indexed="12"/>
      <name val="Times New Roman"/>
      <family val="1"/>
    </font>
    <font>
      <sz val="10"/>
      <name val="Wingdings"/>
      <charset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168" fontId="17" fillId="0" borderId="1">
      <protection locked="0"/>
    </xf>
    <xf numFmtId="168" fontId="17" fillId="0" borderId="1">
      <alignment horizontal="right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8" fillId="0" borderId="0">
      <protection locked="0"/>
    </xf>
    <xf numFmtId="17" fontId="17" fillId="0" borderId="0">
      <alignment horizontal="right"/>
      <protection locked="0"/>
    </xf>
    <xf numFmtId="17" fontId="1" fillId="0" borderId="0"/>
    <xf numFmtId="170" fontId="18" fillId="0" borderId="0">
      <protection locked="0"/>
    </xf>
    <xf numFmtId="0" fontId="17" fillId="0" borderId="0">
      <protection locked="0"/>
    </xf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7" fillId="0" borderId="0">
      <protection locked="0"/>
    </xf>
    <xf numFmtId="0" fontId="1" fillId="0" borderId="0"/>
    <xf numFmtId="166" fontId="10" fillId="0" borderId="0"/>
    <xf numFmtId="39" fontId="7" fillId="0" borderId="0"/>
    <xf numFmtId="39" fontId="10" fillId="0" borderId="0"/>
    <xf numFmtId="0" fontId="21" fillId="0" borderId="0">
      <protection locked="0"/>
    </xf>
    <xf numFmtId="172" fontId="1" fillId="0" borderId="0"/>
    <xf numFmtId="0" fontId="22" fillId="0" borderId="0"/>
    <xf numFmtId="0" fontId="17" fillId="0" borderId="0">
      <protection locked="0"/>
    </xf>
    <xf numFmtId="168" fontId="18" fillId="0" borderId="2">
      <protection locked="0"/>
    </xf>
    <xf numFmtId="168" fontId="18" fillId="0" borderId="3">
      <protection locked="0"/>
    </xf>
    <xf numFmtId="169" fontId="18" fillId="0" borderId="3">
      <protection locked="0"/>
    </xf>
    <xf numFmtId="172" fontId="1" fillId="0" borderId="4"/>
  </cellStyleXfs>
  <cellXfs count="265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39" fontId="6" fillId="0" borderId="0" xfId="16" applyFont="1"/>
    <xf numFmtId="39" fontId="8" fillId="0" borderId="0" xfId="16" applyFont="1"/>
    <xf numFmtId="3" fontId="6" fillId="0" borderId="0" xfId="16" applyNumberFormat="1" applyFont="1"/>
    <xf numFmtId="39" fontId="9" fillId="0" borderId="0" xfId="17" applyFont="1" applyAlignment="1">
      <alignment horizontal="centerContinuous"/>
    </xf>
    <xf numFmtId="39" fontId="11" fillId="0" borderId="0" xfId="17" applyFont="1"/>
    <xf numFmtId="39" fontId="5" fillId="0" borderId="5" xfId="16" applyFont="1" applyBorder="1" applyAlignment="1">
      <alignment vertical="center"/>
    </xf>
    <xf numFmtId="3" fontId="5" fillId="0" borderId="5" xfId="16" applyNumberFormat="1" applyFont="1" applyBorder="1" applyAlignment="1">
      <alignment vertical="center"/>
    </xf>
    <xf numFmtId="3" fontId="11" fillId="0" borderId="5" xfId="17" applyNumberFormat="1" applyFont="1" applyBorder="1"/>
    <xf numFmtId="3" fontId="11" fillId="0" borderId="0" xfId="17" applyNumberFormat="1" applyFont="1"/>
    <xf numFmtId="39" fontId="4" fillId="0" borderId="0" xfId="16" applyFont="1"/>
    <xf numFmtId="3" fontId="4" fillId="0" borderId="0" xfId="16" applyNumberFormat="1" applyFont="1"/>
    <xf numFmtId="39" fontId="5" fillId="0" borderId="0" xfId="16" applyFont="1" applyAlignment="1">
      <alignment vertical="center"/>
    </xf>
    <xf numFmtId="164" fontId="12" fillId="0" borderId="0" xfId="16" applyNumberFormat="1" applyFont="1" applyAlignment="1">
      <alignment horizontal="left" vertical="center"/>
    </xf>
    <xf numFmtId="3" fontId="5" fillId="0" borderId="2" xfId="16" applyNumberFormat="1" applyFont="1" applyBorder="1" applyAlignment="1">
      <alignment vertical="center"/>
    </xf>
    <xf numFmtId="39" fontId="4" fillId="0" borderId="0" xfId="17" applyFont="1"/>
    <xf numFmtId="3" fontId="5" fillId="0" borderId="0" xfId="16" applyNumberFormat="1" applyFont="1" applyAlignment="1">
      <alignment vertical="center"/>
    </xf>
    <xf numFmtId="3" fontId="4" fillId="0" borderId="0" xfId="17" applyNumberFormat="1" applyFont="1"/>
    <xf numFmtId="39" fontId="13" fillId="0" borderId="0" xfId="16" applyFont="1"/>
    <xf numFmtId="39" fontId="13" fillId="0" borderId="0" xfId="16" applyFont="1" applyAlignment="1">
      <alignment horizontal="center"/>
    </xf>
    <xf numFmtId="3" fontId="13" fillId="0" borderId="0" xfId="16" applyNumberFormat="1" applyFont="1" applyAlignment="1">
      <alignment horizontal="center"/>
    </xf>
    <xf numFmtId="3" fontId="13" fillId="0" borderId="0" xfId="16" applyNumberFormat="1" applyFont="1"/>
    <xf numFmtId="3" fontId="6" fillId="0" borderId="0" xfId="4" applyNumberFormat="1" applyFont="1"/>
    <xf numFmtId="3" fontId="13" fillId="0" borderId="0" xfId="4" applyNumberFormat="1" applyFont="1"/>
    <xf numFmtId="37" fontId="6" fillId="0" borderId="0" xfId="16" applyNumberFormat="1" applyFont="1"/>
    <xf numFmtId="37" fontId="13" fillId="0" borderId="0" xfId="16" applyNumberFormat="1" applyFont="1" applyAlignment="1">
      <alignment horizontal="left"/>
    </xf>
    <xf numFmtId="0" fontId="1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4" fillId="0" borderId="0" xfId="0" applyFont="1"/>
    <xf numFmtId="0" fontId="15" fillId="0" borderId="0" xfId="0" applyFont="1"/>
    <xf numFmtId="4" fontId="4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" fontId="5" fillId="0" borderId="3" xfId="5" applyNumberFormat="1" applyFont="1" applyBorder="1" applyAlignment="1">
      <alignment horizontal="right"/>
    </xf>
    <xf numFmtId="4" fontId="5" fillId="0" borderId="0" xfId="5" applyNumberFormat="1" applyFont="1" applyBorder="1" applyAlignment="1">
      <alignment horizontal="right"/>
    </xf>
    <xf numFmtId="4" fontId="5" fillId="0" borderId="6" xfId="5" applyNumberFormat="1" applyFont="1" applyBorder="1"/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43" fontId="16" fillId="0" borderId="5" xfId="3" applyFont="1" applyBorder="1" applyAlignment="1">
      <alignment horizontal="center"/>
    </xf>
    <xf numFmtId="4" fontId="16" fillId="0" borderId="5" xfId="0" applyNumberFormat="1" applyFont="1" applyBorder="1"/>
    <xf numFmtId="3" fontId="5" fillId="0" borderId="7" xfId="16" applyNumberFormat="1" applyFont="1" applyBorder="1" applyAlignment="1">
      <alignment vertical="center"/>
    </xf>
    <xf numFmtId="3" fontId="11" fillId="0" borderId="1" xfId="17" applyNumberFormat="1" applyFont="1" applyBorder="1"/>
    <xf numFmtId="3" fontId="5" fillId="0" borderId="7" xfId="16" applyNumberFormat="1" applyFont="1" applyBorder="1" applyAlignment="1">
      <alignment vertical="center" wrapText="1"/>
    </xf>
    <xf numFmtId="0" fontId="0" fillId="0" borderId="9" xfId="0" applyBorder="1"/>
    <xf numFmtId="0" fontId="0" fillId="0" borderId="8" xfId="0" applyBorder="1"/>
    <xf numFmtId="39" fontId="5" fillId="0" borderId="13" xfId="16" applyFont="1" applyBorder="1" applyAlignment="1">
      <alignment vertical="center"/>
    </xf>
    <xf numFmtId="39" fontId="4" fillId="0" borderId="0" xfId="17" applyFont="1" applyAlignment="1">
      <alignment wrapText="1"/>
    </xf>
    <xf numFmtId="39" fontId="5" fillId="0" borderId="7" xfId="16" applyFont="1" applyBorder="1" applyAlignment="1">
      <alignment vertical="center"/>
    </xf>
    <xf numFmtId="0" fontId="0" fillId="0" borderId="28" xfId="0" applyBorder="1"/>
    <xf numFmtId="0" fontId="0" fillId="0" borderId="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0" fillId="0" borderId="38" xfId="0" applyBorder="1"/>
    <xf numFmtId="166" fontId="25" fillId="0" borderId="0" xfId="15" applyFont="1"/>
    <xf numFmtId="167" fontId="25" fillId="0" borderId="0" xfId="15" applyNumberFormat="1" applyFont="1"/>
    <xf numFmtId="166" fontId="4" fillId="0" borderId="0" xfId="15" applyFont="1"/>
    <xf numFmtId="166" fontId="5" fillId="0" borderId="0" xfId="15" applyFont="1"/>
    <xf numFmtId="167" fontId="4" fillId="0" borderId="0" xfId="15" applyNumberFormat="1" applyFont="1"/>
    <xf numFmtId="49" fontId="23" fillId="0" borderId="0" xfId="12" applyNumberFormat="1" applyFont="1" applyBorder="1" applyAlignment="1" applyProtection="1">
      <alignment horizontal="center"/>
    </xf>
    <xf numFmtId="39" fontId="5" fillId="0" borderId="41" xfId="17" applyFont="1" applyBorder="1"/>
    <xf numFmtId="167" fontId="23" fillId="0" borderId="0" xfId="12" applyNumberFormat="1" applyFont="1" applyAlignment="1" applyProtection="1">
      <alignment horizontal="center"/>
    </xf>
    <xf numFmtId="166" fontId="26" fillId="0" borderId="0" xfId="15" applyFont="1"/>
    <xf numFmtId="166" fontId="5" fillId="0" borderId="14" xfId="15" applyFont="1" applyBorder="1"/>
    <xf numFmtId="167" fontId="5" fillId="0" borderId="15" xfId="15" applyNumberFormat="1" applyFont="1" applyBorder="1" applyAlignment="1">
      <alignment horizontal="center"/>
    </xf>
    <xf numFmtId="166" fontId="5" fillId="0" borderId="16" xfId="15" applyFont="1" applyBorder="1"/>
    <xf numFmtId="166" fontId="5" fillId="0" borderId="17" xfId="15" applyFont="1" applyBorder="1" applyAlignment="1">
      <alignment horizontal="center"/>
    </xf>
    <xf numFmtId="167" fontId="5" fillId="0" borderId="18" xfId="15" applyNumberFormat="1" applyFont="1" applyBorder="1" applyAlignment="1">
      <alignment horizontal="center"/>
    </xf>
    <xf numFmtId="165" fontId="5" fillId="0" borderId="19" xfId="15" applyNumberFormat="1" applyFont="1" applyBorder="1" applyAlignment="1">
      <alignment horizontal="center"/>
    </xf>
    <xf numFmtId="166" fontId="4" fillId="0" borderId="20" xfId="15" applyFont="1" applyBorder="1" applyAlignment="1">
      <alignment horizontal="center"/>
    </xf>
    <xf numFmtId="171" fontId="4" fillId="0" borderId="21" xfId="15" applyNumberFormat="1" applyFont="1" applyBorder="1"/>
    <xf numFmtId="171" fontId="4" fillId="0" borderId="22" xfId="15" applyNumberFormat="1" applyFont="1" applyBorder="1"/>
    <xf numFmtId="171" fontId="4" fillId="0" borderId="21" xfId="15" applyNumberFormat="1" applyFont="1" applyBorder="1" applyProtection="1">
      <protection locked="0"/>
    </xf>
    <xf numFmtId="171" fontId="12" fillId="0" borderId="21" xfId="15" applyNumberFormat="1" applyFont="1" applyBorder="1" applyProtection="1">
      <protection locked="0"/>
    </xf>
    <xf numFmtId="171" fontId="4" fillId="0" borderId="42" xfId="15" applyNumberFormat="1" applyFont="1" applyBorder="1"/>
    <xf numFmtId="171" fontId="4" fillId="0" borderId="43" xfId="15" applyNumberFormat="1" applyFont="1" applyBorder="1"/>
    <xf numFmtId="165" fontId="5" fillId="0" borderId="0" xfId="15" applyNumberFormat="1" applyFont="1" applyAlignment="1">
      <alignment horizontal="center"/>
    </xf>
    <xf numFmtId="166" fontId="4" fillId="0" borderId="39" xfId="15" applyFont="1" applyBorder="1" applyAlignment="1">
      <alignment horizontal="center"/>
    </xf>
    <xf numFmtId="171" fontId="4" fillId="0" borderId="40" xfId="15" applyNumberFormat="1" applyFont="1" applyBorder="1"/>
    <xf numFmtId="171" fontId="4" fillId="0" borderId="23" xfId="15" applyNumberFormat="1" applyFont="1" applyBorder="1"/>
    <xf numFmtId="166" fontId="26" fillId="0" borderId="0" xfId="15" applyFont="1" applyAlignment="1">
      <alignment horizontal="center"/>
    </xf>
    <xf numFmtId="171" fontId="26" fillId="0" borderId="0" xfId="15" applyNumberFormat="1" applyFont="1"/>
    <xf numFmtId="171" fontId="25" fillId="0" borderId="0" xfId="15" applyNumberFormat="1" applyFont="1"/>
    <xf numFmtId="171" fontId="4" fillId="0" borderId="44" xfId="15" applyNumberFormat="1" applyFont="1" applyBorder="1"/>
    <xf numFmtId="0" fontId="28" fillId="0" borderId="25" xfId="0" applyFont="1" applyBorder="1"/>
    <xf numFmtId="0" fontId="2" fillId="0" borderId="26" xfId="0" applyFont="1" applyBorder="1"/>
    <xf numFmtId="0" fontId="2" fillId="0" borderId="7" xfId="0" applyFont="1" applyBorder="1"/>
    <xf numFmtId="0" fontId="2" fillId="0" borderId="8" xfId="0" applyFont="1" applyBorder="1"/>
    <xf numFmtId="0" fontId="28" fillId="0" borderId="26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28" xfId="0" applyFont="1" applyBorder="1"/>
    <xf numFmtId="0" fontId="2" fillId="0" borderId="46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47" xfId="0" applyBorder="1"/>
    <xf numFmtId="0" fontId="28" fillId="0" borderId="46" xfId="0" applyFont="1" applyBorder="1"/>
    <xf numFmtId="164" fontId="12" fillId="0" borderId="4" xfId="16" applyNumberFormat="1" applyFont="1" applyBorder="1" applyAlignment="1">
      <alignment horizontal="left" vertical="center"/>
    </xf>
    <xf numFmtId="0" fontId="0" fillId="0" borderId="11" xfId="0" applyBorder="1"/>
    <xf numFmtId="0" fontId="0" fillId="0" borderId="4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7" fontId="6" fillId="0" borderId="3" xfId="5" applyNumberFormat="1" applyFont="1" applyBorder="1"/>
    <xf numFmtId="3" fontId="6" fillId="0" borderId="0" xfId="3" applyNumberFormat="1" applyFont="1"/>
    <xf numFmtId="4" fontId="4" fillId="0" borderId="1" xfId="0" applyNumberFormat="1" applyFont="1" applyBorder="1" applyAlignment="1">
      <alignment horizontal="right"/>
    </xf>
    <xf numFmtId="0" fontId="24" fillId="0" borderId="0" xfId="0" applyFont="1"/>
    <xf numFmtId="49" fontId="13" fillId="0" borderId="0" xfId="16" applyNumberFormat="1" applyFont="1" applyAlignment="1">
      <alignment horizontal="center"/>
    </xf>
    <xf numFmtId="0" fontId="1" fillId="0" borderId="0" xfId="14"/>
    <xf numFmtId="39" fontId="8" fillId="0" borderId="0" xfId="16" applyFont="1" applyAlignment="1">
      <alignment horizontal="left"/>
    </xf>
    <xf numFmtId="171" fontId="4" fillId="0" borderId="57" xfId="15" applyNumberFormat="1" applyFont="1" applyBorder="1" applyProtection="1">
      <protection locked="0"/>
    </xf>
    <xf numFmtId="171" fontId="4" fillId="0" borderId="58" xfId="15" applyNumberFormat="1" applyFont="1" applyBorder="1"/>
    <xf numFmtId="44" fontId="4" fillId="0" borderId="59" xfId="5" applyFont="1" applyBorder="1" applyProtection="1"/>
    <xf numFmtId="44" fontId="6" fillId="0" borderId="3" xfId="16" applyNumberFormat="1" applyFont="1" applyBorder="1"/>
    <xf numFmtId="171" fontId="4" fillId="0" borderId="61" xfId="15" applyNumberFormat="1" applyFont="1" applyBorder="1"/>
    <xf numFmtId="171" fontId="4" fillId="0" borderId="60" xfId="15" applyNumberFormat="1" applyFont="1" applyBorder="1"/>
    <xf numFmtId="44" fontId="4" fillId="0" borderId="22" xfId="5" applyFont="1" applyBorder="1" applyProtection="1"/>
    <xf numFmtId="0" fontId="29" fillId="0" borderId="0" xfId="0" applyFont="1"/>
    <xf numFmtId="43" fontId="6" fillId="0" borderId="0" xfId="3" applyFont="1"/>
    <xf numFmtId="14" fontId="6" fillId="0" borderId="0" xfId="16" applyNumberFormat="1" applyFont="1"/>
    <xf numFmtId="49" fontId="30" fillId="0" borderId="7" xfId="16" applyNumberFormat="1" applyFont="1" applyBorder="1" applyAlignment="1">
      <alignment vertical="center"/>
    </xf>
    <xf numFmtId="49" fontId="30" fillId="0" borderId="7" xfId="16" applyNumberFormat="1" applyFont="1" applyBorder="1" applyAlignment="1">
      <alignment horizontal="left" vertical="center"/>
    </xf>
    <xf numFmtId="49" fontId="30" fillId="0" borderId="5" xfId="17" applyNumberFormat="1" applyFont="1" applyBorder="1"/>
    <xf numFmtId="49" fontId="30" fillId="0" borderId="5" xfId="16" applyNumberFormat="1" applyFont="1" applyBorder="1"/>
    <xf numFmtId="49" fontId="30" fillId="0" borderId="5" xfId="17" applyNumberFormat="1" applyFont="1" applyBorder="1" applyAlignment="1">
      <alignment horizontal="left"/>
    </xf>
    <xf numFmtId="49" fontId="30" fillId="0" borderId="5" xfId="16" applyNumberFormat="1" applyFont="1" applyBorder="1" applyAlignment="1">
      <alignment vertical="center"/>
    </xf>
    <xf numFmtId="0" fontId="30" fillId="0" borderId="5" xfId="16" applyNumberFormat="1" applyFont="1" applyBorder="1" applyAlignment="1">
      <alignment horizontal="left" vertical="center"/>
    </xf>
    <xf numFmtId="0" fontId="30" fillId="0" borderId="5" xfId="16" applyNumberFormat="1" applyFont="1" applyBorder="1" applyAlignment="1">
      <alignment vertical="center"/>
    </xf>
    <xf numFmtId="0" fontId="33" fillId="0" borderId="30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50" xfId="0" applyBorder="1"/>
    <xf numFmtId="0" fontId="0" fillId="0" borderId="62" xfId="0" applyBorder="1"/>
    <xf numFmtId="0" fontId="0" fillId="0" borderId="49" xfId="0" applyBorder="1" applyAlignment="1">
      <alignment horizontal="center" wrapText="1"/>
    </xf>
    <xf numFmtId="0" fontId="27" fillId="0" borderId="31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3" fillId="0" borderId="63" xfId="0" applyFont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0" xfId="12" applyFont="1" applyAlignment="1" applyProtection="1"/>
    <xf numFmtId="173" fontId="30" fillId="0" borderId="5" xfId="16" applyNumberFormat="1" applyFont="1" applyBorder="1" applyAlignment="1">
      <alignment horizontal="left" vertical="center"/>
    </xf>
    <xf numFmtId="44" fontId="0" fillId="0" borderId="0" xfId="0" applyNumberFormat="1"/>
    <xf numFmtId="0" fontId="1" fillId="0" borderId="0" xfId="0" applyFont="1"/>
    <xf numFmtId="1" fontId="2" fillId="0" borderId="38" xfId="0" applyNumberFormat="1" applyFont="1" applyBorder="1" applyAlignment="1">
      <alignment horizontal="center"/>
    </xf>
    <xf numFmtId="4" fontId="2" fillId="0" borderId="38" xfId="0" applyNumberFormat="1" applyFont="1" applyBorder="1"/>
    <xf numFmtId="0" fontId="2" fillId="0" borderId="35" xfId="0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0" fontId="4" fillId="0" borderId="29" xfId="0" applyFont="1" applyBorder="1"/>
    <xf numFmtId="0" fontId="4" fillId="0" borderId="28" xfId="0" applyFont="1" applyBorder="1"/>
    <xf numFmtId="4" fontId="2" fillId="0" borderId="35" xfId="0" applyNumberFormat="1" applyFont="1" applyBorder="1"/>
    <xf numFmtId="1" fontId="35" fillId="0" borderId="35" xfId="0" applyNumberFormat="1" applyFont="1" applyBorder="1" applyAlignment="1">
      <alignment horizontal="center"/>
    </xf>
    <xf numFmtId="0" fontId="28" fillId="4" borderId="0" xfId="0" applyFont="1" applyFill="1" applyAlignment="1">
      <alignment horizontal="center"/>
    </xf>
    <xf numFmtId="14" fontId="0" fillId="0" borderId="0" xfId="0" applyNumberFormat="1"/>
    <xf numFmtId="14" fontId="2" fillId="0" borderId="38" xfId="0" applyNumberFormat="1" applyFont="1" applyBorder="1" applyAlignment="1">
      <alignment horizontal="center"/>
    </xf>
    <xf numFmtId="3" fontId="13" fillId="4" borderId="0" xfId="4" applyNumberFormat="1" applyFont="1" applyFill="1"/>
    <xf numFmtId="3" fontId="13" fillId="5" borderId="0" xfId="4" applyNumberFormat="1" applyFont="1" applyFill="1"/>
    <xf numFmtId="0" fontId="28" fillId="5" borderId="0" xfId="0" applyFont="1" applyFill="1"/>
    <xf numFmtId="44" fontId="0" fillId="0" borderId="1" xfId="0" applyNumberFormat="1" applyBorder="1"/>
    <xf numFmtId="0" fontId="28" fillId="4" borderId="0" xfId="0" applyFont="1" applyFill="1"/>
    <xf numFmtId="44" fontId="0" fillId="0" borderId="0" xfId="0" applyNumberFormat="1" applyProtection="1">
      <protection locked="0"/>
    </xf>
    <xf numFmtId="44" fontId="0" fillId="0" borderId="4" xfId="0" applyNumberFormat="1" applyBorder="1" applyProtection="1">
      <protection locked="0"/>
    </xf>
    <xf numFmtId="44" fontId="0" fillId="0" borderId="3" xfId="0" applyNumberFormat="1" applyBorder="1"/>
    <xf numFmtId="0" fontId="0" fillId="0" borderId="0" xfId="0" applyAlignment="1">
      <alignment horizontal="right"/>
    </xf>
    <xf numFmtId="0" fontId="2" fillId="0" borderId="38" xfId="0" applyFont="1" applyBorder="1" applyAlignment="1">
      <alignment horizontal="center"/>
    </xf>
    <xf numFmtId="14" fontId="2" fillId="0" borderId="35" xfId="0" applyNumberFormat="1" applyFont="1" applyBorder="1" applyAlignment="1">
      <alignment horizontal="center"/>
    </xf>
    <xf numFmtId="0" fontId="0" fillId="0" borderId="10" xfId="0" applyBorder="1"/>
    <xf numFmtId="0" fontId="0" fillId="4" borderId="0" xfId="0" applyFill="1"/>
    <xf numFmtId="44" fontId="0" fillId="4" borderId="0" xfId="0" applyNumberFormat="1" applyFill="1"/>
    <xf numFmtId="44" fontId="0" fillId="0" borderId="4" xfId="0" applyNumberFormat="1" applyBorder="1"/>
    <xf numFmtId="17" fontId="0" fillId="0" borderId="0" xfId="0" applyNumberFormat="1"/>
    <xf numFmtId="17" fontId="1" fillId="0" borderId="0" xfId="0" applyNumberFormat="1" applyFont="1"/>
    <xf numFmtId="44" fontId="1" fillId="0" borderId="0" xfId="0" applyNumberFormat="1" applyFont="1"/>
    <xf numFmtId="44" fontId="28" fillId="5" borderId="0" xfId="0" applyNumberFormat="1" applyFont="1" applyFill="1"/>
    <xf numFmtId="0" fontId="1" fillId="0" borderId="8" xfId="0" applyFont="1" applyBorder="1"/>
    <xf numFmtId="44" fontId="0" fillId="4" borderId="1" xfId="0" applyNumberFormat="1" applyFill="1" applyBorder="1"/>
    <xf numFmtId="14" fontId="1" fillId="0" borderId="38" xfId="0" applyNumberFormat="1" applyFont="1" applyBorder="1" applyAlignment="1">
      <alignment horizontal="center"/>
    </xf>
    <xf numFmtId="17" fontId="4" fillId="0" borderId="9" xfId="0" quotePrefix="1" applyNumberFormat="1" applyFont="1" applyBorder="1"/>
    <xf numFmtId="3" fontId="24" fillId="0" borderId="0" xfId="16" applyNumberFormat="1" applyFont="1"/>
    <xf numFmtId="39" fontId="24" fillId="0" borderId="0" xfId="16" applyFont="1"/>
    <xf numFmtId="3" fontId="36" fillId="6" borderId="0" xfId="16" applyNumberFormat="1" applyFont="1" applyFill="1"/>
    <xf numFmtId="3" fontId="24" fillId="6" borderId="0" xfId="16" applyNumberFormat="1" applyFont="1" applyFill="1"/>
    <xf numFmtId="39" fontId="24" fillId="6" borderId="0" xfId="16" applyFont="1" applyFill="1"/>
    <xf numFmtId="3" fontId="24" fillId="6" borderId="50" xfId="16" applyNumberFormat="1" applyFont="1" applyFill="1" applyBorder="1"/>
    <xf numFmtId="0" fontId="0" fillId="0" borderId="64" xfId="0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10" fontId="0" fillId="0" borderId="0" xfId="0" applyNumberFormat="1"/>
    <xf numFmtId="0" fontId="28" fillId="0" borderId="0" xfId="0" applyFont="1"/>
    <xf numFmtId="14" fontId="28" fillId="4" borderId="0" xfId="0" applyNumberFormat="1" applyFont="1" applyFill="1"/>
    <xf numFmtId="0" fontId="28" fillId="7" borderId="0" xfId="0" applyFont="1" applyFill="1"/>
    <xf numFmtId="43" fontId="0" fillId="0" borderId="0" xfId="0" applyNumberFormat="1"/>
    <xf numFmtId="43" fontId="0" fillId="0" borderId="68" xfId="0" applyNumberFormat="1" applyBorder="1"/>
    <xf numFmtId="3" fontId="13" fillId="8" borderId="0" xfId="4" applyNumberFormat="1" applyFont="1" applyFill="1"/>
    <xf numFmtId="3" fontId="13" fillId="9" borderId="0" xfId="4" applyNumberFormat="1" applyFont="1" applyFill="1"/>
    <xf numFmtId="3" fontId="13" fillId="4" borderId="0" xfId="16" applyNumberFormat="1" applyFont="1" applyFill="1"/>
    <xf numFmtId="4" fontId="1" fillId="0" borderId="38" xfId="0" applyNumberFormat="1" applyFont="1" applyBorder="1"/>
    <xf numFmtId="0" fontId="4" fillId="0" borderId="30" xfId="0" applyFont="1" applyBorder="1"/>
    <xf numFmtId="0" fontId="4" fillId="0" borderId="31" xfId="0" applyFont="1" applyBorder="1"/>
    <xf numFmtId="16" fontId="1" fillId="0" borderId="38" xfId="0" quotePrefix="1" applyNumberFormat="1" applyFont="1" applyBorder="1" applyAlignment="1">
      <alignment horizontal="center"/>
    </xf>
    <xf numFmtId="49" fontId="30" fillId="0" borderId="7" xfId="16" applyNumberFormat="1" applyFont="1" applyBorder="1" applyAlignment="1">
      <alignment vertical="center"/>
    </xf>
    <xf numFmtId="49" fontId="31" fillId="0" borderId="8" xfId="0" applyNumberFormat="1" applyFont="1" applyBorder="1"/>
    <xf numFmtId="0" fontId="3" fillId="3" borderId="51" xfId="0" applyFont="1" applyFill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3" fillId="3" borderId="54" xfId="0" applyFont="1" applyFill="1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8" fillId="3" borderId="54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31" fillId="0" borderId="8" xfId="0" applyFont="1" applyBorder="1"/>
    <xf numFmtId="0" fontId="30" fillId="0" borderId="56" xfId="16" applyNumberFormat="1" applyFont="1" applyBorder="1" applyAlignment="1">
      <alignment horizontal="left" vertical="center"/>
    </xf>
    <xf numFmtId="0" fontId="30" fillId="0" borderId="45" xfId="16" applyNumberFormat="1" applyFont="1" applyBorder="1" applyAlignment="1">
      <alignment horizontal="left"/>
    </xf>
    <xf numFmtId="39" fontId="5" fillId="0" borderId="0" xfId="16" applyFont="1" applyAlignment="1">
      <alignment vertical="center"/>
    </xf>
    <xf numFmtId="39" fontId="4" fillId="0" borderId="0" xfId="16" applyFont="1"/>
    <xf numFmtId="39" fontId="12" fillId="0" borderId="0" xfId="16" applyFont="1" applyAlignment="1">
      <alignment vertical="center"/>
    </xf>
    <xf numFmtId="39" fontId="12" fillId="0" borderId="0" xfId="16" applyFont="1"/>
    <xf numFmtId="49" fontId="30" fillId="0" borderId="13" xfId="16" applyNumberFormat="1" applyFont="1" applyBorder="1" applyAlignment="1">
      <alignment vertical="center"/>
    </xf>
    <xf numFmtId="0" fontId="30" fillId="0" borderId="13" xfId="16" applyNumberFormat="1" applyFont="1" applyBorder="1"/>
    <xf numFmtId="39" fontId="5" fillId="0" borderId="13" xfId="16" applyFont="1" applyBorder="1" applyAlignment="1">
      <alignment vertical="center"/>
    </xf>
    <xf numFmtId="39" fontId="4" fillId="0" borderId="13" xfId="16" applyFont="1" applyBorder="1"/>
    <xf numFmtId="39" fontId="5" fillId="0" borderId="55" xfId="16" applyFont="1" applyBorder="1" applyAlignment="1">
      <alignment vertical="center"/>
    </xf>
    <xf numFmtId="39" fontId="4" fillId="0" borderId="55" xfId="16" applyFont="1" applyBorder="1"/>
    <xf numFmtId="0" fontId="31" fillId="0" borderId="1" xfId="0" applyFont="1" applyBorder="1"/>
    <xf numFmtId="3" fontId="5" fillId="0" borderId="2" xfId="16" applyNumberFormat="1" applyFont="1" applyBorder="1" applyAlignment="1">
      <alignment vertical="center"/>
    </xf>
    <xf numFmtId="3" fontId="7" fillId="0" borderId="2" xfId="16" applyNumberFormat="1" applyBorder="1" applyAlignment="1">
      <alignment vertical="center"/>
    </xf>
    <xf numFmtId="3" fontId="12" fillId="0" borderId="2" xfId="16" applyNumberFormat="1" applyFont="1" applyBorder="1" applyAlignment="1">
      <alignment horizontal="left" vertical="center"/>
    </xf>
    <xf numFmtId="3" fontId="7" fillId="0" borderId="2" xfId="16" applyNumberFormat="1" applyBorder="1"/>
    <xf numFmtId="0" fontId="3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7" xfId="16" applyNumberFormat="1" applyFont="1" applyBorder="1" applyAlignment="1">
      <alignment vertical="center"/>
    </xf>
    <xf numFmtId="3" fontId="5" fillId="0" borderId="7" xfId="16" applyNumberFormat="1" applyFont="1" applyBorder="1" applyAlignment="1">
      <alignment vertical="center" wrapText="1"/>
    </xf>
    <xf numFmtId="3" fontId="7" fillId="0" borderId="1" xfId="16" applyNumberFormat="1" applyBorder="1"/>
    <xf numFmtId="3" fontId="5" fillId="0" borderId="7" xfId="16" applyNumberFormat="1" applyFont="1" applyBorder="1" applyAlignment="1">
      <alignment vertical="center"/>
    </xf>
    <xf numFmtId="49" fontId="30" fillId="0" borderId="5" xfId="16" applyNumberFormat="1" applyFont="1" applyBorder="1" applyAlignment="1">
      <alignment horizontal="left" vertical="center"/>
    </xf>
    <xf numFmtId="0" fontId="32" fillId="0" borderId="5" xfId="16" applyNumberFormat="1" applyFont="1" applyBorder="1" applyAlignment="1">
      <alignment horizontal="left"/>
    </xf>
    <xf numFmtId="3" fontId="5" fillId="0" borderId="5" xfId="16" applyNumberFormat="1" applyFont="1" applyBorder="1" applyAlignment="1">
      <alignment vertical="center" wrapText="1"/>
    </xf>
    <xf numFmtId="3" fontId="7" fillId="0" borderId="5" xfId="16" applyNumberFormat="1" applyBorder="1"/>
    <xf numFmtId="0" fontId="30" fillId="0" borderId="5" xfId="16" applyNumberFormat="1" applyFont="1" applyBorder="1" applyAlignment="1">
      <alignment horizontal="left" vertical="center"/>
    </xf>
    <xf numFmtId="3" fontId="5" fillId="0" borderId="5" xfId="16" applyNumberFormat="1" applyFont="1" applyBorder="1" applyAlignment="1">
      <alignment vertical="center"/>
    </xf>
    <xf numFmtId="14" fontId="30" fillId="0" borderId="5" xfId="16" applyNumberFormat="1" applyFont="1" applyBorder="1" applyAlignment="1">
      <alignment horizontal="left" vertical="center"/>
    </xf>
    <xf numFmtId="0" fontId="28" fillId="0" borderId="0" xfId="0" applyFont="1" applyAlignment="1">
      <alignment horizontal="center"/>
    </xf>
  </cellXfs>
  <cellStyles count="26">
    <cellStyle name="Column" xfId="1" xr:uid="{00000000-0005-0000-0000-000000000000}"/>
    <cellStyle name="Column-r" xfId="2" xr:uid="{00000000-0005-0000-0000-000001000000}"/>
    <cellStyle name="Comma" xfId="3" builtinId="3"/>
    <cellStyle name="Comma_Work papers" xfId="4" xr:uid="{00000000-0005-0000-0000-000003000000}"/>
    <cellStyle name="Currency" xfId="5" builtinId="4"/>
    <cellStyle name="Date" xfId="6" xr:uid="{00000000-0005-0000-0000-000005000000}"/>
    <cellStyle name="Date-head" xfId="7" xr:uid="{00000000-0005-0000-0000-000006000000}"/>
    <cellStyle name="Dates" xfId="8" xr:uid="{00000000-0005-0000-0000-000007000000}"/>
    <cellStyle name="Fixed" xfId="9" xr:uid="{00000000-0005-0000-0000-000008000000}"/>
    <cellStyle name="Heading" xfId="10" xr:uid="{00000000-0005-0000-0000-000009000000}"/>
    <cellStyle name="Headings" xfId="11" xr:uid="{00000000-0005-0000-0000-00000A000000}"/>
    <cellStyle name="Hyperlink" xfId="12" builtinId="8"/>
    <cellStyle name="Minor" xfId="13" xr:uid="{00000000-0005-0000-0000-00000C000000}"/>
    <cellStyle name="Normal" xfId="0" builtinId="0"/>
    <cellStyle name="Normal 2" xfId="14" xr:uid="{00000000-0005-0000-0000-00000E000000}"/>
    <cellStyle name="Normal_TAX RECCCCC" xfId="15" xr:uid="{00000000-0005-0000-0000-00000F000000}"/>
    <cellStyle name="Normal_Work papers" xfId="16" xr:uid="{00000000-0005-0000-0000-000010000000}"/>
    <cellStyle name="Normal_Workpapers" xfId="17" xr:uid="{00000000-0005-0000-0000-000011000000}"/>
    <cellStyle name="Notes" xfId="18" xr:uid="{00000000-0005-0000-0000-000012000000}"/>
    <cellStyle name="Numbers" xfId="19" xr:uid="{00000000-0005-0000-0000-000013000000}"/>
    <cellStyle name="Sub Headings" xfId="20" xr:uid="{00000000-0005-0000-0000-000015000000}"/>
    <cellStyle name="Sub-head" xfId="21" xr:uid="{00000000-0005-0000-0000-000016000000}"/>
    <cellStyle name="Sub-total" xfId="22" xr:uid="{00000000-0005-0000-0000-000017000000}"/>
    <cellStyle name="Total" xfId="23" builtinId="25" customBuiltin="1"/>
    <cellStyle name="Total$" xfId="24" xr:uid="{00000000-0005-0000-0000-000019000000}"/>
    <cellStyle name="Totals" xfId="25" xr:uid="{00000000-0005-0000-0000-00001A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7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9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2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5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6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8.jpeg"/><Relationship Id="rId4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50101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5124450" y="9525"/>
          <a:ext cx="3371850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0</xdr:row>
      <xdr:rowOff>9524</xdr:rowOff>
    </xdr:from>
    <xdr:to>
      <xdr:col>7</xdr:col>
      <xdr:colOff>714376</xdr:colOff>
      <xdr:row>0</xdr:row>
      <xdr:rowOff>742949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pSpPr>
          <a:grpSpLocks/>
        </xdr:cNvGrpSpPr>
      </xdr:nvGrpSpPr>
      <xdr:grpSpPr bwMode="auto">
        <a:xfrm>
          <a:off x="4400551" y="9524"/>
          <a:ext cx="2247900" cy="733425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62</xdr:row>
      <xdr:rowOff>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516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56222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2371725</xdr:colOff>
      <xdr:row>0</xdr:row>
      <xdr:rowOff>0</xdr:rowOff>
    </xdr:from>
    <xdr:to>
      <xdr:col>6</xdr:col>
      <xdr:colOff>619125</xdr:colOff>
      <xdr:row>0</xdr:row>
      <xdr:rowOff>695324</xdr:rowOff>
    </xdr:to>
    <xdr:grpSp>
      <xdr:nvGrpSpPr>
        <xdr:cNvPr id="6145" name="Group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GrpSpPr>
          <a:grpSpLocks/>
        </xdr:cNvGrpSpPr>
      </xdr:nvGrpSpPr>
      <xdr:grpSpPr bwMode="auto">
        <a:xfrm>
          <a:off x="3800475" y="0"/>
          <a:ext cx="2524125" cy="695324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19050</xdr:rowOff>
    </xdr:from>
    <xdr:to>
      <xdr:col>6</xdr:col>
      <xdr:colOff>542925</xdr:colOff>
      <xdr:row>0</xdr:row>
      <xdr:rowOff>752475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3971925" y="19050"/>
          <a:ext cx="2276475" cy="733425"/>
          <a:chOff x="6475" y="2157"/>
          <a:chExt cx="3588" cy="1296"/>
        </a:xfrm>
      </xdr:grpSpPr>
      <xdr:pic>
        <xdr:nvPicPr>
          <xdr:cNvPr id="3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 descr="Letterhead stamp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GZ%20Workpaper%20Template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 Summary"/>
      <sheetName val="Query Sheet"/>
      <sheetName val="Review Sheet"/>
      <sheetName val="Tax reconciliation"/>
      <sheetName val="Journals"/>
      <sheetName val="SBE Depn"/>
      <sheetName val="LVP Depn"/>
      <sheetName val="BAS Summary (Qtrly)"/>
      <sheetName val="BAS Summary (Mthly)"/>
      <sheetName val="Borrowing costs"/>
      <sheetName val="Rental"/>
      <sheetName val="Franking Account Balance"/>
      <sheetName val="GPM"/>
    </sheetNames>
    <sheetDataSet>
      <sheetData sheetId="0">
        <row r="4">
          <cell r="D4" t="str">
            <v>30 June 2018</v>
          </cell>
        </row>
      </sheetData>
      <sheetData sheetId="1">
        <row r="2">
          <cell r="F2">
            <v>0</v>
          </cell>
        </row>
        <row r="4">
          <cell r="F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to.gov.au/Tax-professionals/Newsroom/Your-practice/Instant-asset-write-off-increased-and-extended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4" sqref="F4:G4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1:12" ht="64.5" customHeight="1">
      <c r="A1"/>
      <c r="B1" s="127" t="s">
        <v>98</v>
      </c>
      <c r="L1"/>
    </row>
    <row r="2" spans="1:12" s="8" customFormat="1" ht="30">
      <c r="B2" s="9" t="s">
        <v>6</v>
      </c>
      <c r="C2" s="59"/>
      <c r="D2" s="138" t="s">
        <v>119</v>
      </c>
      <c r="E2" s="52" t="s">
        <v>7</v>
      </c>
      <c r="F2" s="221" t="s">
        <v>120</v>
      </c>
      <c r="G2" s="222"/>
    </row>
    <row r="3" spans="1:12" s="13" customFormat="1" ht="30" customHeight="1">
      <c r="B3" s="9" t="s">
        <v>8</v>
      </c>
      <c r="C3" s="59"/>
      <c r="D3" s="138" t="s">
        <v>121</v>
      </c>
      <c r="E3" s="54" t="s">
        <v>9</v>
      </c>
      <c r="F3" s="221" t="s">
        <v>161</v>
      </c>
      <c r="G3" s="222"/>
    </row>
    <row r="4" spans="1:12" s="13" customFormat="1" ht="30.75" customHeight="1">
      <c r="B4" s="9" t="s">
        <v>10</v>
      </c>
      <c r="C4" s="59"/>
      <c r="D4" s="138" t="s">
        <v>160</v>
      </c>
      <c r="E4" s="52" t="s">
        <v>11</v>
      </c>
      <c r="F4" s="221"/>
      <c r="G4" s="222"/>
      <c r="J4" s="126"/>
    </row>
    <row r="5" spans="1:12" s="13" customFormat="1" ht="5.25" customHeight="1" thickBot="1">
      <c r="B5" s="15"/>
      <c r="C5" s="15"/>
      <c r="D5" s="16"/>
      <c r="E5" s="16"/>
      <c r="F5" s="115"/>
      <c r="G5" s="17"/>
    </row>
    <row r="6" spans="1:12" customFormat="1" ht="25.5" customHeight="1" thickBot="1">
      <c r="B6" s="223" t="s">
        <v>66</v>
      </c>
      <c r="C6" s="224"/>
      <c r="D6" s="225"/>
      <c r="E6" s="226" t="s">
        <v>81</v>
      </c>
      <c r="F6" s="227"/>
      <c r="G6" s="228"/>
    </row>
    <row r="7" spans="1:12" customFormat="1" ht="13.5" customHeight="1">
      <c r="B7" s="155"/>
      <c r="C7" s="153"/>
      <c r="D7" s="152"/>
      <c r="E7" s="146" t="s">
        <v>113</v>
      </c>
      <c r="F7" s="151"/>
      <c r="G7" s="154"/>
    </row>
    <row r="8" spans="1:12" customFormat="1">
      <c r="B8" s="102" t="s">
        <v>67</v>
      </c>
      <c r="C8" s="147"/>
      <c r="D8" s="148"/>
      <c r="E8" s="4"/>
      <c r="F8" s="149"/>
      <c r="G8" s="150"/>
    </row>
    <row r="9" spans="1:12" customFormat="1" ht="12.75">
      <c r="B9" s="103"/>
      <c r="C9" s="104" t="s">
        <v>68</v>
      </c>
      <c r="D9" s="105"/>
      <c r="E9" s="61"/>
      <c r="F9" s="118"/>
      <c r="G9" s="66"/>
    </row>
    <row r="10" spans="1:12" customFormat="1" ht="12.75">
      <c r="B10" s="103"/>
      <c r="C10" s="104" t="s">
        <v>82</v>
      </c>
      <c r="D10" s="105"/>
      <c r="E10" s="117"/>
      <c r="F10" s="118"/>
      <c r="G10" s="66"/>
    </row>
    <row r="11" spans="1:12" customFormat="1" ht="12.75">
      <c r="B11" s="103"/>
      <c r="C11" s="104" t="s">
        <v>69</v>
      </c>
      <c r="D11" s="105"/>
      <c r="E11" s="61"/>
      <c r="F11" s="118"/>
      <c r="G11" s="66"/>
    </row>
    <row r="12" spans="1:12" customFormat="1" ht="12.75">
      <c r="B12" s="103"/>
      <c r="C12" s="104" t="s">
        <v>67</v>
      </c>
      <c r="D12" s="105"/>
      <c r="E12" s="61"/>
      <c r="F12" s="118"/>
      <c r="G12" s="66"/>
    </row>
    <row r="13" spans="1:12" customFormat="1" ht="12.75">
      <c r="B13" s="103"/>
      <c r="C13" s="104"/>
      <c r="D13" s="105"/>
      <c r="E13" s="61"/>
      <c r="F13" s="118"/>
      <c r="G13" s="66"/>
    </row>
    <row r="14" spans="1:12" customFormat="1" ht="12.75">
      <c r="B14" s="106" t="s">
        <v>70</v>
      </c>
      <c r="C14" s="104"/>
      <c r="D14" s="105"/>
      <c r="E14" s="61"/>
      <c r="F14" s="118"/>
      <c r="G14" s="66"/>
    </row>
    <row r="15" spans="1:12" customFormat="1" ht="12.75">
      <c r="B15" s="103"/>
      <c r="C15" s="104" t="s">
        <v>70</v>
      </c>
      <c r="D15" s="105"/>
      <c r="E15" s="61"/>
      <c r="F15" s="118"/>
      <c r="G15" s="66"/>
    </row>
    <row r="16" spans="1:12" customFormat="1" ht="12.75">
      <c r="B16" s="103"/>
      <c r="C16" s="104" t="s">
        <v>71</v>
      </c>
      <c r="D16" s="105"/>
      <c r="E16" s="61"/>
      <c r="F16" s="118"/>
      <c r="G16" s="66"/>
    </row>
    <row r="17" spans="2:7" customFormat="1" ht="12.75">
      <c r="B17" s="103"/>
      <c r="C17" s="104" t="s">
        <v>72</v>
      </c>
      <c r="D17" s="105"/>
      <c r="E17" s="61"/>
      <c r="F17" s="118"/>
      <c r="G17" s="66"/>
    </row>
    <row r="18" spans="2:7" customFormat="1" ht="12.75">
      <c r="B18" s="103"/>
      <c r="C18" s="104" t="s">
        <v>73</v>
      </c>
      <c r="D18" s="105"/>
      <c r="E18" s="61"/>
      <c r="F18" s="118"/>
      <c r="G18" s="66"/>
    </row>
    <row r="19" spans="2:7" customFormat="1" ht="12.75">
      <c r="B19" s="110"/>
      <c r="C19" s="111"/>
      <c r="D19" s="112"/>
      <c r="E19" s="116"/>
      <c r="F19" s="119"/>
      <c r="G19" s="113"/>
    </row>
    <row r="20" spans="2:7" customFormat="1" ht="12.75">
      <c r="B20" s="114" t="s">
        <v>77</v>
      </c>
      <c r="C20" s="111"/>
      <c r="D20" s="112"/>
      <c r="E20" s="116"/>
      <c r="F20" s="119"/>
      <c r="G20" s="113"/>
    </row>
    <row r="21" spans="2:7" customFormat="1" ht="12.75">
      <c r="B21" s="110"/>
      <c r="C21" s="111" t="s">
        <v>78</v>
      </c>
      <c r="D21" s="112"/>
      <c r="E21" s="116"/>
      <c r="F21" s="119"/>
      <c r="G21" s="113"/>
    </row>
    <row r="22" spans="2:7" customFormat="1" ht="12.75">
      <c r="B22" s="110"/>
      <c r="C22" s="111" t="s">
        <v>79</v>
      </c>
      <c r="D22" s="112"/>
      <c r="E22" s="116"/>
      <c r="F22" s="119"/>
      <c r="G22" s="113"/>
    </row>
    <row r="23" spans="2:7" customFormat="1" ht="12.75">
      <c r="B23" s="110"/>
      <c r="C23" s="111" t="s">
        <v>80</v>
      </c>
      <c r="D23" s="112"/>
      <c r="E23" s="111"/>
      <c r="F23" s="119"/>
      <c r="G23" s="113"/>
    </row>
    <row r="24" spans="2:7" customFormat="1" ht="12.75">
      <c r="B24" s="110"/>
      <c r="C24" s="111"/>
      <c r="D24" s="112"/>
      <c r="E24" s="111"/>
      <c r="F24" s="119"/>
      <c r="G24" s="113"/>
    </row>
    <row r="25" spans="2:7" customFormat="1" ht="12.75">
      <c r="B25" s="114" t="s">
        <v>83</v>
      </c>
      <c r="C25" s="111"/>
      <c r="D25" s="112"/>
      <c r="E25" s="111"/>
      <c r="F25" s="119"/>
      <c r="G25" s="113"/>
    </row>
    <row r="26" spans="2:7" customFormat="1" ht="12.75">
      <c r="B26" s="114"/>
      <c r="C26" s="111"/>
      <c r="D26" s="112"/>
      <c r="E26" s="111"/>
      <c r="F26" s="119"/>
      <c r="G26" s="113"/>
    </row>
    <row r="27" spans="2:7" customFormat="1" ht="12.75">
      <c r="B27" s="114" t="s">
        <v>84</v>
      </c>
      <c r="C27" s="111"/>
      <c r="D27" s="112"/>
      <c r="E27" s="111"/>
      <c r="F27" s="119"/>
      <c r="G27" s="113"/>
    </row>
    <row r="28" spans="2:7" customFormat="1" ht="12.75">
      <c r="B28" s="114"/>
      <c r="C28" s="111"/>
      <c r="D28" s="112"/>
      <c r="E28" s="111"/>
      <c r="F28" s="119"/>
      <c r="G28" s="113"/>
    </row>
    <row r="29" spans="2:7" customFormat="1" ht="12.75">
      <c r="B29" s="114"/>
      <c r="C29" s="111"/>
      <c r="D29" s="112"/>
      <c r="E29" s="111"/>
      <c r="F29" s="119"/>
      <c r="G29" s="113"/>
    </row>
    <row r="30" spans="2:7" ht="15" thickBot="1">
      <c r="B30" s="107"/>
      <c r="C30" s="108"/>
      <c r="D30" s="109"/>
      <c r="E30" s="62"/>
      <c r="F30" s="120"/>
      <c r="G30" s="67"/>
    </row>
  </sheetData>
  <mergeCells count="5">
    <mergeCell ref="F2:G2"/>
    <mergeCell ref="F3:G3"/>
    <mergeCell ref="F4:G4"/>
    <mergeCell ref="B6:D6"/>
    <mergeCell ref="E6:G6"/>
  </mergeCells>
  <phoneticPr fontId="24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0DFA-FD24-4ED1-9C28-4B96E3F54505}">
  <sheetPr>
    <pageSetUpPr fitToPage="1"/>
  </sheetPr>
  <dimension ref="B3:E20"/>
  <sheetViews>
    <sheetView workbookViewId="0">
      <selection activeCell="A17" sqref="A17:XFD17"/>
    </sheetView>
  </sheetViews>
  <sheetFormatPr defaultRowHeight="12.75"/>
  <cols>
    <col min="2" max="2" width="13.28515625" customWidth="1"/>
    <col min="3" max="3" width="18.42578125" customWidth="1"/>
    <col min="5" max="5" width="10.140625" bestFit="1" customWidth="1"/>
    <col min="6" max="6" width="17.7109375" bestFit="1" customWidth="1"/>
  </cols>
  <sheetData>
    <row r="3" spans="2:5">
      <c r="C3" s="172" t="s">
        <v>123</v>
      </c>
    </row>
    <row r="4" spans="2:5">
      <c r="C4" s="172">
        <v>734812075</v>
      </c>
    </row>
    <row r="6" spans="2:5">
      <c r="B6" s="183"/>
      <c r="C6" s="162">
        <v>545.25</v>
      </c>
    </row>
    <row r="7" spans="2:5">
      <c r="B7" s="173"/>
      <c r="C7" s="162">
        <v>568.14</v>
      </c>
      <c r="E7" s="173"/>
    </row>
    <row r="8" spans="2:5">
      <c r="B8" s="173"/>
      <c r="C8" s="162">
        <v>648.92999999999995</v>
      </c>
    </row>
    <row r="9" spans="2:5">
      <c r="B9" s="173"/>
      <c r="C9" s="162">
        <v>587.24</v>
      </c>
    </row>
    <row r="10" spans="2:5">
      <c r="B10" s="173"/>
      <c r="C10" s="162">
        <v>659.39</v>
      </c>
    </row>
    <row r="11" spans="2:5">
      <c r="B11" s="173"/>
      <c r="C11" s="162">
        <v>727</v>
      </c>
    </row>
    <row r="12" spans="2:5">
      <c r="B12" s="173"/>
      <c r="C12" s="162">
        <v>576.87</v>
      </c>
    </row>
    <row r="13" spans="2:5">
      <c r="B13" s="173"/>
      <c r="C13" s="162">
        <v>663.79</v>
      </c>
    </row>
    <row r="14" spans="2:5">
      <c r="B14" s="173"/>
      <c r="C14" s="162">
        <v>606.95000000000005</v>
      </c>
    </row>
    <row r="15" spans="2:5">
      <c r="B15" s="173"/>
      <c r="C15" s="162">
        <v>687.71</v>
      </c>
    </row>
    <row r="16" spans="2:5">
      <c r="B16" s="173"/>
      <c r="C16" s="162">
        <v>655.64</v>
      </c>
    </row>
    <row r="17" spans="3:3" ht="13.5" thickBot="1">
      <c r="C17" s="182">
        <f>SUM(C6:C16)</f>
        <v>6926.91</v>
      </c>
    </row>
    <row r="18" spans="3:3" ht="13.5" thickTop="1"/>
    <row r="20" spans="3:3">
      <c r="C20" s="163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30B7-7FBD-4CF0-98D1-6166B03D5939}">
  <sheetPr>
    <pageSetUpPr fitToPage="1"/>
  </sheetPr>
  <dimension ref="B2:L57"/>
  <sheetViews>
    <sheetView workbookViewId="0">
      <pane ySplit="2" topLeftCell="A12" activePane="bottomLeft" state="frozen"/>
      <selection pane="bottomLeft" activeCell="N45" sqref="N45"/>
    </sheetView>
  </sheetViews>
  <sheetFormatPr defaultRowHeight="12.75"/>
  <cols>
    <col min="3" max="3" width="11.28515625" bestFit="1" customWidth="1"/>
    <col min="4" max="5" width="11.28515625" customWidth="1"/>
    <col min="7" max="7" width="12.140625" bestFit="1" customWidth="1"/>
    <col min="9" max="9" width="10.28515625" bestFit="1" customWidth="1"/>
    <col min="10" max="11" width="11.28515625" bestFit="1" customWidth="1"/>
    <col min="12" max="12" width="10.28515625" bestFit="1" customWidth="1"/>
  </cols>
  <sheetData>
    <row r="2" spans="2:12">
      <c r="C2" s="179" t="s">
        <v>145</v>
      </c>
      <c r="D2" s="179"/>
      <c r="E2" s="179" t="s">
        <v>143</v>
      </c>
      <c r="F2" s="179"/>
      <c r="G2" s="179" t="s">
        <v>144</v>
      </c>
      <c r="H2" s="179"/>
      <c r="I2" s="179" t="s">
        <v>122</v>
      </c>
      <c r="J2" s="179" t="s">
        <v>146</v>
      </c>
    </row>
    <row r="3" spans="2:12">
      <c r="B3" s="190">
        <v>44743</v>
      </c>
      <c r="C3" s="162">
        <v>2540</v>
      </c>
      <c r="D3" s="162"/>
      <c r="E3" s="162"/>
      <c r="F3" s="162"/>
      <c r="G3" s="162"/>
      <c r="H3" s="162"/>
      <c r="I3" s="162">
        <f>254</f>
        <v>254</v>
      </c>
      <c r="J3" s="162">
        <f>SUM(C3:I3)</f>
        <v>2794</v>
      </c>
      <c r="K3" s="173"/>
    </row>
    <row r="4" spans="2:12">
      <c r="C4" s="162"/>
      <c r="D4" s="162"/>
      <c r="E4" s="162"/>
      <c r="F4" s="162"/>
      <c r="G4" s="162">
        <v>2080</v>
      </c>
      <c r="H4" s="162"/>
      <c r="I4" s="162">
        <v>208</v>
      </c>
      <c r="J4" s="162">
        <f>SUM(C4:I4)</f>
        <v>2288</v>
      </c>
      <c r="K4" s="173"/>
    </row>
    <row r="5" spans="2:12">
      <c r="C5" s="162"/>
      <c r="D5" s="162"/>
      <c r="E5" s="162"/>
      <c r="F5" s="162"/>
      <c r="G5" s="162"/>
      <c r="H5" s="162"/>
      <c r="I5" s="162"/>
      <c r="J5" s="162">
        <f>SUM(C5:I5)</f>
        <v>0</v>
      </c>
    </row>
    <row r="6" spans="2:12">
      <c r="B6" s="190">
        <v>44774</v>
      </c>
      <c r="C6" s="162">
        <v>2540</v>
      </c>
      <c r="D6" s="162"/>
      <c r="E6" s="162"/>
      <c r="F6" s="162"/>
      <c r="G6" s="162"/>
      <c r="H6" s="162"/>
      <c r="I6" s="162">
        <v>254</v>
      </c>
      <c r="J6" s="162">
        <f>SUM(C6:I6)</f>
        <v>2794</v>
      </c>
      <c r="K6" s="173"/>
    </row>
    <row r="7" spans="2:12">
      <c r="C7" s="162"/>
      <c r="D7" s="162"/>
      <c r="E7" s="162"/>
      <c r="F7" s="162"/>
      <c r="G7" s="162">
        <v>2080</v>
      </c>
      <c r="H7" s="162"/>
      <c r="I7" s="162">
        <v>208</v>
      </c>
      <c r="J7" s="162">
        <f>SUM(C7:I7)</f>
        <v>2288</v>
      </c>
      <c r="K7" s="173"/>
    </row>
    <row r="8" spans="2:12">
      <c r="C8" s="162"/>
      <c r="D8" s="162"/>
      <c r="E8" s="162"/>
      <c r="F8" s="162"/>
      <c r="G8" s="162"/>
      <c r="H8" s="162"/>
      <c r="I8" s="162"/>
      <c r="J8" s="162"/>
    </row>
    <row r="9" spans="2:12">
      <c r="B9" s="190">
        <v>44805</v>
      </c>
      <c r="C9" s="162">
        <v>2540</v>
      </c>
      <c r="D9" s="162"/>
      <c r="E9" s="162"/>
      <c r="F9" s="162"/>
      <c r="G9" s="162"/>
      <c r="H9" s="162"/>
      <c r="I9" s="162">
        <v>254</v>
      </c>
      <c r="J9" s="162">
        <f t="shared" ref="J9:J21" si="0">SUM(C9:I9)</f>
        <v>2794</v>
      </c>
      <c r="K9" s="173"/>
      <c r="L9" s="162"/>
    </row>
    <row r="10" spans="2:12">
      <c r="C10" s="162"/>
      <c r="D10" s="162"/>
      <c r="E10" s="162"/>
      <c r="F10" s="162"/>
      <c r="G10" s="162"/>
      <c r="H10" s="162"/>
      <c r="I10" s="162"/>
      <c r="J10" s="162">
        <f t="shared" si="0"/>
        <v>0</v>
      </c>
    </row>
    <row r="11" spans="2:12">
      <c r="B11" s="190">
        <v>44835</v>
      </c>
      <c r="C11" s="162">
        <v>2540</v>
      </c>
      <c r="D11" s="162"/>
      <c r="E11" s="162"/>
      <c r="F11" s="162"/>
      <c r="G11" s="162"/>
      <c r="H11" s="162"/>
      <c r="I11" s="162">
        <v>254</v>
      </c>
      <c r="J11" s="162">
        <f t="shared" si="0"/>
        <v>2794</v>
      </c>
      <c r="K11" s="173"/>
    </row>
    <row r="12" spans="2:12">
      <c r="B12" s="190"/>
      <c r="C12" s="162"/>
      <c r="D12" s="162"/>
      <c r="E12" s="162"/>
      <c r="F12" s="162"/>
      <c r="G12" s="162">
        <v>2600</v>
      </c>
      <c r="H12" s="162"/>
      <c r="I12" s="162">
        <v>260</v>
      </c>
      <c r="J12" s="162">
        <f t="shared" si="0"/>
        <v>2860</v>
      </c>
      <c r="K12" s="173"/>
    </row>
    <row r="13" spans="2:12">
      <c r="C13" s="162"/>
      <c r="D13" s="162"/>
      <c r="E13" s="162"/>
      <c r="F13" s="162"/>
      <c r="G13" s="162">
        <v>2080</v>
      </c>
      <c r="H13" s="162"/>
      <c r="I13" s="162">
        <v>208</v>
      </c>
      <c r="J13" s="162">
        <f t="shared" si="0"/>
        <v>2288</v>
      </c>
      <c r="K13" s="173"/>
    </row>
    <row r="14" spans="2:12">
      <c r="C14" s="162"/>
      <c r="D14" s="162"/>
      <c r="E14" s="162"/>
      <c r="F14" s="162"/>
      <c r="G14" s="162"/>
      <c r="H14" s="162"/>
      <c r="I14" s="162"/>
      <c r="J14" s="162">
        <f t="shared" si="0"/>
        <v>0</v>
      </c>
    </row>
    <row r="15" spans="2:12">
      <c r="B15" s="190">
        <v>44866</v>
      </c>
      <c r="C15" s="162">
        <v>2540</v>
      </c>
      <c r="D15" s="162"/>
      <c r="E15" s="162"/>
      <c r="F15" s="162"/>
      <c r="G15" s="162"/>
      <c r="H15" s="162"/>
      <c r="I15" s="162">
        <v>254</v>
      </c>
      <c r="J15" s="162">
        <f t="shared" si="0"/>
        <v>2794</v>
      </c>
      <c r="K15" s="173"/>
    </row>
    <row r="16" spans="2:12">
      <c r="C16" s="162"/>
      <c r="D16" s="162"/>
      <c r="E16" s="162"/>
      <c r="F16" s="162"/>
      <c r="G16" s="162">
        <v>2600</v>
      </c>
      <c r="H16" s="162"/>
      <c r="I16" s="162">
        <v>260</v>
      </c>
      <c r="J16" s="162">
        <f t="shared" si="0"/>
        <v>2860</v>
      </c>
      <c r="K16" s="173"/>
    </row>
    <row r="17" spans="2:11">
      <c r="C17" s="162"/>
      <c r="D17" s="162"/>
      <c r="E17" s="162"/>
      <c r="F17" s="162"/>
      <c r="G17" s="162"/>
      <c r="H17" s="162"/>
      <c r="I17" s="162"/>
      <c r="J17" s="162">
        <f t="shared" si="0"/>
        <v>0</v>
      </c>
    </row>
    <row r="18" spans="2:11">
      <c r="B18" s="190">
        <v>44896</v>
      </c>
      <c r="C18" s="162">
        <v>2540</v>
      </c>
      <c r="D18" s="162"/>
      <c r="E18" s="162"/>
      <c r="F18" s="162"/>
      <c r="G18" s="162"/>
      <c r="H18" s="162"/>
      <c r="I18" s="162">
        <v>254</v>
      </c>
      <c r="J18" s="162">
        <f t="shared" si="0"/>
        <v>2794</v>
      </c>
    </row>
    <row r="19" spans="2:11">
      <c r="C19" s="162"/>
      <c r="D19" s="162"/>
      <c r="E19" s="162"/>
      <c r="F19" s="162"/>
      <c r="G19" s="162">
        <v>2080</v>
      </c>
      <c r="H19" s="162"/>
      <c r="I19" s="162">
        <v>208</v>
      </c>
      <c r="J19" s="162">
        <f t="shared" si="0"/>
        <v>2288</v>
      </c>
    </row>
    <row r="20" spans="2:11">
      <c r="C20" s="162"/>
      <c r="D20" s="162"/>
      <c r="E20" s="162">
        <v>1170</v>
      </c>
      <c r="F20" s="162"/>
      <c r="G20" s="162"/>
      <c r="H20" s="162"/>
      <c r="I20" s="162">
        <v>117</v>
      </c>
      <c r="J20" s="162">
        <f t="shared" si="0"/>
        <v>1287</v>
      </c>
    </row>
    <row r="21" spans="2:11">
      <c r="C21" s="162"/>
      <c r="D21" s="162"/>
      <c r="E21" s="162">
        <v>1170</v>
      </c>
      <c r="F21" s="162"/>
      <c r="G21" s="162"/>
      <c r="H21" s="162"/>
      <c r="I21" s="162">
        <v>117</v>
      </c>
      <c r="J21" s="162">
        <f t="shared" si="0"/>
        <v>1287</v>
      </c>
    </row>
    <row r="22" spans="2:11">
      <c r="C22" s="162"/>
      <c r="D22" s="162"/>
      <c r="E22" s="162"/>
      <c r="F22" s="162"/>
      <c r="G22" s="162"/>
      <c r="H22" s="162"/>
      <c r="I22" s="162"/>
      <c r="J22" s="162"/>
    </row>
    <row r="23" spans="2:11">
      <c r="C23" s="162"/>
      <c r="D23" s="162"/>
      <c r="E23" s="162"/>
      <c r="F23" s="162"/>
      <c r="G23" s="162"/>
      <c r="H23" s="162"/>
      <c r="I23" s="162"/>
      <c r="J23" s="162"/>
    </row>
    <row r="24" spans="2:11">
      <c r="B24" s="190">
        <v>44927</v>
      </c>
      <c r="C24" s="162">
        <v>2540</v>
      </c>
      <c r="D24" s="162"/>
      <c r="E24" s="162"/>
      <c r="F24" s="162"/>
      <c r="G24" s="162"/>
      <c r="H24" s="162"/>
      <c r="I24" s="162">
        <v>254</v>
      </c>
      <c r="J24" s="162">
        <f>SUM(C24:I24)</f>
        <v>2794</v>
      </c>
    </row>
    <row r="25" spans="2:11">
      <c r="B25" s="190"/>
      <c r="C25" s="162"/>
      <c r="D25" s="162"/>
      <c r="E25" s="162"/>
      <c r="F25" s="162"/>
      <c r="G25" s="162"/>
      <c r="H25" s="162"/>
      <c r="I25" s="162"/>
      <c r="J25" s="162"/>
    </row>
    <row r="26" spans="2:11">
      <c r="B26" s="191">
        <v>44958</v>
      </c>
      <c r="C26" s="162">
        <v>2540</v>
      </c>
      <c r="D26" s="162"/>
      <c r="E26" s="162"/>
      <c r="F26" s="162"/>
      <c r="G26" s="162"/>
      <c r="H26" s="162"/>
      <c r="I26" s="162">
        <v>254</v>
      </c>
      <c r="J26" s="162">
        <f>SUM(C26:I26)</f>
        <v>2794</v>
      </c>
    </row>
    <row r="27" spans="2:11">
      <c r="B27" s="191"/>
      <c r="C27" s="162"/>
      <c r="D27" s="162"/>
      <c r="E27" s="162"/>
      <c r="F27" s="162"/>
      <c r="G27" s="162">
        <v>2080</v>
      </c>
      <c r="H27" s="162"/>
      <c r="I27" s="162">
        <v>208</v>
      </c>
      <c r="J27" s="162">
        <f>SUM(C27:I27)</f>
        <v>2288</v>
      </c>
    </row>
    <row r="28" spans="2:11">
      <c r="B28" s="191"/>
      <c r="C28" s="162"/>
      <c r="D28" s="162"/>
      <c r="E28" s="162"/>
      <c r="F28" s="162"/>
      <c r="G28" s="162">
        <v>2080</v>
      </c>
      <c r="H28" s="162"/>
      <c r="I28" s="162">
        <v>208</v>
      </c>
      <c r="J28" s="162">
        <f>SUM(C28:I28)</f>
        <v>2288</v>
      </c>
    </row>
    <row r="29" spans="2:11">
      <c r="B29" s="191"/>
      <c r="C29" s="162"/>
      <c r="D29" s="162"/>
      <c r="E29" s="162"/>
      <c r="F29" s="162"/>
      <c r="G29" s="162"/>
      <c r="H29" s="162"/>
      <c r="I29" s="162"/>
      <c r="J29" s="162"/>
    </row>
    <row r="30" spans="2:11">
      <c r="B30" s="190">
        <v>44986</v>
      </c>
      <c r="C30" s="162">
        <v>2540</v>
      </c>
      <c r="D30" s="162"/>
      <c r="E30" s="162"/>
      <c r="F30" s="162"/>
      <c r="G30" s="162"/>
      <c r="H30" s="162"/>
      <c r="I30" s="162">
        <v>254</v>
      </c>
      <c r="J30" s="162">
        <f>SUM(C30:I30)</f>
        <v>2794</v>
      </c>
      <c r="K30" s="162"/>
    </row>
    <row r="31" spans="2:11">
      <c r="B31" s="190"/>
      <c r="C31" s="162">
        <v>403.38</v>
      </c>
      <c r="D31" s="162"/>
      <c r="E31" s="162"/>
      <c r="F31" s="162"/>
      <c r="G31" s="162"/>
      <c r="H31" s="162"/>
      <c r="I31" s="162">
        <v>40.340000000000003</v>
      </c>
      <c r="J31" s="162">
        <f>SUM(C31:I31)</f>
        <v>443.72</v>
      </c>
      <c r="K31" s="162"/>
    </row>
    <row r="32" spans="2:11">
      <c r="B32" s="190"/>
      <c r="C32" s="162"/>
      <c r="D32" s="162"/>
      <c r="E32" s="162"/>
      <c r="F32" s="162"/>
      <c r="G32" s="162">
        <v>2600</v>
      </c>
      <c r="H32" s="162"/>
      <c r="I32" s="162">
        <v>260</v>
      </c>
      <c r="J32" s="162">
        <f>SUM(C32:I32)</f>
        <v>2860</v>
      </c>
      <c r="K32" s="162"/>
    </row>
    <row r="33" spans="2:11">
      <c r="B33" s="190"/>
      <c r="C33" s="162"/>
      <c r="D33" s="162"/>
      <c r="E33" s="162"/>
      <c r="F33" s="162"/>
      <c r="G33" s="162">
        <v>80.25</v>
      </c>
      <c r="H33" s="162"/>
      <c r="I33" s="162">
        <v>8.0299999999999994</v>
      </c>
      <c r="J33" s="162">
        <f>SUM(C33:I33)</f>
        <v>88.28</v>
      </c>
      <c r="K33" s="162"/>
    </row>
    <row r="34" spans="2:11">
      <c r="B34" s="190"/>
      <c r="C34" s="162"/>
      <c r="D34" s="162"/>
      <c r="E34" s="162"/>
      <c r="F34" s="162"/>
      <c r="G34" s="162"/>
      <c r="H34" s="162"/>
      <c r="I34" s="162"/>
      <c r="J34" s="162"/>
      <c r="K34" s="162"/>
    </row>
    <row r="35" spans="2:11">
      <c r="B35" s="190">
        <v>45017</v>
      </c>
      <c r="C35" s="162">
        <v>2540</v>
      </c>
      <c r="D35" s="162"/>
      <c r="E35" s="162"/>
      <c r="F35" s="162"/>
      <c r="G35" s="162"/>
      <c r="H35" s="162"/>
      <c r="I35" s="162">
        <v>254</v>
      </c>
      <c r="J35" s="162">
        <f t="shared" ref="J35:J42" si="1">SUM(C35:I35)</f>
        <v>2794</v>
      </c>
      <c r="K35" s="162"/>
    </row>
    <row r="36" spans="2:11">
      <c r="C36" s="162"/>
      <c r="D36" s="162"/>
      <c r="E36" s="162"/>
      <c r="F36" s="162"/>
      <c r="G36" s="162">
        <v>2080</v>
      </c>
      <c r="H36" s="162"/>
      <c r="I36" s="162">
        <v>208</v>
      </c>
      <c r="J36" s="162">
        <f t="shared" si="1"/>
        <v>2288</v>
      </c>
      <c r="K36" s="162"/>
    </row>
    <row r="37" spans="2:11">
      <c r="C37" s="162"/>
      <c r="D37" s="162"/>
      <c r="E37" s="162">
        <v>2310</v>
      </c>
      <c r="F37" s="162"/>
      <c r="G37" s="162"/>
      <c r="H37" s="162"/>
      <c r="I37" s="162">
        <v>231</v>
      </c>
      <c r="J37" s="162">
        <f t="shared" si="1"/>
        <v>2541</v>
      </c>
      <c r="K37" s="162"/>
    </row>
    <row r="38" spans="2:11">
      <c r="C38" s="162"/>
      <c r="D38" s="162"/>
      <c r="E38" s="162"/>
      <c r="F38" s="162"/>
      <c r="G38" s="162"/>
      <c r="H38" s="162"/>
      <c r="I38" s="162"/>
      <c r="J38" s="162">
        <f t="shared" si="1"/>
        <v>0</v>
      </c>
      <c r="K38" s="162"/>
    </row>
    <row r="39" spans="2:11">
      <c r="B39" s="190">
        <v>45047</v>
      </c>
      <c r="C39" s="162">
        <v>2540</v>
      </c>
      <c r="D39" s="162"/>
      <c r="E39" s="162"/>
      <c r="F39" s="162"/>
      <c r="G39" s="162"/>
      <c r="H39" s="162"/>
      <c r="I39" s="162">
        <v>254</v>
      </c>
      <c r="J39" s="162">
        <f t="shared" si="1"/>
        <v>2794</v>
      </c>
      <c r="K39" s="162"/>
    </row>
    <row r="40" spans="2:11">
      <c r="B40" s="190"/>
      <c r="C40" s="162">
        <v>2540</v>
      </c>
      <c r="D40" s="162"/>
      <c r="E40" s="162"/>
      <c r="F40" s="162"/>
      <c r="G40" s="162"/>
      <c r="H40" s="162"/>
      <c r="I40" s="162">
        <v>254</v>
      </c>
      <c r="J40" s="162">
        <f t="shared" si="1"/>
        <v>2794</v>
      </c>
      <c r="K40" s="162"/>
    </row>
    <row r="41" spans="2:11">
      <c r="B41" s="190"/>
      <c r="C41" s="162"/>
      <c r="D41" s="162"/>
      <c r="E41" s="162"/>
      <c r="F41" s="162"/>
      <c r="G41" s="162">
        <v>2080</v>
      </c>
      <c r="H41" s="162"/>
      <c r="I41" s="162">
        <v>208</v>
      </c>
      <c r="J41" s="162">
        <f t="shared" si="1"/>
        <v>2288</v>
      </c>
      <c r="K41" s="162"/>
    </row>
    <row r="42" spans="2:11">
      <c r="C42" s="162"/>
      <c r="D42" s="162"/>
      <c r="E42" s="162"/>
      <c r="F42" s="162"/>
      <c r="G42" s="162"/>
      <c r="H42" s="162"/>
      <c r="I42" s="162"/>
      <c r="J42" s="162">
        <f t="shared" si="1"/>
        <v>0</v>
      </c>
      <c r="K42" s="162"/>
    </row>
    <row r="43" spans="2:11">
      <c r="C43" s="178">
        <f>SUM(C3:C42)</f>
        <v>30883.38</v>
      </c>
      <c r="D43" s="178"/>
      <c r="E43" s="178">
        <f>SUM(E3:E42)</f>
        <v>4650</v>
      </c>
      <c r="F43" s="178"/>
      <c r="G43" s="178">
        <f>SUM(G3:G42)</f>
        <v>24520.25</v>
      </c>
      <c r="H43" s="178"/>
      <c r="I43" s="195">
        <f>SUM(I3:I42)</f>
        <v>6005.37</v>
      </c>
      <c r="J43" s="178">
        <f>SUM(J3:J42)</f>
        <v>66059</v>
      </c>
      <c r="K43" s="162"/>
    </row>
    <row r="44" spans="2:11">
      <c r="C44" s="162"/>
      <c r="D44" s="162"/>
      <c r="E44" s="162"/>
      <c r="F44" s="162"/>
      <c r="G44" s="162"/>
      <c r="H44" s="162"/>
      <c r="I44" s="162"/>
      <c r="J44" s="162"/>
      <c r="K44" s="162"/>
    </row>
    <row r="45" spans="2:11">
      <c r="C45" s="162"/>
      <c r="D45" s="162"/>
      <c r="E45" s="162"/>
      <c r="F45" s="162"/>
      <c r="G45" s="162"/>
      <c r="H45" s="193" t="s">
        <v>147</v>
      </c>
      <c r="I45" s="193"/>
      <c r="J45" s="193">
        <f>J43-I43</f>
        <v>60053.63</v>
      </c>
      <c r="K45" s="162"/>
    </row>
    <row r="46" spans="2:11">
      <c r="C46" s="162"/>
      <c r="D46" s="162"/>
      <c r="E46" s="162"/>
      <c r="F46" s="162"/>
      <c r="G46" s="162"/>
      <c r="H46" s="162"/>
      <c r="I46" s="162"/>
      <c r="J46" s="162"/>
      <c r="K46" s="162"/>
    </row>
    <row r="47" spans="2:11">
      <c r="C47" s="162"/>
      <c r="D47" s="162"/>
      <c r="E47" s="162"/>
      <c r="F47" s="162"/>
      <c r="G47" s="162"/>
      <c r="H47" s="162"/>
      <c r="I47" s="162"/>
      <c r="J47" s="162"/>
      <c r="K47" s="162"/>
    </row>
    <row r="48" spans="2:11">
      <c r="C48" s="162"/>
      <c r="D48" s="162"/>
      <c r="E48" s="162"/>
      <c r="F48" s="162"/>
      <c r="G48" s="162"/>
      <c r="H48" s="162"/>
      <c r="I48" s="162"/>
      <c r="J48" s="162"/>
      <c r="K48" s="162"/>
    </row>
    <row r="49" spans="3:11">
      <c r="C49" s="162"/>
      <c r="D49" s="162"/>
      <c r="E49" s="162"/>
      <c r="F49" s="162"/>
      <c r="G49" s="162"/>
      <c r="H49" s="162"/>
      <c r="I49" s="162"/>
      <c r="J49" s="162"/>
      <c r="K49" s="162"/>
    </row>
    <row r="50" spans="3:11">
      <c r="C50" s="162"/>
      <c r="D50" s="162"/>
      <c r="E50" s="162"/>
      <c r="F50" s="162"/>
      <c r="G50" s="162"/>
      <c r="H50" s="162"/>
      <c r="I50" s="162"/>
      <c r="J50" s="162"/>
      <c r="K50" s="162"/>
    </row>
    <row r="51" spans="3:11">
      <c r="C51" s="162"/>
      <c r="D51" s="162"/>
      <c r="E51" s="162"/>
      <c r="F51" s="162"/>
      <c r="G51" s="162"/>
      <c r="H51" s="162"/>
      <c r="I51" s="162"/>
      <c r="J51" s="162"/>
      <c r="K51" s="162"/>
    </row>
    <row r="52" spans="3:11">
      <c r="C52" s="162"/>
      <c r="D52" s="162"/>
      <c r="E52" s="162"/>
      <c r="F52" s="162"/>
      <c r="G52" s="162"/>
      <c r="H52" s="162"/>
      <c r="I52" s="162"/>
      <c r="J52" s="162"/>
      <c r="K52" s="162"/>
    </row>
    <row r="53" spans="3:11">
      <c r="C53" s="162"/>
      <c r="D53" s="162"/>
      <c r="E53" s="162"/>
      <c r="F53" s="162"/>
      <c r="G53" s="162"/>
      <c r="H53" s="162"/>
      <c r="I53" s="162"/>
      <c r="J53" s="162"/>
      <c r="K53" s="162"/>
    </row>
    <row r="54" spans="3:11">
      <c r="C54" s="162"/>
      <c r="D54" s="162"/>
      <c r="E54" s="162"/>
      <c r="F54" s="162"/>
      <c r="G54" s="162"/>
      <c r="H54" s="162"/>
      <c r="I54" s="162"/>
      <c r="J54" s="162"/>
      <c r="K54" s="162"/>
    </row>
    <row r="55" spans="3:11">
      <c r="C55" s="162"/>
      <c r="D55" s="162"/>
      <c r="E55" s="162"/>
      <c r="F55" s="162"/>
      <c r="G55" s="162"/>
      <c r="H55" s="162"/>
      <c r="I55" s="162"/>
      <c r="J55" s="162"/>
      <c r="K55" s="162"/>
    </row>
    <row r="56" spans="3:11">
      <c r="C56" s="162"/>
      <c r="D56" s="162"/>
      <c r="E56" s="162"/>
      <c r="F56" s="162"/>
      <c r="G56" s="162"/>
      <c r="H56" s="162"/>
      <c r="I56" s="162"/>
      <c r="J56" s="162"/>
      <c r="K56" s="162"/>
    </row>
    <row r="57" spans="3:11">
      <c r="C57" s="162"/>
      <c r="D57" s="162"/>
      <c r="E57" s="162"/>
      <c r="F57" s="162"/>
      <c r="G57" s="162"/>
      <c r="H57" s="162"/>
      <c r="I57" s="162"/>
      <c r="J57" s="162"/>
      <c r="K57" s="162"/>
    </row>
  </sheetData>
  <pageMargins left="0.7" right="0.7" top="0.75" bottom="0.75" header="0.3" footer="0.3"/>
  <pageSetup scale="87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9A6C-55B4-4FBC-9C58-A2E3C4D60F9C}">
  <sheetPr>
    <pageSetUpPr fitToPage="1"/>
  </sheetPr>
  <dimension ref="C2:Q141"/>
  <sheetViews>
    <sheetView workbookViewId="0">
      <pane ySplit="3" topLeftCell="A85" activePane="bottomLeft" state="frozen"/>
      <selection pane="bottomLeft" activeCell="C108" sqref="C108"/>
    </sheetView>
  </sheetViews>
  <sheetFormatPr defaultRowHeight="12.75"/>
  <cols>
    <col min="3" max="3" width="10.140625" bestFit="1" customWidth="1"/>
    <col min="4" max="4" width="12.5703125" customWidth="1"/>
    <col min="5" max="5" width="12.28515625" bestFit="1" customWidth="1"/>
    <col min="6" max="6" width="16.7109375" customWidth="1"/>
    <col min="7" max="7" width="12.28515625" bestFit="1" customWidth="1"/>
    <col min="8" max="8" width="11.28515625" bestFit="1" customWidth="1"/>
    <col min="9" max="9" width="10.28515625" bestFit="1" customWidth="1"/>
    <col min="11" max="11" width="12.28515625" bestFit="1" customWidth="1"/>
    <col min="17" max="17" width="12.28515625" bestFit="1" customWidth="1"/>
  </cols>
  <sheetData>
    <row r="2" spans="3:8">
      <c r="D2" s="179" t="s">
        <v>128</v>
      </c>
    </row>
    <row r="3" spans="3:8">
      <c r="D3" s="177" t="s">
        <v>131</v>
      </c>
      <c r="E3" s="177" t="s">
        <v>129</v>
      </c>
      <c r="F3" s="177" t="s">
        <v>122</v>
      </c>
      <c r="G3" s="177" t="s">
        <v>14</v>
      </c>
    </row>
    <row r="4" spans="3:8">
      <c r="C4" s="173">
        <v>44743</v>
      </c>
      <c r="D4">
        <v>6</v>
      </c>
      <c r="E4" s="162">
        <v>3920</v>
      </c>
      <c r="F4" s="162">
        <v>392</v>
      </c>
      <c r="G4" s="162">
        <f>SUM(E4:F4)</f>
        <v>4312</v>
      </c>
      <c r="H4" t="s">
        <v>166</v>
      </c>
    </row>
    <row r="5" spans="3:8">
      <c r="C5" s="173">
        <v>44747</v>
      </c>
      <c r="D5">
        <v>2</v>
      </c>
      <c r="E5" s="162">
        <v>1200</v>
      </c>
      <c r="F5" s="162">
        <v>120</v>
      </c>
      <c r="G5" s="162">
        <f t="shared" ref="G5:G101" si="0">SUM(E5:F5)</f>
        <v>1320</v>
      </c>
      <c r="H5" t="s">
        <v>157</v>
      </c>
    </row>
    <row r="6" spans="3:8">
      <c r="C6" s="173">
        <v>44749</v>
      </c>
      <c r="D6">
        <v>3</v>
      </c>
      <c r="E6" s="162">
        <v>1455</v>
      </c>
      <c r="F6" s="162">
        <v>145</v>
      </c>
      <c r="G6" s="162">
        <f t="shared" si="0"/>
        <v>1600</v>
      </c>
      <c r="H6" t="s">
        <v>167</v>
      </c>
    </row>
    <row r="7" spans="3:8">
      <c r="C7" s="173">
        <v>44746</v>
      </c>
      <c r="D7">
        <v>4</v>
      </c>
      <c r="E7" s="162">
        <v>1200</v>
      </c>
      <c r="F7" s="162">
        <v>120</v>
      </c>
      <c r="G7" s="162">
        <f t="shared" si="0"/>
        <v>1320</v>
      </c>
      <c r="H7" t="s">
        <v>168</v>
      </c>
    </row>
    <row r="8" spans="3:8">
      <c r="C8" s="173">
        <v>44748</v>
      </c>
      <c r="D8">
        <v>8</v>
      </c>
      <c r="E8" s="162">
        <v>2480</v>
      </c>
      <c r="F8" s="162">
        <v>248</v>
      </c>
      <c r="G8" s="162">
        <f t="shared" si="0"/>
        <v>2728</v>
      </c>
      <c r="H8" t="s">
        <v>166</v>
      </c>
    </row>
    <row r="9" spans="3:8">
      <c r="C9" s="173">
        <v>44754</v>
      </c>
      <c r="D9">
        <v>1</v>
      </c>
      <c r="E9" s="162">
        <v>810</v>
      </c>
      <c r="F9" s="162">
        <v>81</v>
      </c>
      <c r="G9" s="162">
        <f t="shared" si="0"/>
        <v>891</v>
      </c>
      <c r="H9" t="s">
        <v>169</v>
      </c>
    </row>
    <row r="10" spans="3:8">
      <c r="C10" s="173">
        <v>44754</v>
      </c>
      <c r="D10">
        <v>2</v>
      </c>
      <c r="E10" s="162">
        <v>630</v>
      </c>
      <c r="F10" s="162">
        <v>63</v>
      </c>
      <c r="G10" s="162">
        <f t="shared" si="0"/>
        <v>693</v>
      </c>
      <c r="H10" t="s">
        <v>156</v>
      </c>
    </row>
    <row r="11" spans="3:8">
      <c r="C11" s="173">
        <v>44767</v>
      </c>
      <c r="D11">
        <v>8</v>
      </c>
      <c r="E11" s="162">
        <v>3510</v>
      </c>
      <c r="F11" s="162">
        <v>351</v>
      </c>
      <c r="G11" s="162">
        <f t="shared" si="0"/>
        <v>3861</v>
      </c>
      <c r="H11" t="s">
        <v>166</v>
      </c>
    </row>
    <row r="12" spans="3:8">
      <c r="C12" s="173">
        <v>44771</v>
      </c>
      <c r="D12">
        <v>2</v>
      </c>
      <c r="E12" s="162">
        <v>1130</v>
      </c>
      <c r="F12" s="162">
        <v>113</v>
      </c>
      <c r="G12" s="162">
        <f t="shared" si="0"/>
        <v>1243</v>
      </c>
      <c r="H12" t="s">
        <v>156</v>
      </c>
    </row>
    <row r="13" spans="3:8">
      <c r="C13" s="173">
        <v>44775</v>
      </c>
      <c r="D13">
        <v>2</v>
      </c>
      <c r="E13" s="162">
        <v>700</v>
      </c>
      <c r="F13" s="162">
        <v>70</v>
      </c>
      <c r="G13" s="162">
        <f t="shared" si="0"/>
        <v>770</v>
      </c>
      <c r="H13" t="s">
        <v>170</v>
      </c>
    </row>
    <row r="14" spans="3:8">
      <c r="C14" s="173">
        <v>44764</v>
      </c>
      <c r="D14">
        <v>2</v>
      </c>
      <c r="E14" s="162">
        <v>1275</v>
      </c>
      <c r="F14" s="162">
        <v>127.5</v>
      </c>
      <c r="G14" s="162">
        <f t="shared" si="0"/>
        <v>1402.5</v>
      </c>
      <c r="H14" t="s">
        <v>170</v>
      </c>
    </row>
    <row r="15" spans="3:8">
      <c r="C15" s="173">
        <v>44776</v>
      </c>
      <c r="D15">
        <v>2</v>
      </c>
      <c r="E15" s="162">
        <v>1200</v>
      </c>
      <c r="F15" s="162">
        <v>120</v>
      </c>
      <c r="G15" s="162">
        <f t="shared" si="0"/>
        <v>1320</v>
      </c>
      <c r="H15" t="s">
        <v>171</v>
      </c>
    </row>
    <row r="16" spans="3:8">
      <c r="C16" s="173">
        <v>44771</v>
      </c>
      <c r="D16">
        <v>6</v>
      </c>
      <c r="E16" s="162">
        <v>3150</v>
      </c>
      <c r="F16" s="162">
        <v>315</v>
      </c>
      <c r="G16" s="162">
        <f t="shared" si="0"/>
        <v>3465</v>
      </c>
      <c r="H16" t="s">
        <v>173</v>
      </c>
    </row>
    <row r="17" spans="3:9">
      <c r="C17" s="173">
        <v>44782</v>
      </c>
      <c r="D17">
        <v>4</v>
      </c>
      <c r="E17" s="162">
        <v>1755</v>
      </c>
      <c r="F17" s="162">
        <v>175.5</v>
      </c>
      <c r="G17" s="162">
        <f t="shared" si="0"/>
        <v>1930.5</v>
      </c>
      <c r="H17" t="s">
        <v>166</v>
      </c>
    </row>
    <row r="18" spans="3:9">
      <c r="C18" s="173">
        <v>44762</v>
      </c>
      <c r="D18">
        <v>1</v>
      </c>
      <c r="E18" s="162">
        <v>825</v>
      </c>
      <c r="F18" s="162">
        <v>82.5</v>
      </c>
      <c r="G18" s="162">
        <f t="shared" si="0"/>
        <v>907.5</v>
      </c>
      <c r="H18" t="s">
        <v>174</v>
      </c>
    </row>
    <row r="19" spans="3:9">
      <c r="C19" s="173">
        <v>44795</v>
      </c>
      <c r="D19">
        <v>10</v>
      </c>
      <c r="E19" s="162">
        <v>3450</v>
      </c>
      <c r="F19" s="162">
        <v>345</v>
      </c>
      <c r="G19" s="162">
        <f t="shared" si="0"/>
        <v>3795</v>
      </c>
      <c r="H19" t="s">
        <v>155</v>
      </c>
    </row>
    <row r="20" spans="3:9">
      <c r="C20" s="173">
        <v>44796</v>
      </c>
      <c r="D20">
        <v>1</v>
      </c>
      <c r="E20" s="162">
        <v>825</v>
      </c>
      <c r="F20" s="162">
        <v>82.5</v>
      </c>
      <c r="G20" s="162">
        <f t="shared" si="0"/>
        <v>907.5</v>
      </c>
      <c r="H20" t="s">
        <v>174</v>
      </c>
    </row>
    <row r="21" spans="3:9">
      <c r="C21" s="173">
        <v>44791</v>
      </c>
      <c r="D21">
        <v>1</v>
      </c>
      <c r="E21" s="162">
        <v>315</v>
      </c>
      <c r="F21" s="162">
        <v>31.5</v>
      </c>
      <c r="G21" s="162">
        <f t="shared" si="0"/>
        <v>346.5</v>
      </c>
      <c r="H21" t="s">
        <v>156</v>
      </c>
    </row>
    <row r="22" spans="3:9">
      <c r="C22" s="173">
        <v>44791</v>
      </c>
      <c r="D22">
        <v>4</v>
      </c>
      <c r="E22" s="162">
        <v>1755</v>
      </c>
      <c r="F22" s="162">
        <v>175.5</v>
      </c>
      <c r="G22" s="162">
        <f t="shared" si="0"/>
        <v>1930.5</v>
      </c>
      <c r="H22" s="162" t="s">
        <v>166</v>
      </c>
      <c r="I22" s="162"/>
    </row>
    <row r="23" spans="3:9">
      <c r="C23" s="173">
        <v>44803</v>
      </c>
      <c r="D23">
        <v>6</v>
      </c>
      <c r="E23" s="162">
        <v>2665</v>
      </c>
      <c r="F23" s="162">
        <v>266.5</v>
      </c>
      <c r="G23" s="162">
        <f t="shared" si="0"/>
        <v>2931.5</v>
      </c>
      <c r="H23" t="s">
        <v>166</v>
      </c>
    </row>
    <row r="24" spans="3:9">
      <c r="C24" s="173">
        <v>44810</v>
      </c>
      <c r="D24">
        <v>8</v>
      </c>
      <c r="E24" s="162">
        <v>1200</v>
      </c>
      <c r="F24" s="162">
        <v>120</v>
      </c>
      <c r="G24" s="162">
        <f t="shared" si="0"/>
        <v>1320</v>
      </c>
      <c r="H24" t="s">
        <v>166</v>
      </c>
    </row>
    <row r="25" spans="3:9">
      <c r="C25" s="173">
        <v>44824</v>
      </c>
      <c r="D25">
        <v>2.5</v>
      </c>
      <c r="E25" s="162">
        <v>1690</v>
      </c>
      <c r="F25" s="162">
        <v>169</v>
      </c>
      <c r="G25" s="162">
        <f t="shared" si="0"/>
        <v>1859</v>
      </c>
      <c r="H25" t="s">
        <v>157</v>
      </c>
    </row>
    <row r="26" spans="3:9">
      <c r="C26" s="173">
        <v>44825</v>
      </c>
      <c r="D26">
        <v>4</v>
      </c>
      <c r="E26" s="162">
        <v>2000</v>
      </c>
      <c r="F26" s="162">
        <v>200</v>
      </c>
      <c r="G26" s="162">
        <f t="shared" si="0"/>
        <v>2200</v>
      </c>
      <c r="H26" t="s">
        <v>166</v>
      </c>
    </row>
    <row r="27" spans="3:9" ht="12" customHeight="1">
      <c r="C27" s="173">
        <v>44832</v>
      </c>
      <c r="D27">
        <v>4</v>
      </c>
      <c r="E27" s="162">
        <v>2030</v>
      </c>
      <c r="F27" s="162">
        <v>203</v>
      </c>
      <c r="G27" s="162">
        <f t="shared" si="0"/>
        <v>2233</v>
      </c>
      <c r="H27" t="s">
        <v>157</v>
      </c>
    </row>
    <row r="28" spans="3:9" ht="12" customHeight="1">
      <c r="C28" s="173">
        <v>44846</v>
      </c>
      <c r="D28">
        <v>2</v>
      </c>
      <c r="E28" s="162">
        <v>1050</v>
      </c>
      <c r="F28" s="162">
        <v>105</v>
      </c>
      <c r="G28" s="162">
        <f t="shared" si="0"/>
        <v>1155</v>
      </c>
      <c r="H28" t="s">
        <v>157</v>
      </c>
    </row>
    <row r="29" spans="3:9" ht="12" customHeight="1">
      <c r="C29" s="173">
        <v>44844</v>
      </c>
      <c r="D29">
        <v>4</v>
      </c>
      <c r="E29" s="162">
        <v>1640</v>
      </c>
      <c r="F29" s="162">
        <v>164</v>
      </c>
      <c r="G29" s="162">
        <f t="shared" si="0"/>
        <v>1804</v>
      </c>
      <c r="H29" t="s">
        <v>156</v>
      </c>
    </row>
    <row r="30" spans="3:9" ht="12" customHeight="1">
      <c r="C30" s="173">
        <v>44866</v>
      </c>
      <c r="D30">
        <v>4</v>
      </c>
      <c r="E30" s="162">
        <v>1960</v>
      </c>
      <c r="F30" s="162">
        <v>196</v>
      </c>
      <c r="G30" s="162">
        <f t="shared" si="0"/>
        <v>2156</v>
      </c>
      <c r="H30" t="s">
        <v>182</v>
      </c>
    </row>
    <row r="31" spans="3:9" ht="12" customHeight="1">
      <c r="C31" s="173">
        <v>44855</v>
      </c>
      <c r="D31">
        <v>77</v>
      </c>
      <c r="E31" s="162">
        <v>29605</v>
      </c>
      <c r="F31" s="162">
        <v>2960.5</v>
      </c>
      <c r="G31" s="162">
        <f t="shared" si="0"/>
        <v>32565.5</v>
      </c>
      <c r="H31" t="s">
        <v>153</v>
      </c>
    </row>
    <row r="32" spans="3:9" ht="12" customHeight="1">
      <c r="C32" s="173">
        <v>44868</v>
      </c>
      <c r="D32">
        <v>5</v>
      </c>
      <c r="E32" s="162">
        <v>2190</v>
      </c>
      <c r="F32" s="162">
        <v>219</v>
      </c>
      <c r="G32" s="162">
        <f t="shared" si="0"/>
        <v>2409</v>
      </c>
      <c r="H32" t="s">
        <v>183</v>
      </c>
    </row>
    <row r="33" spans="3:8" ht="12" customHeight="1">
      <c r="C33" s="173">
        <v>44865</v>
      </c>
      <c r="D33">
        <v>95</v>
      </c>
      <c r="E33" s="162">
        <v>37950</v>
      </c>
      <c r="F33" s="162">
        <v>3795</v>
      </c>
      <c r="G33" s="162">
        <f t="shared" si="0"/>
        <v>41745</v>
      </c>
      <c r="H33" t="s">
        <v>184</v>
      </c>
    </row>
    <row r="34" spans="3:8" ht="12" customHeight="1">
      <c r="C34" s="173">
        <v>44861</v>
      </c>
      <c r="D34">
        <v>2</v>
      </c>
      <c r="E34" s="162">
        <v>1050</v>
      </c>
      <c r="F34" s="162">
        <v>105</v>
      </c>
      <c r="G34" s="162">
        <f t="shared" si="0"/>
        <v>1155</v>
      </c>
      <c r="H34" t="s">
        <v>157</v>
      </c>
    </row>
    <row r="35" spans="3:8" ht="12" customHeight="1">
      <c r="C35" s="173">
        <v>44865</v>
      </c>
      <c r="D35">
        <v>4</v>
      </c>
      <c r="E35" s="162">
        <v>1640</v>
      </c>
      <c r="F35" s="162">
        <v>164</v>
      </c>
      <c r="G35" s="162">
        <f t="shared" si="0"/>
        <v>1804</v>
      </c>
      <c r="H35" t="s">
        <v>156</v>
      </c>
    </row>
    <row r="36" spans="3:8" ht="12" customHeight="1">
      <c r="C36" s="173">
        <v>44862</v>
      </c>
      <c r="D36">
        <v>2</v>
      </c>
      <c r="E36" s="162">
        <v>1450</v>
      </c>
      <c r="F36" s="162">
        <v>145</v>
      </c>
      <c r="G36" s="162">
        <f t="shared" si="0"/>
        <v>1595</v>
      </c>
      <c r="H36" t="s">
        <v>158</v>
      </c>
    </row>
    <row r="37" spans="3:8" ht="12" customHeight="1">
      <c r="C37" s="173">
        <v>44876</v>
      </c>
      <c r="D37">
        <v>2</v>
      </c>
      <c r="E37" s="162">
        <v>1050</v>
      </c>
      <c r="F37" s="162">
        <v>105</v>
      </c>
      <c r="G37" s="162">
        <f t="shared" si="0"/>
        <v>1155</v>
      </c>
      <c r="H37" t="s">
        <v>157</v>
      </c>
    </row>
    <row r="38" spans="3:8" ht="12" customHeight="1">
      <c r="C38" s="173">
        <v>44885</v>
      </c>
      <c r="D38">
        <v>1</v>
      </c>
      <c r="E38" s="162">
        <v>380</v>
      </c>
      <c r="F38" s="162">
        <v>38</v>
      </c>
      <c r="G38" s="162">
        <f t="shared" si="0"/>
        <v>418</v>
      </c>
      <c r="H38" t="s">
        <v>154</v>
      </c>
    </row>
    <row r="39" spans="3:8" ht="12" customHeight="1">
      <c r="C39" s="173">
        <v>44883</v>
      </c>
      <c r="D39">
        <v>6</v>
      </c>
      <c r="E39" s="162">
        <v>3300</v>
      </c>
      <c r="F39" s="162">
        <v>330</v>
      </c>
      <c r="G39" s="162">
        <f t="shared" si="0"/>
        <v>3630</v>
      </c>
      <c r="H39" t="s">
        <v>188</v>
      </c>
    </row>
    <row r="40" spans="3:8" ht="12" customHeight="1">
      <c r="C40" s="173">
        <v>44883</v>
      </c>
      <c r="D40">
        <v>4</v>
      </c>
      <c r="E40" s="162">
        <v>2100</v>
      </c>
      <c r="F40" s="162">
        <v>210</v>
      </c>
      <c r="G40" s="162">
        <f t="shared" si="0"/>
        <v>2310</v>
      </c>
      <c r="H40" t="s">
        <v>156</v>
      </c>
    </row>
    <row r="41" spans="3:8" ht="12" customHeight="1">
      <c r="C41" s="173">
        <v>44890</v>
      </c>
      <c r="D41">
        <v>3</v>
      </c>
      <c r="E41" s="162">
        <v>1620</v>
      </c>
      <c r="F41" s="162">
        <v>162</v>
      </c>
      <c r="G41" s="162">
        <f t="shared" si="0"/>
        <v>1782</v>
      </c>
      <c r="H41" t="s">
        <v>157</v>
      </c>
    </row>
    <row r="42" spans="3:8" ht="12" customHeight="1">
      <c r="C42" s="173">
        <v>44883</v>
      </c>
      <c r="D42">
        <v>2</v>
      </c>
      <c r="E42" s="162">
        <v>1050</v>
      </c>
      <c r="F42" s="162">
        <v>105</v>
      </c>
      <c r="G42" s="162">
        <f t="shared" si="0"/>
        <v>1155</v>
      </c>
      <c r="H42" t="s">
        <v>157</v>
      </c>
    </row>
    <row r="43" spans="3:8" ht="12" customHeight="1">
      <c r="C43" s="173">
        <v>44896</v>
      </c>
      <c r="D43">
        <v>5</v>
      </c>
      <c r="E43" s="162">
        <v>2190</v>
      </c>
      <c r="F43" s="162">
        <v>219</v>
      </c>
      <c r="G43" s="162">
        <f t="shared" si="0"/>
        <v>2409</v>
      </c>
      <c r="H43" t="s">
        <v>173</v>
      </c>
    </row>
    <row r="44" spans="3:8" ht="12" customHeight="1">
      <c r="C44" s="173">
        <v>44908</v>
      </c>
      <c r="D44">
        <v>2</v>
      </c>
      <c r="E44" s="162">
        <v>1050</v>
      </c>
      <c r="F44" s="162">
        <v>105</v>
      </c>
      <c r="G44" s="162">
        <f t="shared" si="0"/>
        <v>1155</v>
      </c>
      <c r="H44" t="s">
        <v>157</v>
      </c>
    </row>
    <row r="45" spans="3:8" ht="12" customHeight="1">
      <c r="C45" s="173">
        <v>44908</v>
      </c>
      <c r="D45">
        <v>1</v>
      </c>
      <c r="E45" s="162">
        <v>1000</v>
      </c>
      <c r="F45" s="162">
        <v>100</v>
      </c>
      <c r="G45" s="162">
        <f t="shared" si="0"/>
        <v>1100</v>
      </c>
      <c r="H45" t="s">
        <v>154</v>
      </c>
    </row>
    <row r="46" spans="3:8" ht="12" customHeight="1">
      <c r="C46" s="173">
        <v>44908</v>
      </c>
      <c r="D46">
        <v>6</v>
      </c>
      <c r="E46" s="162">
        <v>2920</v>
      </c>
      <c r="F46" s="162">
        <v>292</v>
      </c>
      <c r="G46" s="162">
        <f t="shared" si="0"/>
        <v>3212</v>
      </c>
      <c r="H46" t="s">
        <v>156</v>
      </c>
    </row>
    <row r="47" spans="3:8" ht="12" customHeight="1">
      <c r="C47" s="173">
        <v>44908</v>
      </c>
      <c r="D47">
        <v>3</v>
      </c>
      <c r="E47" s="162">
        <v>1230</v>
      </c>
      <c r="F47" s="162">
        <v>123</v>
      </c>
      <c r="G47" s="162">
        <f t="shared" si="0"/>
        <v>1353</v>
      </c>
      <c r="H47" t="s">
        <v>190</v>
      </c>
    </row>
    <row r="48" spans="3:8" ht="12" customHeight="1">
      <c r="C48" s="173">
        <v>44914</v>
      </c>
      <c r="D48">
        <v>9</v>
      </c>
      <c r="E48" s="162">
        <v>4260</v>
      </c>
      <c r="F48" s="162">
        <v>426</v>
      </c>
      <c r="G48" s="162">
        <f t="shared" si="0"/>
        <v>4686</v>
      </c>
      <c r="H48" t="s">
        <v>188</v>
      </c>
    </row>
    <row r="49" spans="3:8" ht="12" customHeight="1">
      <c r="C49" s="173">
        <v>44938</v>
      </c>
      <c r="D49">
        <v>10</v>
      </c>
      <c r="E49" s="162">
        <v>2210</v>
      </c>
      <c r="F49" s="162">
        <v>221</v>
      </c>
      <c r="G49" s="162">
        <f t="shared" si="0"/>
        <v>2431</v>
      </c>
      <c r="H49" t="s">
        <v>191</v>
      </c>
    </row>
    <row r="50" spans="3:8" ht="12" customHeight="1">
      <c r="C50" s="173">
        <v>44942</v>
      </c>
      <c r="D50">
        <v>4</v>
      </c>
      <c r="E50" s="162">
        <v>1960</v>
      </c>
      <c r="F50" s="162">
        <v>196</v>
      </c>
      <c r="G50" s="162">
        <f t="shared" si="0"/>
        <v>2156</v>
      </c>
      <c r="H50" t="s">
        <v>192</v>
      </c>
    </row>
    <row r="51" spans="3:8" ht="12" customHeight="1">
      <c r="C51" s="173">
        <v>44949</v>
      </c>
      <c r="D51">
        <v>4</v>
      </c>
      <c r="E51" s="162">
        <f>700+1230</f>
        <v>1930</v>
      </c>
      <c r="F51" s="162">
        <f>70+123</f>
        <v>193</v>
      </c>
      <c r="G51" s="162">
        <f t="shared" si="0"/>
        <v>2123</v>
      </c>
      <c r="H51" t="s">
        <v>170</v>
      </c>
    </row>
    <row r="52" spans="3:8" ht="12" customHeight="1">
      <c r="C52" s="173">
        <v>44970</v>
      </c>
      <c r="D52">
        <v>1</v>
      </c>
      <c r="E52" s="162">
        <v>640</v>
      </c>
      <c r="F52" s="162">
        <v>64</v>
      </c>
      <c r="G52" s="162">
        <f t="shared" si="0"/>
        <v>704</v>
      </c>
      <c r="H52" t="s">
        <v>154</v>
      </c>
    </row>
    <row r="53" spans="3:8" ht="12" customHeight="1">
      <c r="C53" s="173">
        <v>44970</v>
      </c>
      <c r="D53">
        <v>2</v>
      </c>
      <c r="E53" s="162">
        <v>820</v>
      </c>
      <c r="F53" s="162">
        <v>82</v>
      </c>
      <c r="G53" s="162">
        <f t="shared" si="0"/>
        <v>902</v>
      </c>
      <c r="H53" t="s">
        <v>173</v>
      </c>
    </row>
    <row r="54" spans="3:8" ht="12" customHeight="1">
      <c r="C54" s="173">
        <v>44949</v>
      </c>
      <c r="D54">
        <v>4</v>
      </c>
      <c r="E54" s="162">
        <v>1870</v>
      </c>
      <c r="F54" s="162">
        <v>187</v>
      </c>
      <c r="G54" s="162">
        <f t="shared" si="0"/>
        <v>2057</v>
      </c>
      <c r="H54" t="s">
        <v>156</v>
      </c>
    </row>
    <row r="55" spans="3:8" ht="12" customHeight="1">
      <c r="C55" s="173">
        <v>44970</v>
      </c>
      <c r="D55">
        <v>2</v>
      </c>
      <c r="E55" s="162">
        <v>1380</v>
      </c>
      <c r="F55" s="162">
        <v>138</v>
      </c>
      <c r="G55" s="162">
        <f t="shared" si="0"/>
        <v>1518</v>
      </c>
      <c r="H55" t="s">
        <v>194</v>
      </c>
    </row>
    <row r="56" spans="3:8" ht="12" customHeight="1">
      <c r="C56" s="173">
        <v>44973</v>
      </c>
      <c r="D56">
        <v>10</v>
      </c>
      <c r="E56" s="162">
        <v>4000</v>
      </c>
      <c r="F56" s="162">
        <v>400</v>
      </c>
      <c r="G56" s="162">
        <f t="shared" si="0"/>
        <v>4400</v>
      </c>
      <c r="H56" t="s">
        <v>153</v>
      </c>
    </row>
    <row r="57" spans="3:8" ht="12" customHeight="1">
      <c r="C57" s="173">
        <v>44974</v>
      </c>
      <c r="D57">
        <v>4</v>
      </c>
      <c r="E57" s="162">
        <v>1640</v>
      </c>
      <c r="F57" s="162">
        <v>164</v>
      </c>
      <c r="G57" s="162">
        <f t="shared" si="0"/>
        <v>1804</v>
      </c>
      <c r="H57" t="s">
        <v>188</v>
      </c>
    </row>
    <row r="58" spans="3:8" ht="12" customHeight="1">
      <c r="C58" s="173">
        <v>44988</v>
      </c>
      <c r="D58">
        <v>15</v>
      </c>
      <c r="E58" s="162">
        <v>6000</v>
      </c>
      <c r="F58" s="162">
        <v>600</v>
      </c>
      <c r="G58" s="162">
        <f t="shared" si="0"/>
        <v>6600</v>
      </c>
      <c r="H58" t="s">
        <v>197</v>
      </c>
    </row>
    <row r="59" spans="3:8" ht="12" customHeight="1">
      <c r="C59" s="173">
        <v>44987</v>
      </c>
      <c r="D59">
        <v>80</v>
      </c>
      <c r="E59" s="162">
        <v>20000</v>
      </c>
      <c r="F59" s="162">
        <v>2000</v>
      </c>
      <c r="G59" s="162">
        <f t="shared" si="0"/>
        <v>22000</v>
      </c>
      <c r="H59" t="s">
        <v>180</v>
      </c>
    </row>
    <row r="60" spans="3:8" ht="12" customHeight="1">
      <c r="C60" s="173">
        <v>44991</v>
      </c>
      <c r="D60">
        <v>3</v>
      </c>
      <c r="E60" s="162">
        <v>1710</v>
      </c>
      <c r="F60" s="162">
        <v>171</v>
      </c>
      <c r="G60" s="162">
        <f t="shared" si="0"/>
        <v>1881</v>
      </c>
      <c r="H60" t="s">
        <v>170</v>
      </c>
    </row>
    <row r="61" spans="3:8" ht="12" customHeight="1">
      <c r="C61" s="173">
        <v>44991</v>
      </c>
      <c r="D61">
        <v>2</v>
      </c>
      <c r="E61" s="162">
        <v>1210</v>
      </c>
      <c r="F61" s="162">
        <v>121</v>
      </c>
      <c r="G61" s="162">
        <f t="shared" si="0"/>
        <v>1331</v>
      </c>
      <c r="H61" t="s">
        <v>154</v>
      </c>
    </row>
    <row r="62" spans="3:8" ht="12" customHeight="1">
      <c r="C62" s="173">
        <v>44978</v>
      </c>
      <c r="D62">
        <v>1</v>
      </c>
      <c r="E62" s="162">
        <v>410</v>
      </c>
      <c r="F62" s="162">
        <v>41</v>
      </c>
      <c r="G62" s="162">
        <f t="shared" si="0"/>
        <v>451</v>
      </c>
      <c r="H62" t="s">
        <v>166</v>
      </c>
    </row>
    <row r="63" spans="3:8" ht="12" customHeight="1">
      <c r="C63" s="173">
        <v>44981</v>
      </c>
      <c r="D63">
        <v>4</v>
      </c>
      <c r="E63" s="162">
        <v>1820</v>
      </c>
      <c r="F63" s="162">
        <v>182</v>
      </c>
      <c r="G63" s="162">
        <f t="shared" si="0"/>
        <v>2002</v>
      </c>
      <c r="H63" t="s">
        <v>190</v>
      </c>
    </row>
    <row r="64" spans="3:8" ht="12" customHeight="1">
      <c r="C64" s="173">
        <v>45001</v>
      </c>
      <c r="D64">
        <v>2</v>
      </c>
      <c r="E64" s="162">
        <v>1280</v>
      </c>
      <c r="F64" s="162">
        <v>128</v>
      </c>
      <c r="G64" s="162">
        <f t="shared" si="0"/>
        <v>1408</v>
      </c>
      <c r="H64" t="s">
        <v>157</v>
      </c>
    </row>
    <row r="65" spans="3:8" ht="12" customHeight="1">
      <c r="C65" s="173">
        <v>45006</v>
      </c>
      <c r="D65">
        <v>1</v>
      </c>
      <c r="E65" s="162">
        <v>640</v>
      </c>
      <c r="F65" s="162">
        <v>64</v>
      </c>
      <c r="G65" s="162">
        <f t="shared" si="0"/>
        <v>704</v>
      </c>
      <c r="H65" t="s">
        <v>154</v>
      </c>
    </row>
    <row r="66" spans="3:8" ht="12" customHeight="1">
      <c r="C66" s="173">
        <v>45006</v>
      </c>
      <c r="D66">
        <v>2</v>
      </c>
      <c r="E66" s="162">
        <v>820</v>
      </c>
      <c r="F66" s="162">
        <v>82</v>
      </c>
      <c r="G66" s="162">
        <f t="shared" si="0"/>
        <v>902</v>
      </c>
      <c r="H66" t="s">
        <v>156</v>
      </c>
    </row>
    <row r="67" spans="3:8" ht="12" customHeight="1">
      <c r="C67" s="173">
        <v>45021</v>
      </c>
      <c r="D67">
        <v>1</v>
      </c>
      <c r="E67" s="162">
        <v>410</v>
      </c>
      <c r="F67" s="162">
        <v>41</v>
      </c>
      <c r="G67" s="162">
        <f t="shared" si="0"/>
        <v>451</v>
      </c>
      <c r="H67" t="s">
        <v>157</v>
      </c>
    </row>
    <row r="68" spans="3:8" ht="12" customHeight="1">
      <c r="C68" s="173">
        <v>45027</v>
      </c>
      <c r="D68">
        <v>24</v>
      </c>
      <c r="E68" s="162">
        <v>12680</v>
      </c>
      <c r="F68" s="162">
        <v>1268</v>
      </c>
      <c r="G68" s="162">
        <f t="shared" si="0"/>
        <v>13948</v>
      </c>
      <c r="H68" t="s">
        <v>203</v>
      </c>
    </row>
    <row r="69" spans="3:8" ht="12" customHeight="1">
      <c r="C69" s="173">
        <v>45030</v>
      </c>
      <c r="D69">
        <v>2</v>
      </c>
      <c r="E69" s="162">
        <v>1280</v>
      </c>
      <c r="F69" s="162">
        <v>128</v>
      </c>
      <c r="G69" s="162">
        <f t="shared" si="0"/>
        <v>1408</v>
      </c>
      <c r="H69" t="s">
        <v>157</v>
      </c>
    </row>
    <row r="70" spans="3:8" ht="12" customHeight="1">
      <c r="C70" s="173">
        <v>45027</v>
      </c>
      <c r="D70">
        <v>2</v>
      </c>
      <c r="E70" s="162">
        <v>820</v>
      </c>
      <c r="F70" s="162">
        <v>82</v>
      </c>
      <c r="G70" s="162">
        <f t="shared" si="0"/>
        <v>902</v>
      </c>
      <c r="H70" t="s">
        <v>156</v>
      </c>
    </row>
    <row r="71" spans="3:8" ht="12" customHeight="1">
      <c r="C71" s="173">
        <v>45036</v>
      </c>
      <c r="D71">
        <v>2</v>
      </c>
      <c r="E71" s="162">
        <v>1050</v>
      </c>
      <c r="F71" s="162">
        <v>105</v>
      </c>
      <c r="G71" s="162">
        <f t="shared" si="0"/>
        <v>1155</v>
      </c>
      <c r="H71" t="s">
        <v>157</v>
      </c>
    </row>
    <row r="72" spans="3:8" ht="12" customHeight="1">
      <c r="C72" s="173">
        <v>45406</v>
      </c>
      <c r="D72">
        <v>1</v>
      </c>
      <c r="E72" s="162">
        <v>640</v>
      </c>
      <c r="F72" s="162">
        <v>64</v>
      </c>
      <c r="G72" s="162">
        <f t="shared" si="0"/>
        <v>704</v>
      </c>
      <c r="H72" t="s">
        <v>156</v>
      </c>
    </row>
    <row r="73" spans="3:8" ht="12" customHeight="1">
      <c r="C73" s="173">
        <v>45043</v>
      </c>
      <c r="D73">
        <v>2</v>
      </c>
      <c r="E73" s="162">
        <v>1050</v>
      </c>
      <c r="F73" s="162">
        <v>105</v>
      </c>
      <c r="G73" s="162">
        <f t="shared" si="0"/>
        <v>1155</v>
      </c>
      <c r="H73" t="s">
        <v>157</v>
      </c>
    </row>
    <row r="74" spans="3:8" ht="12" customHeight="1">
      <c r="C74" s="173">
        <v>45054</v>
      </c>
      <c r="D74">
        <v>6</v>
      </c>
      <c r="E74" s="162">
        <v>2840</v>
      </c>
      <c r="F74" s="162">
        <v>284</v>
      </c>
      <c r="G74" s="162">
        <f t="shared" si="0"/>
        <v>3124</v>
      </c>
      <c r="H74" t="s">
        <v>173</v>
      </c>
    </row>
    <row r="75" spans="3:8" ht="12" customHeight="1">
      <c r="C75" s="173">
        <v>45049</v>
      </c>
      <c r="D75">
        <v>2</v>
      </c>
      <c r="E75" s="162">
        <v>1050</v>
      </c>
      <c r="F75" s="162">
        <v>105</v>
      </c>
      <c r="G75" s="162">
        <f t="shared" si="0"/>
        <v>1155</v>
      </c>
      <c r="H75" t="s">
        <v>157</v>
      </c>
    </row>
    <row r="76" spans="3:8" ht="12" customHeight="1">
      <c r="C76" s="173">
        <v>45057</v>
      </c>
      <c r="D76">
        <v>1</v>
      </c>
      <c r="E76" s="162">
        <v>410</v>
      </c>
      <c r="F76" s="162">
        <v>41</v>
      </c>
      <c r="G76" s="162">
        <f t="shared" si="0"/>
        <v>451</v>
      </c>
      <c r="H76" t="s">
        <v>157</v>
      </c>
    </row>
    <row r="77" spans="3:8" ht="12" customHeight="1">
      <c r="C77" s="173">
        <v>45061</v>
      </c>
      <c r="D77">
        <v>3</v>
      </c>
      <c r="E77" s="162">
        <f>1140+90</f>
        <v>1230</v>
      </c>
      <c r="F77" s="162">
        <f>114+9</f>
        <v>123</v>
      </c>
      <c r="G77" s="162">
        <f t="shared" si="0"/>
        <v>1353</v>
      </c>
      <c r="H77" t="s">
        <v>156</v>
      </c>
    </row>
    <row r="78" spans="3:8" ht="12" customHeight="1">
      <c r="C78" s="173">
        <v>45057</v>
      </c>
      <c r="D78">
        <v>7</v>
      </c>
      <c r="E78" s="162">
        <v>2230</v>
      </c>
      <c r="F78" s="162">
        <v>223</v>
      </c>
      <c r="G78" s="162">
        <f t="shared" si="0"/>
        <v>2453</v>
      </c>
      <c r="H78" t="s">
        <v>166</v>
      </c>
    </row>
    <row r="79" spans="3:8" ht="12" customHeight="1">
      <c r="C79" s="173">
        <v>45068</v>
      </c>
      <c r="D79">
        <v>15</v>
      </c>
      <c r="E79" s="162">
        <v>2250</v>
      </c>
      <c r="F79" s="162">
        <v>225</v>
      </c>
      <c r="G79" s="162">
        <f t="shared" si="0"/>
        <v>2475</v>
      </c>
      <c r="H79" t="s">
        <v>197</v>
      </c>
    </row>
    <row r="80" spans="3:8" ht="12" customHeight="1">
      <c r="C80" s="173">
        <v>45065</v>
      </c>
      <c r="D80">
        <v>3</v>
      </c>
      <c r="E80" s="162">
        <v>1230</v>
      </c>
      <c r="F80" s="162">
        <v>123</v>
      </c>
      <c r="G80" s="162">
        <f t="shared" si="0"/>
        <v>1353</v>
      </c>
      <c r="H80" t="s">
        <v>157</v>
      </c>
    </row>
    <row r="81" spans="3:8" ht="12" customHeight="1">
      <c r="C81" s="173">
        <v>45069</v>
      </c>
      <c r="D81">
        <v>13</v>
      </c>
      <c r="E81" s="162">
        <v>4770</v>
      </c>
      <c r="F81" s="162">
        <v>477</v>
      </c>
      <c r="G81" s="162">
        <f t="shared" si="0"/>
        <v>5247</v>
      </c>
      <c r="H81" t="s">
        <v>206</v>
      </c>
    </row>
    <row r="82" spans="3:8" ht="12" customHeight="1">
      <c r="C82" s="173">
        <v>45070</v>
      </c>
      <c r="D82">
        <v>5</v>
      </c>
      <c r="E82" s="162">
        <v>2130</v>
      </c>
      <c r="F82" s="162">
        <v>213</v>
      </c>
      <c r="G82" s="162">
        <f t="shared" si="0"/>
        <v>2343</v>
      </c>
      <c r="H82" t="s">
        <v>207</v>
      </c>
    </row>
    <row r="83" spans="3:8" ht="12" customHeight="1">
      <c r="C83" s="173">
        <v>45071</v>
      </c>
      <c r="D83">
        <v>2</v>
      </c>
      <c r="E83" s="162">
        <v>1170</v>
      </c>
      <c r="F83" s="162">
        <v>117</v>
      </c>
      <c r="G83" s="162">
        <f t="shared" si="0"/>
        <v>1287</v>
      </c>
      <c r="H83" t="s">
        <v>157</v>
      </c>
    </row>
    <row r="84" spans="3:8" ht="12" customHeight="1">
      <c r="C84" s="173">
        <v>45076</v>
      </c>
      <c r="D84">
        <v>1</v>
      </c>
      <c r="E84" s="162">
        <v>410</v>
      </c>
      <c r="F84" s="162">
        <v>41</v>
      </c>
      <c r="G84" s="162">
        <f>SUM(E84:F84)</f>
        <v>451</v>
      </c>
      <c r="H84" t="s">
        <v>170</v>
      </c>
    </row>
    <row r="85" spans="3:8" ht="12" customHeight="1">
      <c r="C85" s="173">
        <v>45076</v>
      </c>
      <c r="D85">
        <v>2</v>
      </c>
      <c r="E85" s="162">
        <v>770</v>
      </c>
      <c r="F85" s="162">
        <v>77</v>
      </c>
      <c r="G85" s="162">
        <f t="shared" si="0"/>
        <v>847</v>
      </c>
      <c r="H85" t="s">
        <v>156</v>
      </c>
    </row>
    <row r="86" spans="3:8" ht="12" customHeight="1">
      <c r="C86" s="173">
        <v>45079</v>
      </c>
      <c r="D86">
        <v>1</v>
      </c>
      <c r="E86" s="162">
        <v>550</v>
      </c>
      <c r="F86" s="162">
        <v>55</v>
      </c>
      <c r="G86" s="162">
        <f t="shared" si="0"/>
        <v>605</v>
      </c>
      <c r="H86" t="s">
        <v>157</v>
      </c>
    </row>
    <row r="87" spans="3:8" ht="12" customHeight="1">
      <c r="C87" s="173">
        <v>45068</v>
      </c>
      <c r="D87">
        <v>4</v>
      </c>
      <c r="E87" s="162">
        <v>1780</v>
      </c>
      <c r="F87" s="162">
        <v>178</v>
      </c>
      <c r="G87" s="162">
        <f t="shared" si="0"/>
        <v>1958</v>
      </c>
      <c r="H87" t="s">
        <v>166</v>
      </c>
    </row>
    <row r="88" spans="3:8" ht="12" customHeight="1">
      <c r="C88" s="173">
        <v>45082</v>
      </c>
      <c r="D88">
        <v>6</v>
      </c>
      <c r="E88" s="162">
        <v>2460</v>
      </c>
      <c r="F88" s="162">
        <v>246</v>
      </c>
      <c r="G88" s="162">
        <f t="shared" si="0"/>
        <v>2706</v>
      </c>
      <c r="H88" t="s">
        <v>166</v>
      </c>
    </row>
    <row r="89" spans="3:8" ht="12" customHeight="1">
      <c r="C89" s="173">
        <v>45089</v>
      </c>
      <c r="D89">
        <v>8</v>
      </c>
      <c r="E89" s="162">
        <v>3360</v>
      </c>
      <c r="F89" s="162">
        <v>336</v>
      </c>
      <c r="G89" s="162">
        <f t="shared" si="0"/>
        <v>3696</v>
      </c>
      <c r="H89" t="s">
        <v>209</v>
      </c>
    </row>
    <row r="90" spans="3:8" ht="12" customHeight="1">
      <c r="C90" s="173">
        <v>45013</v>
      </c>
      <c r="D90">
        <v>10</v>
      </c>
      <c r="E90" s="162">
        <v>700</v>
      </c>
      <c r="F90" s="162">
        <v>70</v>
      </c>
      <c r="G90" s="162">
        <f t="shared" si="0"/>
        <v>770</v>
      </c>
      <c r="H90" t="s">
        <v>210</v>
      </c>
    </row>
    <row r="91" spans="3:8" ht="12" customHeight="1">
      <c r="C91" s="173">
        <v>45093</v>
      </c>
      <c r="D91">
        <v>1</v>
      </c>
      <c r="E91" s="162">
        <v>730</v>
      </c>
      <c r="F91" s="162">
        <v>73</v>
      </c>
      <c r="G91" s="162">
        <f t="shared" si="0"/>
        <v>803</v>
      </c>
      <c r="H91" t="s">
        <v>194</v>
      </c>
    </row>
    <row r="92" spans="3:8" ht="12" customHeight="1">
      <c r="C92" s="173">
        <v>45093</v>
      </c>
      <c r="D92">
        <v>2</v>
      </c>
      <c r="E92" s="162">
        <v>1100</v>
      </c>
      <c r="F92" s="162">
        <v>110</v>
      </c>
      <c r="G92" s="162">
        <f t="shared" si="0"/>
        <v>1210</v>
      </c>
      <c r="H92" t="s">
        <v>157</v>
      </c>
    </row>
    <row r="93" spans="3:8" ht="12" customHeight="1">
      <c r="C93" s="173">
        <v>45093</v>
      </c>
      <c r="D93">
        <v>4</v>
      </c>
      <c r="E93" s="162">
        <v>1780</v>
      </c>
      <c r="F93" s="162">
        <v>178</v>
      </c>
      <c r="G93" s="162">
        <f t="shared" si="0"/>
        <v>1958</v>
      </c>
      <c r="H93" t="s">
        <v>166</v>
      </c>
    </row>
    <row r="94" spans="3:8" ht="12" customHeight="1">
      <c r="C94" s="173">
        <v>45096</v>
      </c>
      <c r="D94">
        <v>6</v>
      </c>
      <c r="E94" s="162">
        <v>1920</v>
      </c>
      <c r="F94" s="162">
        <v>192</v>
      </c>
      <c r="G94" s="162">
        <f t="shared" si="0"/>
        <v>2112</v>
      </c>
      <c r="H94" t="s">
        <v>190</v>
      </c>
    </row>
    <row r="95" spans="3:8" ht="12" customHeight="1">
      <c r="C95" s="173">
        <v>45093</v>
      </c>
      <c r="D95">
        <v>3</v>
      </c>
      <c r="E95" s="162">
        <v>1440</v>
      </c>
      <c r="F95" s="162">
        <v>144</v>
      </c>
      <c r="G95" s="162">
        <f t="shared" si="0"/>
        <v>1584</v>
      </c>
      <c r="H95" t="s">
        <v>156</v>
      </c>
    </row>
    <row r="96" spans="3:8" ht="12" customHeight="1">
      <c r="C96" s="173">
        <v>45104</v>
      </c>
      <c r="D96">
        <v>4</v>
      </c>
      <c r="E96" s="162">
        <v>1640</v>
      </c>
      <c r="F96" s="162">
        <v>164</v>
      </c>
      <c r="G96" s="162">
        <f t="shared" si="0"/>
        <v>1804</v>
      </c>
      <c r="H96" t="s">
        <v>166</v>
      </c>
    </row>
    <row r="97" spans="3:17" ht="12" customHeight="1">
      <c r="C97" s="173"/>
      <c r="D97" s="118">
        <f>SUM(D4:D96)</f>
        <v>626.5</v>
      </c>
      <c r="E97" s="178">
        <f>SUM(E4:E96)</f>
        <v>248075</v>
      </c>
      <c r="F97" s="178">
        <f>SUM(F4:F96)</f>
        <v>24807</v>
      </c>
      <c r="G97" s="178">
        <f t="shared" si="0"/>
        <v>272882</v>
      </c>
      <c r="K97" s="162">
        <f>SUM(E4:E95)</f>
        <v>246435</v>
      </c>
      <c r="L97" s="163" t="s">
        <v>266</v>
      </c>
      <c r="Q97" s="162">
        <f>K97+K101-'Barrel Purchases'!J22</f>
        <v>121805.84</v>
      </c>
    </row>
    <row r="98" spans="3:17" ht="12" customHeight="1">
      <c r="C98" s="173"/>
      <c r="E98" s="162"/>
      <c r="F98" s="162"/>
      <c r="G98" s="162">
        <f t="shared" si="0"/>
        <v>0</v>
      </c>
      <c r="K98" s="162">
        <f>E96</f>
        <v>1640</v>
      </c>
      <c r="L98" s="163" t="s">
        <v>267</v>
      </c>
    </row>
    <row r="99" spans="3:17" ht="12" customHeight="1">
      <c r="C99" s="210" t="s">
        <v>179</v>
      </c>
      <c r="D99" s="179"/>
      <c r="E99" s="162"/>
      <c r="F99" s="162"/>
      <c r="G99" s="162">
        <f t="shared" si="0"/>
        <v>0</v>
      </c>
      <c r="K99" s="162"/>
    </row>
    <row r="100" spans="3:17" ht="12" customHeight="1">
      <c r="C100" s="173">
        <v>44795</v>
      </c>
      <c r="E100" s="162">
        <v>7500</v>
      </c>
      <c r="F100" s="162">
        <v>750</v>
      </c>
      <c r="G100" s="162">
        <f t="shared" si="0"/>
        <v>8250</v>
      </c>
      <c r="H100" t="s">
        <v>178</v>
      </c>
      <c r="K100" s="162"/>
    </row>
    <row r="101" spans="3:17" ht="12" customHeight="1">
      <c r="C101" s="173">
        <v>44804</v>
      </c>
      <c r="E101" s="162">
        <v>15450</v>
      </c>
      <c r="F101" s="162">
        <v>1545</v>
      </c>
      <c r="G101" s="162">
        <f t="shared" si="0"/>
        <v>16995</v>
      </c>
      <c r="H101" t="s">
        <v>178</v>
      </c>
      <c r="K101" s="162"/>
      <c r="Q101" s="162">
        <f>K98-'Barrel Purchases'!J24</f>
        <v>1390</v>
      </c>
    </row>
    <row r="102" spans="3:17" ht="12" customHeight="1">
      <c r="C102" s="173"/>
      <c r="E102" s="178">
        <f>SUM(E100:E101)</f>
        <v>22950</v>
      </c>
      <c r="F102" s="178">
        <f t="shared" ref="F102:G102" si="1">SUM(F100:F101)</f>
        <v>2295</v>
      </c>
      <c r="G102" s="178">
        <f t="shared" si="1"/>
        <v>25245</v>
      </c>
      <c r="K102" s="162"/>
    </row>
    <row r="103" spans="3:17" ht="12" customHeight="1">
      <c r="C103" s="173"/>
      <c r="E103" s="162"/>
      <c r="F103" s="162"/>
      <c r="G103" s="162"/>
      <c r="K103" s="162"/>
    </row>
    <row r="104" spans="3:17" ht="12" customHeight="1">
      <c r="C104" s="173"/>
      <c r="E104" s="162"/>
      <c r="F104" s="162"/>
      <c r="G104" s="162"/>
      <c r="K104" s="162"/>
    </row>
    <row r="105" spans="3:17" ht="12" customHeight="1">
      <c r="C105" s="173"/>
      <c r="E105" s="162">
        <f>E97-'Barrel Purchases'!E25</f>
        <v>123195.84</v>
      </c>
      <c r="F105" s="162"/>
      <c r="G105" s="162"/>
    </row>
    <row r="106" spans="3:17" ht="12" customHeight="1">
      <c r="C106" s="173"/>
      <c r="E106" s="162"/>
      <c r="F106" s="162"/>
      <c r="G106" s="162"/>
    </row>
    <row r="107" spans="3:17" ht="12" customHeight="1">
      <c r="C107" s="173" t="s">
        <v>311</v>
      </c>
      <c r="E107" s="162" t="s">
        <v>147</v>
      </c>
      <c r="F107" s="162">
        <v>52606.06</v>
      </c>
      <c r="G107" s="162"/>
    </row>
    <row r="108" spans="3:17" ht="12" customHeight="1">
      <c r="C108" s="173"/>
      <c r="E108" s="162"/>
      <c r="F108" s="162"/>
      <c r="G108" s="162"/>
    </row>
    <row r="109" spans="3:17" ht="12" customHeight="1">
      <c r="C109" s="173"/>
      <c r="E109" s="162"/>
      <c r="F109" s="162"/>
      <c r="G109" s="162"/>
    </row>
    <row r="110" spans="3:17" ht="12" customHeight="1">
      <c r="C110" s="173"/>
      <c r="E110" s="162"/>
      <c r="F110" s="162"/>
      <c r="G110" s="162"/>
    </row>
    <row r="111" spans="3:17" ht="12" customHeight="1">
      <c r="C111" s="173"/>
      <c r="E111" s="162"/>
      <c r="F111" s="162"/>
      <c r="G111" s="162"/>
    </row>
    <row r="112" spans="3:17" ht="12" customHeight="1">
      <c r="C112" s="173"/>
      <c r="E112" s="162"/>
      <c r="F112" s="162"/>
      <c r="G112" s="162"/>
    </row>
    <row r="113" spans="3:7" ht="12" customHeight="1">
      <c r="C113" s="173"/>
      <c r="E113" s="162"/>
      <c r="F113" s="162"/>
      <c r="G113" s="162"/>
    </row>
    <row r="114" spans="3:7">
      <c r="C114" s="173"/>
      <c r="E114" s="162"/>
      <c r="F114" s="162"/>
      <c r="G114" s="162"/>
    </row>
    <row r="115" spans="3:7">
      <c r="C115" s="173"/>
      <c r="E115" s="162"/>
      <c r="F115" s="162"/>
      <c r="G115" s="162"/>
    </row>
    <row r="116" spans="3:7">
      <c r="C116" s="173"/>
      <c r="E116" s="162"/>
      <c r="F116" s="162"/>
      <c r="G116" s="162"/>
    </row>
    <row r="117" spans="3:7">
      <c r="C117" s="173"/>
      <c r="E117" s="162"/>
      <c r="F117" s="162"/>
      <c r="G117" s="162"/>
    </row>
    <row r="118" spans="3:7">
      <c r="C118" s="173"/>
      <c r="E118" s="162"/>
      <c r="F118" s="162"/>
      <c r="G118" s="162"/>
    </row>
    <row r="119" spans="3:7">
      <c r="C119" s="173"/>
      <c r="E119" s="162"/>
      <c r="F119" s="162"/>
      <c r="G119" s="162"/>
    </row>
    <row r="120" spans="3:7">
      <c r="C120" s="173"/>
      <c r="E120" s="162"/>
      <c r="F120" s="162"/>
      <c r="G120" s="162"/>
    </row>
    <row r="121" spans="3:7">
      <c r="C121" s="173"/>
      <c r="E121" s="162"/>
      <c r="F121" s="162"/>
      <c r="G121" s="162"/>
    </row>
    <row r="122" spans="3:7">
      <c r="C122" s="173"/>
      <c r="E122" s="162"/>
      <c r="F122" s="162"/>
      <c r="G122" s="162"/>
    </row>
    <row r="123" spans="3:7">
      <c r="C123" s="173"/>
      <c r="E123" s="162"/>
      <c r="F123" s="162"/>
      <c r="G123" s="162"/>
    </row>
    <row r="124" spans="3:7">
      <c r="C124" s="173"/>
      <c r="E124" s="162"/>
      <c r="F124" s="162"/>
      <c r="G124" s="162"/>
    </row>
    <row r="125" spans="3:7">
      <c r="C125" s="173"/>
      <c r="E125" s="162"/>
      <c r="F125" s="162"/>
      <c r="G125" s="162"/>
    </row>
    <row r="126" spans="3:7">
      <c r="C126" s="173"/>
      <c r="E126" s="162"/>
      <c r="F126" s="162"/>
      <c r="G126" s="162"/>
    </row>
    <row r="127" spans="3:7">
      <c r="C127" s="173"/>
      <c r="E127" s="162"/>
      <c r="F127" s="162"/>
      <c r="G127" s="162"/>
    </row>
    <row r="128" spans="3:7">
      <c r="C128" s="173"/>
      <c r="E128" s="162"/>
      <c r="F128" s="162"/>
      <c r="G128" s="162"/>
    </row>
    <row r="129" spans="3:7">
      <c r="C129" s="173"/>
      <c r="E129" s="162"/>
      <c r="F129" s="162"/>
      <c r="G129" s="162"/>
    </row>
    <row r="130" spans="3:7">
      <c r="C130" s="173"/>
      <c r="E130" s="162"/>
      <c r="F130" s="162"/>
      <c r="G130" s="162"/>
    </row>
    <row r="131" spans="3:7">
      <c r="C131" s="173"/>
      <c r="E131" s="162"/>
      <c r="F131" s="162"/>
      <c r="G131" s="162"/>
    </row>
    <row r="132" spans="3:7">
      <c r="E132" s="162"/>
      <c r="F132" s="162"/>
      <c r="G132" s="162"/>
    </row>
    <row r="133" spans="3:7">
      <c r="E133" s="162"/>
      <c r="F133" s="162"/>
      <c r="G133" s="162"/>
    </row>
    <row r="134" spans="3:7">
      <c r="E134" s="162"/>
      <c r="F134" s="162"/>
      <c r="G134" s="162"/>
    </row>
    <row r="135" spans="3:7">
      <c r="E135" s="162"/>
      <c r="F135" s="208"/>
      <c r="G135" s="162"/>
    </row>
    <row r="136" spans="3:7">
      <c r="E136" s="162"/>
      <c r="F136" s="162"/>
      <c r="G136" s="208"/>
    </row>
    <row r="137" spans="3:7">
      <c r="E137" s="162"/>
      <c r="F137" s="162"/>
      <c r="G137" s="208"/>
    </row>
    <row r="138" spans="3:7">
      <c r="E138" s="162"/>
      <c r="F138" s="162"/>
      <c r="G138" s="162"/>
    </row>
    <row r="139" spans="3:7">
      <c r="E139" s="162"/>
      <c r="F139" s="162"/>
      <c r="G139" s="162"/>
    </row>
    <row r="140" spans="3:7">
      <c r="E140" s="162"/>
      <c r="F140" s="162"/>
      <c r="G140" s="162"/>
    </row>
    <row r="141" spans="3:7">
      <c r="E141" s="162"/>
      <c r="F141" s="162"/>
      <c r="G141" s="162"/>
    </row>
  </sheetData>
  <pageMargins left="0.7" right="0.7" top="0.75" bottom="0.75" header="0.3" footer="0.3"/>
  <pageSetup scale="85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30B4E-7E1E-414D-B33C-8E95906FC0DE}">
  <sheetPr>
    <pageSetUpPr fitToPage="1"/>
  </sheetPr>
  <dimension ref="C3:K36"/>
  <sheetViews>
    <sheetView workbookViewId="0">
      <selection activeCell="K25" sqref="K25"/>
    </sheetView>
  </sheetViews>
  <sheetFormatPr defaultRowHeight="12.75"/>
  <cols>
    <col min="3" max="3" width="10.140625" bestFit="1" customWidth="1"/>
    <col min="5" max="5" width="12.28515625" bestFit="1" customWidth="1"/>
    <col min="6" max="6" width="11.28515625" bestFit="1" customWidth="1"/>
    <col min="7" max="7" width="12.28515625" bestFit="1" customWidth="1"/>
    <col min="8" max="8" width="11.28515625" bestFit="1" customWidth="1"/>
    <col min="9" max="9" width="10.28515625" bestFit="1" customWidth="1"/>
    <col min="10" max="10" width="12.28515625" bestFit="1" customWidth="1"/>
  </cols>
  <sheetData>
    <row r="3" spans="3:9">
      <c r="D3" s="211" t="s">
        <v>134</v>
      </c>
      <c r="E3" s="211"/>
    </row>
    <row r="4" spans="3:9">
      <c r="D4" s="177" t="s">
        <v>131</v>
      </c>
      <c r="E4" s="177" t="s">
        <v>129</v>
      </c>
      <c r="F4" s="177" t="s">
        <v>122</v>
      </c>
      <c r="G4" s="177" t="s">
        <v>14</v>
      </c>
    </row>
    <row r="5" spans="3:9">
      <c r="C5" s="173">
        <v>44781</v>
      </c>
      <c r="D5">
        <v>80</v>
      </c>
      <c r="E5" s="162">
        <v>22194.400000000001</v>
      </c>
      <c r="F5" s="162">
        <v>0</v>
      </c>
      <c r="G5" s="162">
        <f>SUM(E5:F5)</f>
        <v>22194.400000000001</v>
      </c>
      <c r="H5" t="s">
        <v>172</v>
      </c>
    </row>
    <row r="6" spans="3:9">
      <c r="C6" s="173">
        <v>44776</v>
      </c>
      <c r="D6">
        <v>34</v>
      </c>
      <c r="E6" s="162">
        <v>22100</v>
      </c>
      <c r="F6" s="162">
        <v>2210</v>
      </c>
      <c r="G6" s="162">
        <f t="shared" ref="G6:G24" si="0">SUM(E6:F6)</f>
        <v>24310</v>
      </c>
      <c r="H6" s="163" t="s">
        <v>180</v>
      </c>
    </row>
    <row r="7" spans="3:9">
      <c r="C7" s="173">
        <v>44809</v>
      </c>
      <c r="D7">
        <v>11</v>
      </c>
      <c r="E7" s="162">
        <f>4753+4074</f>
        <v>8827</v>
      </c>
      <c r="F7" s="162">
        <f>475.3+407.4</f>
        <v>882.7</v>
      </c>
      <c r="G7" s="162">
        <f t="shared" si="0"/>
        <v>9709.7000000000007</v>
      </c>
      <c r="H7" t="s">
        <v>180</v>
      </c>
    </row>
    <row r="8" spans="3:9">
      <c r="C8" s="173">
        <v>44750</v>
      </c>
      <c r="D8">
        <v>126</v>
      </c>
      <c r="E8" s="162">
        <v>23671.759999999998</v>
      </c>
      <c r="F8" s="162">
        <v>0</v>
      </c>
      <c r="G8" s="162">
        <f t="shared" si="0"/>
        <v>23671.759999999998</v>
      </c>
      <c r="H8" s="162" t="s">
        <v>187</v>
      </c>
      <c r="I8" s="162"/>
    </row>
    <row r="9" spans="3:9">
      <c r="C9" s="173">
        <v>44952</v>
      </c>
      <c r="D9">
        <v>11</v>
      </c>
      <c r="E9" s="162">
        <v>4600</v>
      </c>
      <c r="F9" s="162">
        <v>460</v>
      </c>
      <c r="G9" s="162">
        <f t="shared" si="0"/>
        <v>5060</v>
      </c>
      <c r="H9" s="192" t="s">
        <v>193</v>
      </c>
      <c r="I9" s="162"/>
    </row>
    <row r="10" spans="3:9">
      <c r="C10" s="173">
        <v>44963</v>
      </c>
      <c r="D10">
        <v>43</v>
      </c>
      <c r="E10" s="162">
        <v>3010</v>
      </c>
      <c r="F10" s="162">
        <v>301</v>
      </c>
      <c r="G10" s="162">
        <f t="shared" si="0"/>
        <v>3311</v>
      </c>
      <c r="H10" s="192" t="s">
        <v>195</v>
      </c>
      <c r="I10" s="162"/>
    </row>
    <row r="11" spans="3:9">
      <c r="C11" s="173">
        <v>44974</v>
      </c>
      <c r="D11">
        <v>1</v>
      </c>
      <c r="E11" s="162">
        <v>500</v>
      </c>
      <c r="F11" s="162">
        <v>50</v>
      </c>
      <c r="G11" s="162">
        <f t="shared" si="0"/>
        <v>550</v>
      </c>
      <c r="H11" s="192" t="s">
        <v>196</v>
      </c>
    </row>
    <row r="12" spans="3:9">
      <c r="C12" s="173">
        <v>44987</v>
      </c>
      <c r="D12">
        <v>200</v>
      </c>
      <c r="E12" s="162">
        <v>7000</v>
      </c>
      <c r="F12" s="162">
        <v>700</v>
      </c>
      <c r="G12" s="162">
        <f t="shared" si="0"/>
        <v>7700</v>
      </c>
      <c r="H12" s="192" t="s">
        <v>180</v>
      </c>
    </row>
    <row r="13" spans="3:9">
      <c r="C13" s="173">
        <v>44987</v>
      </c>
      <c r="D13">
        <v>180</v>
      </c>
      <c r="E13" s="162">
        <v>18000</v>
      </c>
      <c r="F13" s="162">
        <v>1800</v>
      </c>
      <c r="G13" s="162">
        <f t="shared" si="0"/>
        <v>19800</v>
      </c>
      <c r="H13" s="192" t="s">
        <v>198</v>
      </c>
    </row>
    <row r="14" spans="3:9">
      <c r="C14" s="173">
        <v>45014</v>
      </c>
      <c r="D14">
        <v>25</v>
      </c>
      <c r="E14" s="162">
        <v>500</v>
      </c>
      <c r="F14" s="162">
        <v>50</v>
      </c>
      <c r="G14" s="162">
        <f t="shared" si="0"/>
        <v>550</v>
      </c>
      <c r="H14" s="192" t="s">
        <v>200</v>
      </c>
    </row>
    <row r="15" spans="3:9">
      <c r="C15" s="173">
        <v>45015</v>
      </c>
      <c r="D15">
        <v>5</v>
      </c>
      <c r="E15" s="162">
        <v>650</v>
      </c>
      <c r="F15" s="162">
        <v>65</v>
      </c>
      <c r="G15" s="162">
        <f t="shared" si="0"/>
        <v>715</v>
      </c>
      <c r="H15" s="192" t="s">
        <v>202</v>
      </c>
    </row>
    <row r="16" spans="3:9">
      <c r="C16" s="173">
        <v>45016</v>
      </c>
      <c r="D16">
        <v>10</v>
      </c>
      <c r="E16" s="162">
        <v>7676</v>
      </c>
      <c r="F16" s="162">
        <v>767.6</v>
      </c>
      <c r="G16" s="162">
        <f t="shared" si="0"/>
        <v>8443.6</v>
      </c>
      <c r="H16" s="192" t="s">
        <v>180</v>
      </c>
    </row>
    <row r="17" spans="3:11">
      <c r="C17" s="173">
        <v>45014</v>
      </c>
      <c r="D17">
        <v>5</v>
      </c>
      <c r="E17" s="162">
        <v>2050</v>
      </c>
      <c r="F17" s="162">
        <v>205</v>
      </c>
      <c r="G17" s="162">
        <f t="shared" si="0"/>
        <v>2255</v>
      </c>
      <c r="H17" s="192" t="s">
        <v>180</v>
      </c>
    </row>
    <row r="18" spans="3:11">
      <c r="C18" s="173">
        <v>45083</v>
      </c>
      <c r="D18">
        <v>11</v>
      </c>
      <c r="E18" s="162">
        <v>2200</v>
      </c>
      <c r="F18" s="162">
        <v>220</v>
      </c>
      <c r="G18" s="162">
        <f t="shared" si="0"/>
        <v>2420</v>
      </c>
      <c r="H18" s="192" t="s">
        <v>208</v>
      </c>
    </row>
    <row r="19" spans="3:11">
      <c r="C19" s="173">
        <v>45083</v>
      </c>
      <c r="D19">
        <v>6</v>
      </c>
      <c r="E19" s="162">
        <v>1200</v>
      </c>
      <c r="F19" s="162">
        <v>120</v>
      </c>
      <c r="G19" s="162">
        <f t="shared" si="0"/>
        <v>1320</v>
      </c>
      <c r="H19" s="192" t="s">
        <v>208</v>
      </c>
    </row>
    <row r="20" spans="3:11">
      <c r="C20" s="173">
        <v>45083</v>
      </c>
      <c r="D20">
        <v>1</v>
      </c>
      <c r="E20" s="162">
        <v>200</v>
      </c>
      <c r="F20" s="162">
        <v>20</v>
      </c>
      <c r="G20" s="162">
        <f t="shared" si="0"/>
        <v>220</v>
      </c>
      <c r="H20" s="192" t="s">
        <v>208</v>
      </c>
    </row>
    <row r="21" spans="3:11">
      <c r="C21" s="173">
        <v>45078</v>
      </c>
      <c r="D21">
        <v>1</v>
      </c>
      <c r="E21" s="162">
        <v>250</v>
      </c>
      <c r="F21" s="162">
        <v>25</v>
      </c>
      <c r="G21" s="162">
        <f t="shared" si="0"/>
        <v>275</v>
      </c>
      <c r="H21" s="192" t="s">
        <v>211</v>
      </c>
    </row>
    <row r="22" spans="3:11">
      <c r="C22" s="173">
        <v>45105</v>
      </c>
      <c r="D22">
        <v>1</v>
      </c>
      <c r="E22" s="162">
        <v>250</v>
      </c>
      <c r="F22" s="162">
        <v>25</v>
      </c>
      <c r="G22" s="162">
        <f t="shared" si="0"/>
        <v>275</v>
      </c>
      <c r="H22" s="192" t="s">
        <v>211</v>
      </c>
      <c r="J22" s="162">
        <f>SUM(E5:E21)</f>
        <v>124629.16</v>
      </c>
      <c r="K22" s="163" t="s">
        <v>268</v>
      </c>
    </row>
    <row r="23" spans="3:11">
      <c r="C23" s="173"/>
      <c r="E23" s="162"/>
      <c r="F23" s="162"/>
      <c r="G23" s="162">
        <f t="shared" si="0"/>
        <v>0</v>
      </c>
    </row>
    <row r="24" spans="3:11">
      <c r="C24" s="173"/>
      <c r="E24" s="162"/>
      <c r="F24" s="162"/>
      <c r="G24" s="162">
        <f t="shared" si="0"/>
        <v>0</v>
      </c>
      <c r="J24" s="162">
        <f>E22</f>
        <v>250</v>
      </c>
      <c r="K24" s="163" t="s">
        <v>269</v>
      </c>
    </row>
    <row r="25" spans="3:11" ht="13.5" thickBot="1">
      <c r="D25" s="120">
        <f>SUM(D5:D24)</f>
        <v>751</v>
      </c>
      <c r="E25" s="189">
        <f>SUM(E5:E23)</f>
        <v>124879.16</v>
      </c>
      <c r="F25" s="189">
        <f>SUM(F5:F23)</f>
        <v>7901.3</v>
      </c>
      <c r="G25" s="189">
        <f t="shared" ref="G25" si="1">SUM(G5:G23)</f>
        <v>132780.46000000002</v>
      </c>
    </row>
    <row r="26" spans="3:11">
      <c r="E26" s="162"/>
      <c r="F26" s="162"/>
      <c r="G26" s="162"/>
    </row>
    <row r="27" spans="3:11">
      <c r="E27" s="162"/>
      <c r="F27" s="162"/>
      <c r="G27" s="162"/>
    </row>
    <row r="29" spans="3:11">
      <c r="E29" s="162"/>
      <c r="F29" s="162"/>
      <c r="G29" s="162"/>
    </row>
    <row r="30" spans="3:11">
      <c r="E30" s="162"/>
      <c r="F30" s="162"/>
      <c r="G30" s="162"/>
    </row>
    <row r="31" spans="3:11">
      <c r="E31" s="162"/>
      <c r="F31" s="162"/>
      <c r="G31" s="162"/>
    </row>
    <row r="32" spans="3:11">
      <c r="E32" s="162"/>
      <c r="F32" s="162"/>
      <c r="G32" s="162"/>
    </row>
    <row r="33" spans="5:7">
      <c r="E33" s="162"/>
      <c r="F33" s="162"/>
      <c r="G33" s="162"/>
    </row>
    <row r="34" spans="5:7">
      <c r="E34" s="162"/>
      <c r="F34" s="162"/>
      <c r="G34" s="162"/>
    </row>
    <row r="35" spans="5:7">
      <c r="E35" s="162"/>
      <c r="F35" s="162"/>
      <c r="G35" s="162"/>
    </row>
    <row r="36" spans="5:7">
      <c r="E36" s="162"/>
      <c r="F36" s="162"/>
      <c r="G36" s="162"/>
    </row>
  </sheetData>
  <pageMargins left="0.7" right="0.7" top="0.75" bottom="0.75" header="0.3" footer="0.3"/>
  <pageSetup fitToHeight="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0B22-0E1D-4D01-AF06-91E99633FFF0}">
  <dimension ref="A2:F50"/>
  <sheetViews>
    <sheetView workbookViewId="0">
      <selection activeCell="D20" sqref="D20:D25"/>
    </sheetView>
  </sheetViews>
  <sheetFormatPr defaultRowHeight="12.75"/>
  <cols>
    <col min="3" max="3" width="11.28515625" bestFit="1" customWidth="1"/>
    <col min="4" max="4" width="13.28515625" customWidth="1"/>
    <col min="5" max="5" width="13.42578125" customWidth="1"/>
  </cols>
  <sheetData>
    <row r="2" spans="3:6">
      <c r="D2" s="177" t="s">
        <v>148</v>
      </c>
    </row>
    <row r="4" spans="3:6">
      <c r="C4" s="163" t="s">
        <v>147</v>
      </c>
      <c r="D4" s="163" t="s">
        <v>122</v>
      </c>
      <c r="E4" s="163" t="s">
        <v>14</v>
      </c>
    </row>
    <row r="5" spans="3:6">
      <c r="C5" s="162">
        <v>800</v>
      </c>
      <c r="D5" s="162">
        <v>80</v>
      </c>
      <c r="E5" s="162">
        <f>SUM(C5:D5)</f>
        <v>880</v>
      </c>
      <c r="F5" t="s">
        <v>175</v>
      </c>
    </row>
    <row r="6" spans="3:6">
      <c r="C6" s="162">
        <f>571.61+160.05+80.48+31.54</f>
        <v>843.68000000000006</v>
      </c>
      <c r="D6" s="162">
        <v>76.319999999999993</v>
      </c>
      <c r="E6" s="162">
        <f t="shared" ref="E6:E18" si="0">SUM(C6:D6)</f>
        <v>920</v>
      </c>
      <c r="F6" t="s">
        <v>176</v>
      </c>
    </row>
    <row r="7" spans="3:6">
      <c r="C7" s="162">
        <v>24495.52</v>
      </c>
      <c r="D7" s="162">
        <v>0</v>
      </c>
      <c r="E7" s="162">
        <f t="shared" si="0"/>
        <v>24495.52</v>
      </c>
      <c r="F7" t="s">
        <v>177</v>
      </c>
    </row>
    <row r="8" spans="3:6">
      <c r="C8" s="162">
        <v>15280</v>
      </c>
      <c r="D8" s="162">
        <v>1528</v>
      </c>
      <c r="E8" s="162">
        <f t="shared" si="0"/>
        <v>16808</v>
      </c>
      <c r="F8" t="s">
        <v>178</v>
      </c>
    </row>
    <row r="9" spans="3:6">
      <c r="C9" s="162">
        <v>2450</v>
      </c>
      <c r="D9" s="162">
        <v>245</v>
      </c>
      <c r="E9" s="162">
        <f t="shared" si="0"/>
        <v>2695</v>
      </c>
      <c r="F9" t="s">
        <v>175</v>
      </c>
    </row>
    <row r="10" spans="3:6">
      <c r="C10" s="162">
        <v>1047.3699999999999</v>
      </c>
      <c r="D10" s="162">
        <v>104.74</v>
      </c>
      <c r="E10" s="162">
        <f t="shared" si="0"/>
        <v>1152.1099999999999</v>
      </c>
      <c r="F10" t="s">
        <v>175</v>
      </c>
    </row>
    <row r="11" spans="3:6">
      <c r="C11" s="162">
        <v>16947.77</v>
      </c>
      <c r="D11" s="162">
        <v>4386.82</v>
      </c>
      <c r="E11" s="162">
        <f t="shared" si="0"/>
        <v>21334.59</v>
      </c>
      <c r="F11" t="s">
        <v>175</v>
      </c>
    </row>
    <row r="12" spans="3:6">
      <c r="C12" s="162">
        <v>220</v>
      </c>
      <c r="D12" s="162">
        <v>22</v>
      </c>
      <c r="E12" s="162">
        <f t="shared" si="0"/>
        <v>242</v>
      </c>
      <c r="F12" t="s">
        <v>185</v>
      </c>
    </row>
    <row r="13" spans="3:6">
      <c r="C13" s="162">
        <v>220</v>
      </c>
      <c r="D13" s="162">
        <v>22</v>
      </c>
      <c r="E13" s="162">
        <f t="shared" si="0"/>
        <v>242</v>
      </c>
      <c r="F13" t="s">
        <v>185</v>
      </c>
    </row>
    <row r="14" spans="3:6">
      <c r="C14" s="162">
        <v>59</v>
      </c>
      <c r="D14" s="162">
        <v>0</v>
      </c>
      <c r="E14" s="162">
        <f t="shared" si="0"/>
        <v>59</v>
      </c>
      <c r="F14" t="s">
        <v>186</v>
      </c>
    </row>
    <row r="15" spans="3:6">
      <c r="C15" s="162">
        <v>406</v>
      </c>
      <c r="D15" s="162">
        <v>6457.23</v>
      </c>
      <c r="E15" s="162">
        <f t="shared" si="0"/>
        <v>6863.23</v>
      </c>
      <c r="F15" t="s">
        <v>189</v>
      </c>
    </row>
    <row r="16" spans="3:6">
      <c r="C16" s="162">
        <v>2720</v>
      </c>
      <c r="D16" s="162">
        <v>272</v>
      </c>
      <c r="E16" s="162">
        <f t="shared" si="0"/>
        <v>2992</v>
      </c>
      <c r="F16" t="s">
        <v>185</v>
      </c>
    </row>
    <row r="17" spans="1:6">
      <c r="C17" s="162">
        <v>400</v>
      </c>
      <c r="D17" s="162">
        <v>40</v>
      </c>
      <c r="E17" s="162">
        <f t="shared" si="0"/>
        <v>440</v>
      </c>
      <c r="F17" t="s">
        <v>201</v>
      </c>
    </row>
    <row r="18" spans="1:6">
      <c r="C18" s="162">
        <v>6100</v>
      </c>
      <c r="D18" s="162">
        <v>610</v>
      </c>
      <c r="E18" s="162">
        <f t="shared" si="0"/>
        <v>6710</v>
      </c>
      <c r="F18" t="s">
        <v>175</v>
      </c>
    </row>
    <row r="19" spans="1:6">
      <c r="A19" s="187" t="s">
        <v>205</v>
      </c>
      <c r="B19" s="187"/>
      <c r="C19" s="188">
        <f>963.66+712.65</f>
        <v>1676.31</v>
      </c>
      <c r="D19" s="188">
        <v>0</v>
      </c>
      <c r="E19" s="188">
        <v>1676.31</v>
      </c>
      <c r="F19" t="s">
        <v>204</v>
      </c>
    </row>
    <row r="20" spans="1:6">
      <c r="A20">
        <v>152.38999999999999</v>
      </c>
      <c r="C20" s="162">
        <v>360</v>
      </c>
      <c r="D20" s="162">
        <v>36</v>
      </c>
      <c r="E20" s="162">
        <f>SUM(C20:D20)</f>
        <v>396</v>
      </c>
      <c r="F20" s="163" t="s">
        <v>175</v>
      </c>
    </row>
    <row r="21" spans="1:6">
      <c r="C21" s="162">
        <v>290</v>
      </c>
      <c r="D21" s="162">
        <v>0</v>
      </c>
      <c r="E21" s="162">
        <f>SUM(C21:D21)</f>
        <v>290</v>
      </c>
      <c r="F21" s="163" t="s">
        <v>212</v>
      </c>
    </row>
    <row r="22" spans="1:6">
      <c r="C22" s="162">
        <f>514-43.12</f>
        <v>470.88</v>
      </c>
      <c r="D22" s="162">
        <v>43.12</v>
      </c>
      <c r="E22" s="162">
        <f t="shared" ref="E22:E24" si="1">SUM(C22:D22)</f>
        <v>514</v>
      </c>
      <c r="F22" s="163" t="s">
        <v>176</v>
      </c>
    </row>
    <row r="23" spans="1:6">
      <c r="C23" s="162">
        <f>2246-187.74</f>
        <v>2058.2600000000002</v>
      </c>
      <c r="D23" s="162">
        <v>187.74</v>
      </c>
      <c r="E23" s="162">
        <f t="shared" si="1"/>
        <v>2246</v>
      </c>
      <c r="F23" s="163" t="s">
        <v>176</v>
      </c>
    </row>
    <row r="24" spans="1:6">
      <c r="C24" s="162">
        <f>2872-239.94</f>
        <v>2632.06</v>
      </c>
      <c r="D24" s="162">
        <v>239.94</v>
      </c>
      <c r="E24" s="162">
        <f t="shared" si="1"/>
        <v>2872</v>
      </c>
      <c r="F24" s="163" t="s">
        <v>176</v>
      </c>
    </row>
    <row r="25" spans="1:6">
      <c r="C25" s="178">
        <f>SUM(C5:C23)</f>
        <v>76844.789999999994</v>
      </c>
      <c r="D25" s="178">
        <f>SUM(D5:D24)</f>
        <v>14350.91</v>
      </c>
      <c r="E25" s="178">
        <f>SUM(E5:E24)</f>
        <v>93827.76</v>
      </c>
    </row>
    <row r="26" spans="1:6">
      <c r="C26" s="162"/>
      <c r="D26" s="162"/>
      <c r="E26" s="162"/>
    </row>
    <row r="27" spans="1:6">
      <c r="C27" s="162"/>
      <c r="D27" s="162"/>
      <c r="E27" s="162"/>
    </row>
    <row r="28" spans="1:6">
      <c r="C28" s="162"/>
      <c r="D28" s="162"/>
      <c r="E28" s="162"/>
    </row>
    <row r="29" spans="1:6">
      <c r="C29" s="162"/>
      <c r="D29" s="162"/>
      <c r="E29" s="162"/>
    </row>
    <row r="30" spans="1:6">
      <c r="C30" s="162"/>
      <c r="D30" s="162"/>
      <c r="E30" s="162"/>
    </row>
    <row r="31" spans="1:6">
      <c r="C31" s="162"/>
      <c r="D31" s="162"/>
      <c r="E31" s="162"/>
    </row>
    <row r="32" spans="1:6">
      <c r="C32" s="162"/>
      <c r="D32" s="162"/>
      <c r="E32" s="162"/>
    </row>
    <row r="33" spans="3:5">
      <c r="C33" s="162"/>
      <c r="D33" s="162"/>
      <c r="E33" s="162"/>
    </row>
    <row r="34" spans="3:5">
      <c r="C34" s="162"/>
      <c r="D34" s="162"/>
      <c r="E34" s="162"/>
    </row>
    <row r="35" spans="3:5">
      <c r="C35" s="162"/>
      <c r="D35" s="162"/>
      <c r="E35" s="162"/>
    </row>
    <row r="36" spans="3:5">
      <c r="C36" s="162"/>
      <c r="D36" s="162"/>
      <c r="E36" s="162"/>
    </row>
    <row r="37" spans="3:5">
      <c r="C37" s="162"/>
      <c r="D37" s="162"/>
      <c r="E37" s="162"/>
    </row>
    <row r="38" spans="3:5">
      <c r="C38" s="162"/>
      <c r="D38" s="162"/>
      <c r="E38" s="162"/>
    </row>
    <row r="39" spans="3:5">
      <c r="C39" s="162"/>
      <c r="D39" s="162"/>
      <c r="E39" s="162"/>
    </row>
    <row r="40" spans="3:5">
      <c r="C40" s="162"/>
      <c r="D40" s="162"/>
      <c r="E40" s="162"/>
    </row>
    <row r="41" spans="3:5">
      <c r="C41" s="162"/>
      <c r="D41" s="162"/>
      <c r="E41" s="162"/>
    </row>
    <row r="42" spans="3:5">
      <c r="C42" s="162"/>
      <c r="D42" s="162"/>
      <c r="E42" s="162"/>
    </row>
    <row r="43" spans="3:5">
      <c r="C43" s="162"/>
      <c r="D43" s="162"/>
      <c r="E43" s="162"/>
    </row>
    <row r="44" spans="3:5">
      <c r="C44" s="162"/>
      <c r="D44" s="162"/>
      <c r="E44" s="162"/>
    </row>
    <row r="45" spans="3:5">
      <c r="C45" s="162"/>
      <c r="D45" s="162"/>
      <c r="E45" s="162"/>
    </row>
    <row r="46" spans="3:5">
      <c r="C46" s="162"/>
      <c r="D46" s="162"/>
      <c r="E46" s="162"/>
    </row>
    <row r="47" spans="3:5">
      <c r="C47" s="162"/>
      <c r="D47" s="162"/>
      <c r="E47" s="162"/>
    </row>
    <row r="48" spans="3:5">
      <c r="C48" s="162"/>
      <c r="D48" s="162"/>
      <c r="E48" s="162"/>
    </row>
    <row r="49" spans="3:5">
      <c r="C49" s="162"/>
      <c r="D49" s="162"/>
      <c r="E49" s="162"/>
    </row>
    <row r="50" spans="3:5">
      <c r="C50" s="162"/>
      <c r="D50" s="162"/>
      <c r="E50" s="16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6991-EE20-40BA-A53D-C3546AB01850}">
  <dimension ref="D2:G21"/>
  <sheetViews>
    <sheetView workbookViewId="0">
      <selection activeCell="I30" sqref="I30"/>
    </sheetView>
  </sheetViews>
  <sheetFormatPr defaultRowHeight="12.75"/>
  <cols>
    <col min="4" max="4" width="11.28515625" bestFit="1" customWidth="1"/>
    <col min="5" max="5" width="16.140625" bestFit="1" customWidth="1"/>
    <col min="6" max="6" width="11.28515625" bestFit="1" customWidth="1"/>
  </cols>
  <sheetData>
    <row r="2" spans="4:7">
      <c r="E2" s="177" t="s">
        <v>181</v>
      </c>
    </row>
    <row r="4" spans="4:7">
      <c r="D4" s="163" t="s">
        <v>147</v>
      </c>
      <c r="E4" s="163" t="s">
        <v>122</v>
      </c>
      <c r="F4" s="163" t="s">
        <v>14</v>
      </c>
    </row>
    <row r="5" spans="4:7">
      <c r="D5" s="162">
        <v>280</v>
      </c>
      <c r="E5" s="162">
        <v>28</v>
      </c>
      <c r="F5" s="162">
        <f>SUM(D5:E5)</f>
        <v>308</v>
      </c>
    </row>
    <row r="6" spans="4:7">
      <c r="D6" s="162">
        <v>55</v>
      </c>
      <c r="E6" s="162">
        <v>0</v>
      </c>
      <c r="F6" s="162">
        <f t="shared" ref="F6:F19" si="0">SUM(D6:E6)</f>
        <v>55</v>
      </c>
    </row>
    <row r="7" spans="4:7">
      <c r="D7" s="162">
        <v>226.18</v>
      </c>
      <c r="E7" s="162">
        <v>22.62</v>
      </c>
      <c r="F7" s="162">
        <f t="shared" si="0"/>
        <v>248.8</v>
      </c>
    </row>
    <row r="8" spans="4:7">
      <c r="D8" s="162">
        <v>4613</v>
      </c>
      <c r="E8" s="162">
        <v>461.3</v>
      </c>
      <c r="F8" s="162">
        <f t="shared" si="0"/>
        <v>5074.3</v>
      </c>
    </row>
    <row r="9" spans="4:7">
      <c r="D9" s="162">
        <v>160</v>
      </c>
      <c r="E9" s="162">
        <v>16</v>
      </c>
      <c r="F9" s="162">
        <f t="shared" si="0"/>
        <v>176</v>
      </c>
    </row>
    <row r="10" spans="4:7">
      <c r="D10" s="162">
        <v>7076.78</v>
      </c>
      <c r="E10" s="162">
        <v>0</v>
      </c>
      <c r="F10" s="162">
        <f t="shared" si="0"/>
        <v>7076.78</v>
      </c>
      <c r="G10" t="s">
        <v>199</v>
      </c>
    </row>
    <row r="11" spans="4:7">
      <c r="D11" s="162">
        <v>360</v>
      </c>
      <c r="E11" s="162">
        <v>0</v>
      </c>
      <c r="F11" s="162">
        <f t="shared" si="0"/>
        <v>360</v>
      </c>
    </row>
    <row r="12" spans="4:7">
      <c r="D12" s="162">
        <v>120</v>
      </c>
      <c r="E12" s="162">
        <v>0</v>
      </c>
      <c r="F12" s="162">
        <f t="shared" si="0"/>
        <v>120</v>
      </c>
    </row>
    <row r="13" spans="4:7">
      <c r="D13" s="162">
        <v>360</v>
      </c>
      <c r="E13" s="162">
        <v>0</v>
      </c>
      <c r="F13" s="162">
        <f t="shared" si="0"/>
        <v>360</v>
      </c>
    </row>
    <row r="14" spans="4:7">
      <c r="D14" s="162">
        <v>160</v>
      </c>
      <c r="E14" s="162"/>
      <c r="F14" s="162">
        <f t="shared" si="0"/>
        <v>160</v>
      </c>
    </row>
    <row r="15" spans="4:7">
      <c r="D15" s="162">
        <v>360</v>
      </c>
      <c r="E15" s="162">
        <v>0</v>
      </c>
      <c r="F15" s="162">
        <f t="shared" si="0"/>
        <v>360</v>
      </c>
    </row>
    <row r="16" spans="4:7">
      <c r="D16" s="162">
        <v>200</v>
      </c>
      <c r="E16" s="162">
        <v>20</v>
      </c>
      <c r="F16" s="162">
        <f t="shared" si="0"/>
        <v>220</v>
      </c>
    </row>
    <row r="17" spans="4:7">
      <c r="D17" s="162">
        <v>7077.52</v>
      </c>
      <c r="E17" s="162">
        <v>0</v>
      </c>
      <c r="F17" s="162">
        <f t="shared" si="0"/>
        <v>7077.52</v>
      </c>
      <c r="G17" t="s">
        <v>199</v>
      </c>
    </row>
    <row r="18" spans="4:7">
      <c r="D18" s="162">
        <v>360</v>
      </c>
      <c r="E18" s="162">
        <v>0</v>
      </c>
      <c r="F18" s="162">
        <f t="shared" si="0"/>
        <v>360</v>
      </c>
    </row>
    <row r="19" spans="4:7">
      <c r="D19" s="162">
        <v>150</v>
      </c>
      <c r="E19" s="162">
        <v>15</v>
      </c>
      <c r="F19" s="162">
        <f t="shared" si="0"/>
        <v>165</v>
      </c>
    </row>
    <row r="20" spans="4:7">
      <c r="D20" s="162"/>
      <c r="E20" s="162"/>
      <c r="F20" s="162"/>
    </row>
    <row r="21" spans="4:7">
      <c r="D21" s="178">
        <f>SUM(D5:D20)</f>
        <v>21558.48</v>
      </c>
      <c r="E21" s="178">
        <f>SUM(E5:E20)</f>
        <v>562.92000000000007</v>
      </c>
      <c r="F21" s="178">
        <f t="shared" ref="F21" si="1">SUM(F5:F20)</f>
        <v>22121.4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AC0D-56C7-4E9C-A82D-B7F88EBFB35D}">
  <sheetPr>
    <pageSetUpPr fitToPage="1"/>
  </sheetPr>
  <dimension ref="D2:S34"/>
  <sheetViews>
    <sheetView workbookViewId="0">
      <selection activeCell="F39" sqref="F39"/>
    </sheetView>
  </sheetViews>
  <sheetFormatPr defaultRowHeight="12.75"/>
  <cols>
    <col min="6" max="6" width="10.140625" bestFit="1" customWidth="1"/>
    <col min="8" max="8" width="12.28515625" bestFit="1" customWidth="1"/>
    <col min="9" max="9" width="14.5703125" customWidth="1"/>
    <col min="12" max="12" width="11.140625" bestFit="1" customWidth="1"/>
    <col min="14" max="14" width="10.140625" bestFit="1" customWidth="1"/>
    <col min="15" max="15" width="14.7109375" customWidth="1"/>
    <col min="16" max="16" width="11.7109375" customWidth="1"/>
    <col min="18" max="18" width="11.28515625" bestFit="1" customWidth="1"/>
  </cols>
  <sheetData>
    <row r="2" spans="4:17">
      <c r="E2" s="179" t="s">
        <v>216</v>
      </c>
      <c r="F2" s="179"/>
      <c r="G2" s="179"/>
      <c r="H2" s="179"/>
    </row>
    <row r="5" spans="4:17">
      <c r="D5" t="s">
        <v>217</v>
      </c>
      <c r="F5" s="173">
        <v>41933</v>
      </c>
      <c r="H5" s="162">
        <v>250000</v>
      </c>
      <c r="I5" s="162"/>
      <c r="J5" s="162"/>
    </row>
    <row r="6" spans="4:17">
      <c r="F6" s="173"/>
      <c r="H6" s="162"/>
      <c r="I6" s="162"/>
      <c r="J6" s="162"/>
    </row>
    <row r="7" spans="4:17">
      <c r="F7" s="173"/>
      <c r="H7" s="162"/>
      <c r="I7" s="162"/>
      <c r="J7" s="162"/>
    </row>
    <row r="8" spans="4:17">
      <c r="H8" s="178">
        <f>SUM(H5:H7)</f>
        <v>250000</v>
      </c>
      <c r="I8" s="162"/>
      <c r="J8" s="162"/>
    </row>
    <row r="9" spans="4:17">
      <c r="H9" s="162"/>
      <c r="I9" s="162"/>
      <c r="J9" s="162"/>
    </row>
    <row r="10" spans="4:17">
      <c r="H10" s="162"/>
      <c r="I10" s="162"/>
      <c r="J10" s="162"/>
    </row>
    <row r="11" spans="4:17">
      <c r="H11" s="162"/>
      <c r="I11" s="162"/>
      <c r="J11" s="162"/>
    </row>
    <row r="12" spans="4:17">
      <c r="H12" s="162"/>
      <c r="I12" s="162"/>
      <c r="J12" s="162"/>
      <c r="L12" s="209"/>
    </row>
    <row r="13" spans="4:17">
      <c r="D13" s="163" t="s">
        <v>218</v>
      </c>
      <c r="F13" s="173">
        <v>44985</v>
      </c>
      <c r="H13" s="162">
        <v>662500</v>
      </c>
      <c r="I13" s="162"/>
      <c r="J13" s="162"/>
      <c r="L13" s="209" t="s">
        <v>239</v>
      </c>
      <c r="M13" s="264" t="s">
        <v>242</v>
      </c>
      <c r="N13" s="264"/>
      <c r="O13" s="264"/>
      <c r="P13" s="264"/>
      <c r="Q13" s="264"/>
    </row>
    <row r="14" spans="4:17">
      <c r="H14" s="162"/>
      <c r="I14" s="162"/>
      <c r="J14" s="162"/>
      <c r="L14" s="163" t="s">
        <v>240</v>
      </c>
      <c r="M14" s="163" t="s">
        <v>241</v>
      </c>
      <c r="N14" s="163" t="s">
        <v>243</v>
      </c>
      <c r="O14" s="163" t="s">
        <v>244</v>
      </c>
      <c r="Q14" s="163" t="s">
        <v>213</v>
      </c>
    </row>
    <row r="15" spans="4:17">
      <c r="E15" s="163" t="s">
        <v>61</v>
      </c>
      <c r="F15" s="163" t="s">
        <v>219</v>
      </c>
      <c r="H15" s="162">
        <v>-208.83</v>
      </c>
      <c r="I15" s="162"/>
      <c r="J15" s="162"/>
      <c r="L15">
        <v>505150.8</v>
      </c>
      <c r="M15">
        <v>123.97</v>
      </c>
      <c r="N15">
        <v>1668.52</v>
      </c>
      <c r="O15">
        <v>20444.75</v>
      </c>
      <c r="Q15">
        <v>510.61</v>
      </c>
    </row>
    <row r="16" spans="4:17">
      <c r="F16" s="163" t="s">
        <v>243</v>
      </c>
      <c r="H16" s="162">
        <f>-1668.52/11*10</f>
        <v>-1516.8363636363638</v>
      </c>
      <c r="I16" s="162"/>
      <c r="J16" s="162"/>
      <c r="L16">
        <v>50000</v>
      </c>
      <c r="P16" s="124"/>
      <c r="Q16">
        <v>85554.96</v>
      </c>
    </row>
    <row r="17" spans="5:19">
      <c r="F17" s="163" t="s">
        <v>244</v>
      </c>
      <c r="H17" s="162">
        <f>(-21133.75/11*10)</f>
        <v>-19212.5</v>
      </c>
      <c r="I17" s="162"/>
      <c r="J17" s="162"/>
      <c r="L17" s="118">
        <f>SUM(L15:L16)</f>
        <v>555150.80000000005</v>
      </c>
      <c r="M17" s="118">
        <f t="shared" ref="M17:Q17" si="0">SUM(M15:M16)</f>
        <v>123.97</v>
      </c>
      <c r="N17" s="118">
        <f t="shared" si="0"/>
        <v>1668.52</v>
      </c>
      <c r="O17" s="118">
        <f t="shared" si="0"/>
        <v>20444.75</v>
      </c>
      <c r="P17" s="118">
        <f t="shared" si="0"/>
        <v>0</v>
      </c>
      <c r="Q17" s="118">
        <f t="shared" si="0"/>
        <v>86065.57</v>
      </c>
      <c r="R17">
        <f>SUM(L17:Q17)</f>
        <v>663453.6100000001</v>
      </c>
      <c r="S17" s="163" t="s">
        <v>247</v>
      </c>
    </row>
    <row r="18" spans="5:19">
      <c r="F18" s="163" t="s">
        <v>245</v>
      </c>
      <c r="H18" s="162">
        <v>-970</v>
      </c>
      <c r="I18" s="162"/>
      <c r="J18" s="162"/>
    </row>
    <row r="19" spans="5:19">
      <c r="F19" s="163" t="s">
        <v>246</v>
      </c>
      <c r="H19" s="162">
        <v>-123.97</v>
      </c>
      <c r="I19" s="162"/>
      <c r="J19" s="162"/>
      <c r="R19" s="162"/>
    </row>
    <row r="20" spans="5:19">
      <c r="F20" s="163" t="s">
        <v>255</v>
      </c>
      <c r="H20" s="162">
        <v>-510.61</v>
      </c>
      <c r="I20" s="162"/>
      <c r="J20" s="162"/>
      <c r="R20" s="162"/>
    </row>
    <row r="21" spans="5:19">
      <c r="F21" s="163" t="s">
        <v>133</v>
      </c>
      <c r="H21" s="162">
        <v>-9504.2999999999993</v>
      </c>
      <c r="I21" s="162"/>
      <c r="J21" s="162"/>
      <c r="R21" s="162"/>
    </row>
    <row r="22" spans="5:19">
      <c r="H22" s="178">
        <f>SUM(H13:H21)</f>
        <v>630452.95363636373</v>
      </c>
      <c r="I22" s="162"/>
      <c r="J22" s="162"/>
    </row>
    <row r="23" spans="5:19">
      <c r="H23" s="162"/>
      <c r="I23" s="162"/>
      <c r="J23" s="162"/>
    </row>
    <row r="24" spans="5:19">
      <c r="H24" s="162">
        <v>639957.25</v>
      </c>
      <c r="I24" s="162"/>
      <c r="J24" s="162"/>
    </row>
    <row r="25" spans="5:19">
      <c r="H25" s="162"/>
      <c r="I25" s="162"/>
      <c r="J25" s="162"/>
    </row>
    <row r="26" spans="5:19">
      <c r="F26" t="s">
        <v>259</v>
      </c>
      <c r="H26" s="162">
        <f>H22-H8</f>
        <v>380452.95363636373</v>
      </c>
      <c r="I26" s="162"/>
      <c r="J26" s="162"/>
    </row>
    <row r="27" spans="5:19">
      <c r="H27" s="162"/>
      <c r="I27" s="162"/>
      <c r="J27" s="162"/>
    </row>
    <row r="28" spans="5:19">
      <c r="E28" t="s">
        <v>273</v>
      </c>
      <c r="F28" s="208">
        <v>0.33334000000000003</v>
      </c>
      <c r="G28" s="163"/>
      <c r="H28" s="162">
        <f>H26*F28</f>
        <v>126820.18756514549</v>
      </c>
      <c r="I28" s="162"/>
      <c r="J28" s="162"/>
    </row>
    <row r="29" spans="5:19">
      <c r="H29" s="162"/>
      <c r="I29" s="162"/>
      <c r="J29" s="162"/>
    </row>
    <row r="30" spans="5:19">
      <c r="F30" t="s">
        <v>272</v>
      </c>
      <c r="H30" s="162">
        <f>H26-H28</f>
        <v>253632.76607121824</v>
      </c>
      <c r="I30" s="162"/>
      <c r="J30" s="162"/>
    </row>
    <row r="31" spans="5:19">
      <c r="H31" s="162"/>
      <c r="I31" s="162"/>
      <c r="J31" s="162"/>
    </row>
    <row r="32" spans="5:19">
      <c r="H32" s="162"/>
      <c r="I32" s="162"/>
      <c r="J32" s="162"/>
    </row>
    <row r="33" spans="8:10">
      <c r="H33" s="162"/>
      <c r="I33" s="162"/>
      <c r="J33" s="162"/>
    </row>
    <row r="34" spans="8:10">
      <c r="H34" s="162"/>
      <c r="I34" s="162"/>
      <c r="J34" s="162"/>
    </row>
  </sheetData>
  <mergeCells count="1">
    <mergeCell ref="M13:Q13"/>
  </mergeCells>
  <pageMargins left="0.7" right="0.7" top="0.75" bottom="0.75" header="0.3" footer="0.3"/>
  <pageSetup scale="57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349C-D616-4B4E-8DD2-35265791E77E}">
  <dimension ref="D2:I25"/>
  <sheetViews>
    <sheetView workbookViewId="0">
      <selection activeCell="Q29" sqref="Q29"/>
    </sheetView>
  </sheetViews>
  <sheetFormatPr defaultRowHeight="12.75"/>
  <cols>
    <col min="6" max="6" width="14.5703125" customWidth="1"/>
    <col min="7" max="8" width="11.28515625" bestFit="1" customWidth="1"/>
  </cols>
  <sheetData>
    <row r="2" spans="4:9">
      <c r="G2" s="163" t="s">
        <v>225</v>
      </c>
      <c r="H2" s="163" t="s">
        <v>224</v>
      </c>
    </row>
    <row r="3" spans="4:9">
      <c r="D3" s="163" t="s">
        <v>223</v>
      </c>
      <c r="H3" s="162">
        <f>'Rental Income'!I43</f>
        <v>6005.37</v>
      </c>
    </row>
    <row r="4" spans="4:9">
      <c r="D4" s="163" t="s">
        <v>226</v>
      </c>
      <c r="H4" s="162">
        <f>'Barrel Sales'!F97</f>
        <v>24807</v>
      </c>
    </row>
    <row r="5" spans="4:9">
      <c r="D5" s="163" t="s">
        <v>227</v>
      </c>
      <c r="H5" s="162">
        <f>'Barrel Sales'!F102</f>
        <v>2295</v>
      </c>
    </row>
    <row r="6" spans="4:9">
      <c r="D6" s="163" t="s">
        <v>230</v>
      </c>
      <c r="G6" s="162">
        <f>'Barrel Purchases'!F25</f>
        <v>7901.3</v>
      </c>
      <c r="H6" s="162"/>
    </row>
    <row r="7" spans="4:9">
      <c r="D7" s="163" t="s">
        <v>228</v>
      </c>
      <c r="G7" s="162">
        <f>Expenses!D25</f>
        <v>14350.91</v>
      </c>
    </row>
    <row r="8" spans="4:9">
      <c r="D8" s="163" t="s">
        <v>229</v>
      </c>
      <c r="G8" s="162">
        <f>'Rental Expenses'!E21</f>
        <v>562.92000000000007</v>
      </c>
    </row>
    <row r="9" spans="4:9">
      <c r="D9" s="163" t="s">
        <v>248</v>
      </c>
      <c r="G9" s="162">
        <f>151.68+1921.25</f>
        <v>2072.9299999999998</v>
      </c>
    </row>
    <row r="10" spans="4:9">
      <c r="D10" s="163"/>
      <c r="G10" s="162"/>
    </row>
    <row r="11" spans="4:9">
      <c r="G11" s="178">
        <f>SUM(G3:G10)</f>
        <v>24888.059999999998</v>
      </c>
      <c r="H11" s="178">
        <f>SUM(H3:H10)</f>
        <v>33107.369999999995</v>
      </c>
      <c r="I11" s="162"/>
    </row>
    <row r="13" spans="4:9">
      <c r="E13" t="s">
        <v>126</v>
      </c>
      <c r="G13" s="212">
        <f>-(H11-G11)</f>
        <v>-8219.3099999999977</v>
      </c>
      <c r="H13" s="163"/>
      <c r="I13" s="163"/>
    </row>
    <row r="14" spans="4:9">
      <c r="G14" s="212"/>
    </row>
    <row r="15" spans="4:9">
      <c r="D15" s="163"/>
      <c r="G15" s="212"/>
      <c r="H15" s="163"/>
    </row>
    <row r="16" spans="4:9">
      <c r="D16" s="163" t="s">
        <v>234</v>
      </c>
      <c r="G16" s="212">
        <v>-190</v>
      </c>
      <c r="H16" s="163" t="s">
        <v>224</v>
      </c>
    </row>
    <row r="17" spans="4:8">
      <c r="D17" s="163" t="s">
        <v>235</v>
      </c>
      <c r="G17" s="212">
        <v>2579</v>
      </c>
      <c r="H17" s="163" t="s">
        <v>225</v>
      </c>
    </row>
    <row r="18" spans="4:8">
      <c r="D18" s="163" t="s">
        <v>236</v>
      </c>
      <c r="E18" s="163"/>
      <c r="G18" s="212">
        <v>3034</v>
      </c>
      <c r="H18" s="163" t="s">
        <v>225</v>
      </c>
    </row>
    <row r="19" spans="4:8" ht="13.5" thickBot="1">
      <c r="D19" s="163" t="s">
        <v>232</v>
      </c>
      <c r="G19" s="213">
        <v>-5838</v>
      </c>
      <c r="H19" s="163" t="s">
        <v>224</v>
      </c>
    </row>
    <row r="20" spans="4:8">
      <c r="G20" s="212">
        <f>SUM(G13:G19)</f>
        <v>-8634.3099999999977</v>
      </c>
    </row>
    <row r="21" spans="4:8">
      <c r="G21" s="212"/>
    </row>
    <row r="22" spans="4:8">
      <c r="E22" s="163" t="s">
        <v>233</v>
      </c>
      <c r="G22" s="212">
        <v>-8635.3799999999992</v>
      </c>
    </row>
    <row r="23" spans="4:8">
      <c r="G23" s="212"/>
    </row>
    <row r="24" spans="4:8">
      <c r="E24" s="163" t="s">
        <v>231</v>
      </c>
      <c r="G24" s="212">
        <f>G20-G22</f>
        <v>1.070000000001528</v>
      </c>
      <c r="H24" s="163"/>
    </row>
    <row r="25" spans="4:8">
      <c r="G25" s="2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2"/>
  <sheetViews>
    <sheetView topLeftCell="A2" workbookViewId="0">
      <selection activeCell="D10" sqref="D10:D1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50.42578125" style="4" bestFit="1" customWidth="1"/>
    <col min="5" max="5" width="25.85546875" style="4" customWidth="1"/>
    <col min="6" max="6" width="14.42578125" style="6" customWidth="1"/>
    <col min="7" max="12" width="9.7109375" style="4" customWidth="1"/>
    <col min="13" max="13" width="10.140625" style="4" customWidth="1"/>
    <col min="14" max="16384" width="9.140625" style="4"/>
  </cols>
  <sheetData>
    <row r="1" spans="2:6" ht="64.5" customHeight="1">
      <c r="B1" s="127" t="s">
        <v>49</v>
      </c>
      <c r="C1" s="5"/>
      <c r="D1" s="127"/>
    </row>
    <row r="2" spans="2:6" s="8" customFormat="1" ht="30">
      <c r="B2" s="9" t="s">
        <v>6</v>
      </c>
      <c r="C2" s="59"/>
      <c r="D2" s="138" t="str">
        <f>'Job Summary'!D2</f>
        <v>Schmeider Super Fund</v>
      </c>
      <c r="E2" s="52" t="s">
        <v>7</v>
      </c>
      <c r="F2" s="140" t="str">
        <f>'Job Summary'!F2</f>
        <v>Miranda</v>
      </c>
    </row>
    <row r="3" spans="2:6" s="13" customFormat="1" ht="30" customHeight="1">
      <c r="B3" s="9" t="s">
        <v>8</v>
      </c>
      <c r="C3" s="59"/>
      <c r="D3" s="139" t="str">
        <f>'Job Summary'!D3</f>
        <v>SCHDW</v>
      </c>
      <c r="E3" s="54" t="s">
        <v>9</v>
      </c>
      <c r="F3" s="141" t="str">
        <f>'Job Summary'!F3</f>
        <v>13/11/2023</v>
      </c>
    </row>
    <row r="4" spans="2:6" s="13" customFormat="1" ht="30.75" customHeight="1">
      <c r="B4" s="9" t="s">
        <v>10</v>
      </c>
      <c r="C4" s="59"/>
      <c r="D4" s="139" t="str">
        <f>'Job Summary'!D4</f>
        <v>30 June 2023</v>
      </c>
      <c r="E4" s="52" t="s">
        <v>11</v>
      </c>
      <c r="F4" s="141">
        <f>'Job Summary'!F4</f>
        <v>0</v>
      </c>
    </row>
    <row r="5" spans="2:6" s="13" customFormat="1" ht="5.25" customHeight="1" thickBot="1">
      <c r="B5" s="15"/>
      <c r="C5" s="15"/>
      <c r="D5" s="16"/>
      <c r="E5" s="16"/>
      <c r="F5" s="17"/>
    </row>
    <row r="6" spans="2:6" customFormat="1" ht="25.5" customHeight="1" thickBot="1">
      <c r="B6" s="156" t="s">
        <v>46</v>
      </c>
      <c r="C6" s="229" t="s">
        <v>47</v>
      </c>
      <c r="D6" s="230"/>
      <c r="E6" s="229" t="s">
        <v>48</v>
      </c>
      <c r="F6" s="231"/>
    </row>
    <row r="7" spans="2:6" customFormat="1" ht="20.100000000000001" customHeight="1">
      <c r="B7" s="157"/>
      <c r="C7" s="63"/>
      <c r="D7" s="64"/>
      <c r="E7" s="55"/>
      <c r="F7" s="65"/>
    </row>
    <row r="8" spans="2:6" customFormat="1" ht="20.100000000000001" customHeight="1">
      <c r="B8" s="158"/>
      <c r="C8" s="61"/>
      <c r="D8" s="56"/>
      <c r="E8" s="61"/>
      <c r="F8" s="66"/>
    </row>
    <row r="9" spans="2:6" customFormat="1" ht="20.100000000000001" customHeight="1">
      <c r="B9" s="158"/>
      <c r="C9" s="61"/>
      <c r="D9" s="56"/>
      <c r="E9" s="61"/>
      <c r="F9" s="66"/>
    </row>
    <row r="10" spans="2:6" customFormat="1" ht="20.100000000000001" customHeight="1">
      <c r="B10" s="158"/>
      <c r="C10" s="61"/>
      <c r="D10" s="56"/>
      <c r="E10" s="61"/>
      <c r="F10" s="66"/>
    </row>
    <row r="11" spans="2:6" customFormat="1" ht="20.100000000000001" customHeight="1">
      <c r="B11" s="158"/>
      <c r="C11" s="61"/>
      <c r="D11" s="56"/>
      <c r="E11" s="61"/>
      <c r="F11" s="66"/>
    </row>
    <row r="12" spans="2:6" customFormat="1" ht="20.100000000000001" customHeight="1">
      <c r="B12" s="158"/>
      <c r="C12" s="61"/>
      <c r="D12" s="56"/>
      <c r="E12" s="61"/>
      <c r="F12" s="66"/>
    </row>
    <row r="13" spans="2:6" customFormat="1" ht="20.100000000000001" customHeight="1">
      <c r="B13" s="158"/>
      <c r="C13" s="61"/>
      <c r="D13" s="194"/>
      <c r="E13" s="61"/>
      <c r="F13" s="66"/>
    </row>
    <row r="14" spans="2:6" customFormat="1" ht="20.100000000000001" customHeight="1">
      <c r="B14" s="158"/>
      <c r="C14" s="61"/>
      <c r="D14" s="194"/>
      <c r="E14" s="61"/>
      <c r="F14" s="66"/>
    </row>
    <row r="15" spans="2:6" customFormat="1" ht="20.100000000000001" customHeight="1">
      <c r="B15" s="158"/>
      <c r="C15" s="61"/>
      <c r="D15" s="56"/>
      <c r="E15" s="61"/>
      <c r="F15" s="66"/>
    </row>
    <row r="16" spans="2:6" customFormat="1" ht="20.100000000000001" customHeight="1">
      <c r="B16" s="158"/>
      <c r="C16" s="61"/>
      <c r="D16" s="56"/>
      <c r="E16" s="61"/>
      <c r="F16" s="66"/>
    </row>
    <row r="17" spans="2:6" customFormat="1" ht="20.100000000000001" customHeight="1">
      <c r="B17" s="158"/>
      <c r="C17" s="61"/>
      <c r="D17" s="56"/>
      <c r="E17" s="61"/>
      <c r="F17" s="66"/>
    </row>
    <row r="18" spans="2:6" customFormat="1" ht="20.100000000000001" customHeight="1">
      <c r="B18" s="158"/>
      <c r="C18" s="61"/>
      <c r="D18" s="56"/>
      <c r="E18" s="61"/>
      <c r="F18" s="66"/>
    </row>
    <row r="19" spans="2:6" customFormat="1" ht="20.100000000000001" customHeight="1">
      <c r="B19" s="158"/>
      <c r="C19" s="61"/>
      <c r="D19" s="56"/>
      <c r="E19" s="61"/>
      <c r="F19" s="66"/>
    </row>
    <row r="20" spans="2:6" customFormat="1" ht="20.100000000000001" customHeight="1">
      <c r="B20" s="158"/>
      <c r="C20" s="61"/>
      <c r="D20" s="56"/>
      <c r="E20" s="61"/>
      <c r="F20" s="66"/>
    </row>
    <row r="21" spans="2:6" customFormat="1" ht="20.100000000000001" customHeight="1">
      <c r="B21" s="158"/>
      <c r="C21" s="61"/>
      <c r="D21" s="56"/>
      <c r="E21" s="61"/>
      <c r="F21" s="66"/>
    </row>
    <row r="22" spans="2:6" customFormat="1" ht="20.100000000000001" customHeight="1">
      <c r="B22" s="158"/>
      <c r="C22" s="61"/>
      <c r="D22" s="56"/>
      <c r="E22" s="61"/>
      <c r="F22" s="66"/>
    </row>
    <row r="23" spans="2:6" customFormat="1" ht="20.100000000000001" customHeight="1">
      <c r="B23" s="158"/>
      <c r="C23" s="61"/>
      <c r="D23" s="56"/>
      <c r="E23" s="61"/>
      <c r="F23" s="66"/>
    </row>
    <row r="24" spans="2:6" customFormat="1" ht="20.100000000000001" customHeight="1">
      <c r="B24" s="158"/>
      <c r="C24" s="61"/>
      <c r="D24" s="56"/>
      <c r="E24" s="61"/>
      <c r="F24" s="66"/>
    </row>
    <row r="25" spans="2:6" customFormat="1" ht="20.100000000000001" customHeight="1">
      <c r="B25" s="158"/>
      <c r="C25" s="61"/>
      <c r="D25" s="56"/>
      <c r="E25" s="61"/>
      <c r="F25" s="66"/>
    </row>
    <row r="26" spans="2:6" customFormat="1" ht="20.100000000000001" customHeight="1">
      <c r="B26" s="158"/>
      <c r="C26" s="61"/>
      <c r="D26" s="56"/>
      <c r="E26" s="61"/>
      <c r="F26" s="66"/>
    </row>
    <row r="27" spans="2:6" customFormat="1" ht="20.100000000000001" customHeight="1">
      <c r="B27" s="158"/>
      <c r="C27" s="61"/>
      <c r="D27" s="56"/>
      <c r="E27" s="61"/>
      <c r="F27" s="66"/>
    </row>
    <row r="28" spans="2:6" customFormat="1" ht="20.100000000000001" customHeight="1">
      <c r="B28" s="158"/>
      <c r="C28" s="61"/>
      <c r="D28" s="56"/>
      <c r="E28" s="61"/>
      <c r="F28" s="66"/>
    </row>
    <row r="29" spans="2:6" customFormat="1" ht="20.100000000000001" customHeight="1">
      <c r="B29" s="158"/>
      <c r="C29" s="61"/>
      <c r="D29" s="56"/>
      <c r="E29" s="61"/>
      <c r="F29" s="66"/>
    </row>
    <row r="30" spans="2:6" customFormat="1" ht="20.100000000000001" customHeight="1">
      <c r="B30" s="158"/>
      <c r="C30" s="61"/>
      <c r="D30" s="56"/>
      <c r="E30" s="61"/>
      <c r="F30" s="66"/>
    </row>
    <row r="31" spans="2:6" customFormat="1" ht="20.100000000000001" customHeight="1">
      <c r="B31" s="158"/>
      <c r="C31" s="61"/>
      <c r="D31" s="56"/>
      <c r="E31" s="61"/>
      <c r="F31" s="66"/>
    </row>
    <row r="32" spans="2:6" customFormat="1" ht="20.100000000000001" customHeight="1">
      <c r="B32" s="158"/>
      <c r="C32" s="61"/>
      <c r="D32" s="56"/>
      <c r="E32" s="61"/>
      <c r="F32" s="66"/>
    </row>
    <row r="33" spans="2:6" customFormat="1" ht="20.100000000000001" customHeight="1">
      <c r="B33" s="158"/>
      <c r="C33" s="61"/>
      <c r="D33" s="56"/>
      <c r="E33" s="61"/>
      <c r="F33" s="66"/>
    </row>
    <row r="34" spans="2:6" customFormat="1" ht="20.100000000000001" customHeight="1">
      <c r="B34" s="158"/>
      <c r="C34" s="61"/>
      <c r="D34" s="56"/>
      <c r="E34" s="61"/>
      <c r="F34" s="66"/>
    </row>
    <row r="35" spans="2:6" customFormat="1" ht="20.100000000000001" customHeight="1">
      <c r="B35" s="158"/>
      <c r="C35" s="61"/>
      <c r="D35" s="56"/>
      <c r="E35" s="61"/>
      <c r="F35" s="66"/>
    </row>
    <row r="36" spans="2:6" customFormat="1" ht="20.100000000000001" customHeight="1">
      <c r="B36" s="158"/>
      <c r="C36" s="61"/>
      <c r="D36" s="56"/>
      <c r="E36" s="61"/>
      <c r="F36" s="66"/>
    </row>
    <row r="37" spans="2:6" customFormat="1" ht="20.100000000000001" customHeight="1">
      <c r="B37" s="158"/>
      <c r="C37" s="61"/>
      <c r="D37" s="56"/>
      <c r="E37" s="61"/>
      <c r="F37" s="66"/>
    </row>
    <row r="38" spans="2:6" customFormat="1" ht="20.100000000000001" customHeight="1">
      <c r="B38" s="158"/>
      <c r="C38" s="61"/>
      <c r="D38" s="56"/>
      <c r="E38" s="61"/>
      <c r="F38" s="66"/>
    </row>
    <row r="39" spans="2:6" customFormat="1" ht="20.100000000000001" customHeight="1">
      <c r="B39" s="158"/>
      <c r="C39" s="61"/>
      <c r="D39" s="56"/>
      <c r="E39" s="61"/>
      <c r="F39" s="66"/>
    </row>
    <row r="40" spans="2:6" customFormat="1" ht="20.100000000000001" customHeight="1">
      <c r="B40" s="158"/>
      <c r="C40" s="61"/>
      <c r="D40" s="56"/>
      <c r="E40" s="61"/>
      <c r="F40" s="66"/>
    </row>
    <row r="41" spans="2:6" customFormat="1" ht="20.100000000000001" customHeight="1">
      <c r="B41" s="158"/>
      <c r="C41" s="61"/>
      <c r="D41" s="56"/>
      <c r="E41" s="61"/>
      <c r="F41" s="66"/>
    </row>
    <row r="42" spans="2:6" customFormat="1" ht="20.100000000000001" customHeight="1">
      <c r="B42" s="158"/>
      <c r="C42" s="61"/>
      <c r="D42" s="56"/>
      <c r="E42" s="61"/>
      <c r="F42" s="66"/>
    </row>
    <row r="43" spans="2:6" customFormat="1" ht="20.100000000000001" customHeight="1">
      <c r="B43" s="158"/>
      <c r="C43" s="61"/>
      <c r="D43" s="56"/>
      <c r="E43" s="61"/>
      <c r="F43" s="66"/>
    </row>
    <row r="44" spans="2:6" customFormat="1" ht="20.100000000000001" customHeight="1">
      <c r="B44" s="158"/>
      <c r="C44" s="61"/>
      <c r="D44" s="56"/>
      <c r="E44" s="61"/>
      <c r="F44" s="66"/>
    </row>
    <row r="45" spans="2:6" customFormat="1" ht="20.100000000000001" customHeight="1">
      <c r="B45" s="158"/>
      <c r="C45" s="61"/>
      <c r="D45" s="56"/>
      <c r="E45" s="61"/>
      <c r="F45" s="66"/>
    </row>
    <row r="46" spans="2:6" customFormat="1" ht="20.100000000000001" customHeight="1">
      <c r="B46" s="158"/>
      <c r="C46" s="61"/>
      <c r="D46" s="56"/>
      <c r="E46" s="61"/>
      <c r="F46" s="66"/>
    </row>
    <row r="47" spans="2:6" customFormat="1" ht="20.100000000000001" customHeight="1">
      <c r="B47" s="158"/>
      <c r="C47" s="61"/>
      <c r="D47" s="56"/>
      <c r="E47" s="61"/>
      <c r="F47" s="66"/>
    </row>
    <row r="48" spans="2:6" customFormat="1" ht="20.100000000000001" customHeight="1">
      <c r="B48" s="158"/>
      <c r="C48" s="61"/>
      <c r="D48" s="56"/>
      <c r="E48" s="61"/>
      <c r="F48" s="66"/>
    </row>
    <row r="49" spans="2:6" customFormat="1" ht="20.100000000000001" customHeight="1">
      <c r="B49" s="158"/>
      <c r="C49" s="61"/>
      <c r="D49" s="56"/>
      <c r="E49" s="61"/>
      <c r="F49" s="66"/>
    </row>
    <row r="50" spans="2:6" customFormat="1" ht="20.100000000000001" customHeight="1" thickBot="1">
      <c r="B50" s="159"/>
      <c r="C50" s="62"/>
      <c r="D50" s="60"/>
      <c r="E50" s="62"/>
      <c r="F50" s="67"/>
    </row>
    <row r="51" spans="2:6">
      <c r="F51" s="4"/>
    </row>
    <row r="52" spans="2:6">
      <c r="F52" s="4"/>
    </row>
  </sheetData>
  <mergeCells count="2">
    <mergeCell ref="C6:D6"/>
    <mergeCell ref="E6:F6"/>
  </mergeCells>
  <phoneticPr fontId="24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61"/>
  <sheetViews>
    <sheetView topLeftCell="A13" workbookViewId="0">
      <selection activeCell="E22" sqref="E22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9.5703125" style="4" customWidth="1"/>
    <col min="5" max="5" width="45.42578125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2:7" ht="65.25" customHeight="1">
      <c r="B1" s="5" t="s">
        <v>53</v>
      </c>
      <c r="C1" s="5"/>
    </row>
    <row r="2" spans="2:7" s="8" customFormat="1" ht="30">
      <c r="B2" s="9" t="s">
        <v>6</v>
      </c>
      <c r="C2" s="59"/>
      <c r="D2" s="138" t="str">
        <f>'Job Summary'!D2</f>
        <v>Schmeider Super Fund</v>
      </c>
      <c r="E2" s="52" t="s">
        <v>7</v>
      </c>
      <c r="F2" s="221" t="str">
        <f>'Job Summary'!F2</f>
        <v>Miranda</v>
      </c>
      <c r="G2" s="233"/>
    </row>
    <row r="3" spans="2:7" s="13" customFormat="1" ht="30" customHeight="1">
      <c r="B3" s="9" t="s">
        <v>8</v>
      </c>
      <c r="C3" s="59"/>
      <c r="D3" s="138" t="str">
        <f>'Job Summary'!D3</f>
        <v>SCHDW</v>
      </c>
      <c r="E3" s="54" t="s">
        <v>9</v>
      </c>
      <c r="F3" s="221" t="str">
        <f>'Job Summary'!F3:G3</f>
        <v>13/11/2023</v>
      </c>
      <c r="G3" s="233"/>
    </row>
    <row r="4" spans="2:7" s="13" customFormat="1" ht="30.75" customHeight="1">
      <c r="B4" s="9" t="s">
        <v>10</v>
      </c>
      <c r="C4" s="59"/>
      <c r="D4" s="138" t="s">
        <v>159</v>
      </c>
      <c r="E4" s="52" t="s">
        <v>11</v>
      </c>
      <c r="F4" s="221" t="s">
        <v>139</v>
      </c>
      <c r="G4" s="233"/>
    </row>
    <row r="5" spans="2:7" s="13" customFormat="1" ht="5.25" customHeight="1" thickBot="1">
      <c r="B5" s="15"/>
      <c r="C5" s="15"/>
      <c r="D5" s="16"/>
      <c r="E5" s="16"/>
      <c r="F5" s="16"/>
      <c r="G5" s="17"/>
    </row>
    <row r="6" spans="2:7" customFormat="1" ht="25.5" customHeight="1" thickBot="1">
      <c r="B6" s="156" t="s">
        <v>46</v>
      </c>
      <c r="C6" s="229" t="s">
        <v>47</v>
      </c>
      <c r="D6" s="232"/>
      <c r="E6" s="70" t="s">
        <v>50</v>
      </c>
      <c r="F6" s="70" t="s">
        <v>51</v>
      </c>
      <c r="G6" s="69" t="s">
        <v>52</v>
      </c>
    </row>
    <row r="7" spans="2:7" customFormat="1" ht="20.100000000000001" customHeight="1">
      <c r="B7" s="157">
        <v>1</v>
      </c>
      <c r="C7" s="55" t="s">
        <v>282</v>
      </c>
      <c r="D7" s="186"/>
      <c r="E7" s="71"/>
      <c r="F7" s="71"/>
      <c r="G7" s="150"/>
    </row>
    <row r="8" spans="2:7" customFormat="1" ht="20.100000000000001" customHeight="1">
      <c r="B8" s="157"/>
      <c r="C8" s="55" t="s">
        <v>283</v>
      </c>
      <c r="D8" s="186"/>
      <c r="E8" s="71" t="s">
        <v>295</v>
      </c>
      <c r="F8" s="71"/>
      <c r="G8" s="150"/>
    </row>
    <row r="9" spans="2:7" customFormat="1" ht="20.100000000000001" customHeight="1">
      <c r="B9" s="157"/>
      <c r="C9" s="55" t="s">
        <v>284</v>
      </c>
      <c r="D9" s="186"/>
      <c r="E9" s="71" t="s">
        <v>296</v>
      </c>
      <c r="F9" s="71"/>
      <c r="G9" s="150"/>
    </row>
    <row r="10" spans="2:7" customFormat="1" ht="20.100000000000001" customHeight="1">
      <c r="B10" s="157"/>
      <c r="C10" s="55" t="s">
        <v>274</v>
      </c>
      <c r="D10" s="186"/>
      <c r="E10" s="71" t="s">
        <v>297</v>
      </c>
      <c r="F10" s="71"/>
      <c r="G10" s="150"/>
    </row>
    <row r="11" spans="2:7" customFormat="1" ht="20.100000000000001" customHeight="1">
      <c r="B11" s="204"/>
      <c r="C11" s="117"/>
      <c r="D11" s="205"/>
      <c r="E11" s="206" t="s">
        <v>303</v>
      </c>
      <c r="F11" s="206"/>
      <c r="G11" s="207"/>
    </row>
    <row r="12" spans="2:7" customFormat="1" ht="20.100000000000001" customHeight="1">
      <c r="B12" s="204"/>
      <c r="C12" s="117"/>
      <c r="D12" s="205"/>
      <c r="E12" s="206" t="s">
        <v>304</v>
      </c>
      <c r="F12" s="206"/>
      <c r="G12" s="207"/>
    </row>
    <row r="13" spans="2:7" customFormat="1" ht="20.100000000000001" customHeight="1" thickBot="1">
      <c r="B13" s="159"/>
      <c r="C13" s="62"/>
      <c r="D13" s="60"/>
      <c r="E13" s="68" t="s">
        <v>305</v>
      </c>
      <c r="F13" s="68"/>
      <c r="G13" s="67"/>
    </row>
    <row r="14" spans="2:7" customFormat="1" ht="20.100000000000001" customHeight="1">
      <c r="B14" s="157">
        <v>2</v>
      </c>
      <c r="C14" s="55" t="s">
        <v>275</v>
      </c>
      <c r="D14" s="186"/>
      <c r="E14" s="71" t="s">
        <v>298</v>
      </c>
      <c r="F14" s="71"/>
      <c r="G14" s="150"/>
    </row>
    <row r="15" spans="2:7" customFormat="1" ht="20.100000000000001" customHeight="1">
      <c r="B15" s="157"/>
      <c r="C15" s="55" t="s">
        <v>276</v>
      </c>
      <c r="D15" s="186"/>
      <c r="E15" s="71" t="s">
        <v>299</v>
      </c>
      <c r="F15" s="71"/>
      <c r="G15" s="150"/>
    </row>
    <row r="16" spans="2:7" customFormat="1" ht="20.100000000000001" customHeight="1">
      <c r="B16" s="204"/>
      <c r="C16" s="117"/>
      <c r="D16" s="205"/>
      <c r="E16" s="206" t="s">
        <v>300</v>
      </c>
      <c r="F16" s="206"/>
      <c r="G16" s="207"/>
    </row>
    <row r="17" spans="2:7" customFormat="1" ht="20.100000000000001" customHeight="1">
      <c r="B17" s="204"/>
      <c r="C17" s="117"/>
      <c r="D17" s="205"/>
      <c r="E17" s="206" t="s">
        <v>301</v>
      </c>
      <c r="F17" s="206"/>
      <c r="G17" s="207"/>
    </row>
    <row r="18" spans="2:7" customFormat="1" ht="20.100000000000001" customHeight="1" thickBot="1">
      <c r="B18" s="159"/>
      <c r="C18" s="62"/>
      <c r="D18" s="60"/>
      <c r="E18" s="68" t="s">
        <v>302</v>
      </c>
      <c r="F18" s="68"/>
      <c r="G18" s="67"/>
    </row>
    <row r="19" spans="2:7" customFormat="1" ht="20.100000000000001" customHeight="1">
      <c r="B19" s="157">
        <v>3</v>
      </c>
      <c r="C19" s="55" t="s">
        <v>277</v>
      </c>
      <c r="D19" s="186"/>
      <c r="E19" s="71" t="s">
        <v>306</v>
      </c>
      <c r="F19" s="71"/>
      <c r="G19" s="150"/>
    </row>
    <row r="20" spans="2:7" customFormat="1" ht="20.100000000000001" customHeight="1">
      <c r="B20" s="157"/>
      <c r="C20" s="55" t="s">
        <v>278</v>
      </c>
      <c r="D20" s="186"/>
      <c r="E20" s="71"/>
      <c r="F20" s="71"/>
      <c r="G20" s="150"/>
    </row>
    <row r="21" spans="2:7" customFormat="1" ht="20.100000000000001" customHeight="1">
      <c r="B21" s="204"/>
      <c r="C21" s="117" t="s">
        <v>279</v>
      </c>
      <c r="D21" s="205"/>
      <c r="E21" s="206" t="s">
        <v>312</v>
      </c>
      <c r="F21" s="206"/>
      <c r="G21" s="207"/>
    </row>
    <row r="22" spans="2:7" customFormat="1" ht="20.100000000000001" customHeight="1" thickBot="1">
      <c r="B22" s="159"/>
      <c r="C22" s="62"/>
      <c r="D22" s="60"/>
      <c r="E22" s="68"/>
      <c r="F22" s="68"/>
      <c r="G22" s="67"/>
    </row>
    <row r="23" spans="2:7" customFormat="1" ht="20.100000000000001" customHeight="1">
      <c r="B23" s="157">
        <v>4</v>
      </c>
      <c r="C23" s="55" t="s">
        <v>280</v>
      </c>
      <c r="D23" s="186"/>
      <c r="E23" s="71"/>
      <c r="F23" s="71"/>
      <c r="G23" s="150"/>
    </row>
    <row r="24" spans="2:7" customFormat="1" ht="20.100000000000001" customHeight="1">
      <c r="B24" s="157"/>
      <c r="C24" s="55" t="s">
        <v>281</v>
      </c>
      <c r="D24" s="186"/>
      <c r="E24" s="71" t="s">
        <v>307</v>
      </c>
      <c r="F24" s="71"/>
      <c r="G24" s="150"/>
    </row>
    <row r="25" spans="2:7" customFormat="1" ht="20.100000000000001" customHeight="1" thickBot="1">
      <c r="B25" s="159"/>
      <c r="C25" s="62"/>
      <c r="D25" s="60"/>
      <c r="E25" s="68"/>
      <c r="F25" s="68"/>
      <c r="G25" s="67"/>
    </row>
    <row r="26" spans="2:7" customFormat="1" ht="20.100000000000001" customHeight="1">
      <c r="B26" s="157">
        <v>5</v>
      </c>
      <c r="C26" s="55" t="s">
        <v>285</v>
      </c>
      <c r="D26" s="186"/>
      <c r="E26" s="71"/>
      <c r="F26" s="71"/>
      <c r="G26" s="150"/>
    </row>
    <row r="27" spans="2:7" customFormat="1" ht="20.100000000000001" customHeight="1">
      <c r="B27" s="157"/>
      <c r="C27" s="55" t="s">
        <v>286</v>
      </c>
      <c r="D27" s="186"/>
      <c r="E27" s="71" t="s">
        <v>308</v>
      </c>
      <c r="F27" s="71"/>
      <c r="G27" s="150"/>
    </row>
    <row r="28" spans="2:7" customFormat="1" ht="20.100000000000001" customHeight="1">
      <c r="B28" s="157"/>
      <c r="C28" s="55" t="s">
        <v>287</v>
      </c>
      <c r="D28" s="186"/>
      <c r="E28" s="71"/>
      <c r="F28" s="71"/>
      <c r="G28" s="150"/>
    </row>
    <row r="29" spans="2:7" customFormat="1" ht="20.100000000000001" customHeight="1">
      <c r="B29" s="204"/>
      <c r="C29" s="117" t="s">
        <v>288</v>
      </c>
      <c r="D29" s="205"/>
      <c r="E29" s="206"/>
      <c r="F29" s="206"/>
      <c r="G29" s="207"/>
    </row>
    <row r="30" spans="2:7" customFormat="1" ht="20.100000000000001" customHeight="1" thickBot="1">
      <c r="B30" s="159"/>
      <c r="C30" s="62"/>
      <c r="D30" s="60"/>
      <c r="E30" s="68"/>
      <c r="F30" s="68"/>
      <c r="G30" s="67"/>
    </row>
    <row r="31" spans="2:7" customFormat="1" ht="20.100000000000001" customHeight="1">
      <c r="B31" s="157">
        <v>6</v>
      </c>
      <c r="C31" s="55" t="s">
        <v>289</v>
      </c>
      <c r="D31" s="186"/>
      <c r="E31" s="71"/>
      <c r="F31" s="71"/>
      <c r="G31" s="150"/>
    </row>
    <row r="32" spans="2:7" customFormat="1" ht="20.100000000000001" customHeight="1">
      <c r="B32" s="157"/>
      <c r="C32" s="55" t="s">
        <v>290</v>
      </c>
      <c r="D32" s="186"/>
      <c r="E32" s="71" t="s">
        <v>310</v>
      </c>
      <c r="F32" s="71"/>
      <c r="G32" s="150"/>
    </row>
    <row r="33" spans="2:7" customFormat="1" ht="20.100000000000001" customHeight="1">
      <c r="B33" s="157"/>
      <c r="C33" s="55" t="s">
        <v>291</v>
      </c>
      <c r="D33" s="186"/>
      <c r="E33" s="71"/>
      <c r="F33" s="71"/>
      <c r="G33" s="150"/>
    </row>
    <row r="34" spans="2:7" customFormat="1" ht="20.100000000000001" customHeight="1">
      <c r="B34" s="157"/>
      <c r="C34" s="55" t="s">
        <v>292</v>
      </c>
      <c r="D34" s="186"/>
      <c r="E34" s="71"/>
      <c r="F34" s="71"/>
      <c r="G34" s="150"/>
    </row>
    <row r="35" spans="2:7" customFormat="1" ht="20.100000000000001" customHeight="1" thickBot="1">
      <c r="B35" s="159"/>
      <c r="C35" s="62"/>
      <c r="D35" s="60"/>
      <c r="E35" s="68"/>
      <c r="F35" s="68"/>
      <c r="G35" s="67"/>
    </row>
    <row r="36" spans="2:7" customFormat="1" ht="20.100000000000001" customHeight="1">
      <c r="B36" s="157">
        <v>7</v>
      </c>
      <c r="C36" s="55" t="s">
        <v>293</v>
      </c>
      <c r="D36" s="186"/>
      <c r="E36" s="71"/>
      <c r="F36" s="71"/>
      <c r="G36" s="150"/>
    </row>
    <row r="37" spans="2:7" customFormat="1" ht="20.100000000000001" customHeight="1">
      <c r="B37" s="157"/>
      <c r="C37" s="55" t="s">
        <v>294</v>
      </c>
      <c r="D37" s="186"/>
      <c r="E37" s="71" t="s">
        <v>309</v>
      </c>
      <c r="F37" s="71"/>
      <c r="G37" s="150"/>
    </row>
    <row r="38" spans="2:7" customFormat="1" ht="20.100000000000001" customHeight="1" thickBot="1">
      <c r="B38" s="159"/>
      <c r="C38" s="62"/>
      <c r="D38" s="60"/>
      <c r="E38" s="68"/>
      <c r="F38" s="68"/>
      <c r="G38" s="67"/>
    </row>
    <row r="39" spans="2:7" customFormat="1" ht="20.100000000000001" customHeight="1">
      <c r="B39" s="157"/>
      <c r="C39" s="55"/>
      <c r="D39" s="186"/>
      <c r="E39" s="71"/>
      <c r="F39" s="71"/>
      <c r="G39" s="150"/>
    </row>
    <row r="40" spans="2:7" customFormat="1" ht="20.100000000000001" customHeight="1">
      <c r="B40" s="157"/>
      <c r="C40" s="55"/>
      <c r="D40" s="186"/>
      <c r="E40" s="71"/>
      <c r="F40" s="71"/>
      <c r="G40" s="150"/>
    </row>
    <row r="41" spans="2:7" customFormat="1" ht="20.100000000000001" customHeight="1">
      <c r="B41" s="157"/>
      <c r="C41" s="55"/>
      <c r="D41" s="186"/>
      <c r="E41" s="71"/>
      <c r="F41" s="71"/>
      <c r="G41" s="150"/>
    </row>
    <row r="42" spans="2:7" customFormat="1" ht="20.100000000000001" customHeight="1">
      <c r="B42" s="157"/>
      <c r="C42" s="55"/>
      <c r="D42" s="186"/>
      <c r="E42" s="71"/>
      <c r="F42" s="71"/>
      <c r="G42" s="150"/>
    </row>
    <row r="43" spans="2:7" customFormat="1" ht="20.100000000000001" customHeight="1">
      <c r="B43" s="157"/>
      <c r="C43" s="55"/>
      <c r="D43" s="186"/>
      <c r="E43" s="71"/>
      <c r="F43" s="71"/>
      <c r="G43" s="150"/>
    </row>
    <row r="44" spans="2:7" customFormat="1" ht="20.100000000000001" customHeight="1">
      <c r="B44" s="157"/>
      <c r="C44" s="55"/>
      <c r="D44" s="186"/>
      <c r="E44" s="71"/>
      <c r="F44" s="71"/>
      <c r="G44" s="150"/>
    </row>
    <row r="45" spans="2:7" customFormat="1" ht="20.100000000000001" customHeight="1">
      <c r="B45" s="157"/>
      <c r="C45" s="55"/>
      <c r="D45" s="186"/>
      <c r="E45" s="71"/>
      <c r="F45" s="71"/>
      <c r="G45" s="150"/>
    </row>
    <row r="46" spans="2:7" customFormat="1" ht="20.100000000000001" customHeight="1">
      <c r="B46" s="157"/>
      <c r="C46" s="55"/>
      <c r="D46" s="186"/>
      <c r="E46" s="71"/>
      <c r="F46" s="71"/>
      <c r="G46" s="150"/>
    </row>
    <row r="47" spans="2:7" customFormat="1" ht="20.100000000000001" customHeight="1">
      <c r="B47" s="157"/>
      <c r="C47" s="55"/>
      <c r="D47" s="186"/>
      <c r="E47" s="71"/>
      <c r="F47" s="71"/>
      <c r="G47" s="150"/>
    </row>
    <row r="48" spans="2:7" customFormat="1" ht="20.100000000000001" customHeight="1">
      <c r="B48" s="157"/>
      <c r="C48" s="55"/>
      <c r="D48" s="186"/>
      <c r="E48" s="71"/>
      <c r="F48" s="71"/>
      <c r="G48" s="150"/>
    </row>
    <row r="49" spans="2:7" customFormat="1" ht="20.100000000000001" customHeight="1">
      <c r="B49" s="157"/>
      <c r="C49" s="55"/>
      <c r="D49" s="186"/>
      <c r="E49" s="71"/>
      <c r="F49" s="71"/>
      <c r="G49" s="150"/>
    </row>
    <row r="50" spans="2:7" customFormat="1" ht="20.100000000000001" customHeight="1">
      <c r="B50" s="157"/>
      <c r="C50" s="55"/>
      <c r="D50" s="186"/>
      <c r="E50" s="71"/>
      <c r="F50" s="71"/>
      <c r="G50" s="150"/>
    </row>
    <row r="51" spans="2:7" customFormat="1" ht="20.100000000000001" customHeight="1">
      <c r="B51" s="157"/>
      <c r="C51" s="55"/>
      <c r="D51" s="186"/>
      <c r="E51" s="71"/>
      <c r="F51" s="71"/>
      <c r="G51" s="150"/>
    </row>
    <row r="52" spans="2:7" customFormat="1" ht="20.100000000000001" customHeight="1">
      <c r="B52" s="157"/>
      <c r="C52" s="55"/>
      <c r="D52" s="186"/>
      <c r="E52" s="71"/>
      <c r="F52" s="71"/>
      <c r="G52" s="150"/>
    </row>
    <row r="53" spans="2:7" customFormat="1" ht="20.100000000000001" customHeight="1">
      <c r="B53" s="157"/>
      <c r="C53" s="55"/>
      <c r="D53" s="186"/>
      <c r="E53" s="71"/>
      <c r="F53" s="71"/>
      <c r="G53" s="150"/>
    </row>
    <row r="54" spans="2:7" customFormat="1" ht="20.100000000000001" customHeight="1">
      <c r="B54" s="157"/>
      <c r="C54" s="55"/>
      <c r="D54" s="186"/>
      <c r="E54" s="71"/>
      <c r="F54" s="71"/>
      <c r="G54" s="150"/>
    </row>
    <row r="55" spans="2:7" customFormat="1" ht="20.100000000000001" customHeight="1">
      <c r="B55" s="157"/>
      <c r="C55" s="55"/>
      <c r="D55" s="186"/>
      <c r="E55" s="71"/>
      <c r="F55" s="71"/>
      <c r="G55" s="150"/>
    </row>
    <row r="56" spans="2:7" customFormat="1" ht="20.100000000000001" customHeight="1">
      <c r="B56" s="157"/>
      <c r="C56" s="55"/>
      <c r="D56" s="186"/>
      <c r="E56" s="71"/>
      <c r="F56" s="71"/>
      <c r="G56" s="150"/>
    </row>
    <row r="57" spans="2:7" customFormat="1" ht="20.100000000000001" customHeight="1">
      <c r="B57" s="157"/>
      <c r="C57" s="55"/>
      <c r="D57" s="186"/>
      <c r="E57" s="71"/>
      <c r="F57" s="71"/>
      <c r="G57" s="150"/>
    </row>
    <row r="58" spans="2:7" customFormat="1" ht="20.100000000000001" customHeight="1">
      <c r="B58" s="157"/>
      <c r="C58" s="55"/>
      <c r="D58" s="186"/>
      <c r="E58" s="71"/>
      <c r="F58" s="71"/>
      <c r="G58" s="150"/>
    </row>
    <row r="59" spans="2:7" customFormat="1" ht="20.100000000000001" customHeight="1" thickBot="1">
      <c r="B59" s="159"/>
      <c r="C59" s="62"/>
      <c r="D59" s="60"/>
      <c r="E59" s="68"/>
      <c r="F59" s="68"/>
      <c r="G59" s="67"/>
    </row>
    <row r="60" spans="2:7">
      <c r="G60" s="4"/>
    </row>
    <row r="61" spans="2:7">
      <c r="G61" s="4"/>
    </row>
  </sheetData>
  <mergeCells count="4">
    <mergeCell ref="C6:D6"/>
    <mergeCell ref="F2:G2"/>
    <mergeCell ref="F3:G3"/>
    <mergeCell ref="F4:G4"/>
  </mergeCells>
  <phoneticPr fontId="24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6"/>
  <sheetViews>
    <sheetView topLeftCell="A13" workbookViewId="0">
      <selection activeCell="D16" sqref="D16"/>
    </sheetView>
  </sheetViews>
  <sheetFormatPr defaultColWidth="9.7109375" defaultRowHeight="12.75"/>
  <cols>
    <col min="1" max="1" width="3.7109375" style="72" customWidth="1"/>
    <col min="2" max="2" width="16.7109375" style="72" customWidth="1"/>
    <col min="3" max="3" width="19.140625" style="72" customWidth="1"/>
    <col min="4" max="4" width="13.5703125" style="72" customWidth="1"/>
    <col min="5" max="5" width="13.28515625" style="72" customWidth="1"/>
    <col min="6" max="6" width="10.42578125" style="72" customWidth="1"/>
    <col min="7" max="7" width="12.140625" style="73" customWidth="1"/>
    <col min="8" max="8" width="12.140625" style="72" customWidth="1"/>
    <col min="9" max="16384" width="9.7109375" style="72"/>
  </cols>
  <sheetData>
    <row r="1" spans="2:9" ht="62.25" customHeight="1">
      <c r="B1" s="5" t="s">
        <v>65</v>
      </c>
      <c r="H1"/>
    </row>
    <row r="2" spans="2:9" s="74" customFormat="1" ht="30" customHeight="1">
      <c r="B2" s="57" t="s">
        <v>6</v>
      </c>
      <c r="C2" s="240" t="str">
        <f>'Job Summary'!D2</f>
        <v>Schmeider Super Fund</v>
      </c>
      <c r="D2" s="241"/>
      <c r="E2" s="242" t="s">
        <v>7</v>
      </c>
      <c r="F2" s="243"/>
      <c r="G2" s="240" t="str">
        <f>'Job Summary'!F2</f>
        <v>Miranda</v>
      </c>
      <c r="H2" s="241"/>
    </row>
    <row r="3" spans="2:9" s="74" customFormat="1" ht="30" customHeight="1">
      <c r="B3" s="57" t="s">
        <v>8</v>
      </c>
      <c r="C3" s="240" t="str">
        <f>'Job Summary'!D3</f>
        <v>SCHDW</v>
      </c>
      <c r="D3" s="241"/>
      <c r="E3" s="242" t="s">
        <v>9</v>
      </c>
      <c r="F3" s="243"/>
      <c r="G3" s="240" t="str">
        <f>'Query Sheet'!F3</f>
        <v>13/11/2023</v>
      </c>
      <c r="H3" s="241"/>
    </row>
    <row r="4" spans="2:9" s="74" customFormat="1" ht="30" customHeight="1">
      <c r="B4" s="57" t="s">
        <v>10</v>
      </c>
      <c r="C4" s="240" t="str">
        <f>'Job Summary'!D4</f>
        <v>30 June 2023</v>
      </c>
      <c r="D4" s="241"/>
      <c r="E4" s="244" t="s">
        <v>11</v>
      </c>
      <c r="F4" s="245"/>
      <c r="G4" s="234">
        <f>'Query Sheet'!F4</f>
        <v>0</v>
      </c>
      <c r="H4" s="235"/>
    </row>
    <row r="5" spans="2:9" s="74" customFormat="1" ht="30" customHeight="1">
      <c r="B5" s="13"/>
      <c r="C5" s="13"/>
      <c r="D5" s="18"/>
      <c r="E5" s="236"/>
      <c r="F5" s="237"/>
      <c r="G5" s="238"/>
      <c r="H5" s="239"/>
    </row>
    <row r="6" spans="2:9" s="74" customFormat="1" ht="15">
      <c r="D6" s="75"/>
      <c r="E6" s="75"/>
      <c r="F6" s="75"/>
      <c r="G6" s="76"/>
      <c r="H6" s="77"/>
    </row>
    <row r="7" spans="2:9" s="74" customFormat="1" ht="15">
      <c r="B7" s="58" t="s">
        <v>45</v>
      </c>
      <c r="C7" s="78" t="s">
        <v>54</v>
      </c>
      <c r="D7" s="78"/>
      <c r="E7" s="78"/>
      <c r="G7" s="76"/>
      <c r="H7" s="79"/>
      <c r="I7" s="80"/>
    </row>
    <row r="8" spans="2:9" s="74" customFormat="1" ht="15" thickBot="1">
      <c r="G8" s="76"/>
    </row>
    <row r="9" spans="2:9" s="74" customFormat="1" ht="15">
      <c r="B9" s="75"/>
      <c r="C9" s="75"/>
      <c r="F9" s="81"/>
      <c r="G9" s="82"/>
      <c r="H9" s="83"/>
    </row>
    <row r="10" spans="2:9" s="74" customFormat="1" ht="15">
      <c r="F10" s="84" t="s">
        <v>55</v>
      </c>
      <c r="G10" s="85"/>
      <c r="H10" s="86"/>
    </row>
    <row r="11" spans="2:9" s="74" customFormat="1" ht="14.25">
      <c r="F11" s="87"/>
      <c r="G11" s="88"/>
      <c r="H11" s="89"/>
    </row>
    <row r="12" spans="2:9" s="74" customFormat="1" ht="15">
      <c r="B12" s="75" t="s">
        <v>56</v>
      </c>
      <c r="F12" s="87"/>
      <c r="G12" s="88"/>
      <c r="H12" s="89">
        <v>0</v>
      </c>
    </row>
    <row r="13" spans="2:9" s="74" customFormat="1" ht="14.25">
      <c r="F13" s="87"/>
      <c r="G13" s="88"/>
      <c r="H13" s="89"/>
    </row>
    <row r="14" spans="2:9" s="74" customFormat="1" ht="15">
      <c r="B14" s="75" t="s">
        <v>57</v>
      </c>
      <c r="F14" s="87"/>
      <c r="G14" s="88"/>
      <c r="H14" s="89"/>
    </row>
    <row r="15" spans="2:9" s="74" customFormat="1" ht="14.25">
      <c r="B15" s="74" t="s">
        <v>58</v>
      </c>
      <c r="F15" s="87"/>
      <c r="G15" s="90"/>
      <c r="H15" s="89"/>
    </row>
    <row r="16" spans="2:9" s="74" customFormat="1" ht="14.25">
      <c r="B16" s="74" t="s">
        <v>59</v>
      </c>
      <c r="F16" s="87"/>
      <c r="G16" s="90"/>
      <c r="H16" s="89"/>
    </row>
    <row r="17" spans="2:8" s="74" customFormat="1" ht="14.25">
      <c r="B17" s="74" t="s">
        <v>60</v>
      </c>
      <c r="F17" s="87"/>
      <c r="G17" s="90"/>
      <c r="H17" s="89"/>
    </row>
    <row r="18" spans="2:8" s="74" customFormat="1" ht="14.25">
      <c r="F18" s="87"/>
      <c r="G18" s="90"/>
      <c r="H18" s="89"/>
    </row>
    <row r="19" spans="2:8" s="74" customFormat="1" ht="14.25">
      <c r="F19" s="87"/>
      <c r="G19" s="90"/>
      <c r="H19" s="89"/>
    </row>
    <row r="20" spans="2:8" s="74" customFormat="1" ht="14.25">
      <c r="F20" s="87"/>
      <c r="G20" s="90"/>
      <c r="H20" s="89"/>
    </row>
    <row r="21" spans="2:8" s="74" customFormat="1" ht="14.25">
      <c r="F21" s="87"/>
      <c r="G21" s="90"/>
      <c r="H21" s="89"/>
    </row>
    <row r="22" spans="2:8" s="74" customFormat="1" ht="14.25">
      <c r="F22" s="87"/>
      <c r="G22" s="90"/>
      <c r="H22" s="89">
        <f>SUM(G14:G22)</f>
        <v>0</v>
      </c>
    </row>
    <row r="23" spans="2:8" s="74" customFormat="1" ht="6" customHeight="1">
      <c r="F23" s="87"/>
      <c r="G23" s="91"/>
      <c r="H23" s="101"/>
    </row>
    <row r="24" spans="2:8" s="74" customFormat="1" ht="14.25">
      <c r="F24" s="87"/>
      <c r="G24" s="92"/>
      <c r="H24" s="89">
        <f>H12+H22</f>
        <v>0</v>
      </c>
    </row>
    <row r="25" spans="2:8" s="74" customFormat="1" ht="15">
      <c r="B25" s="75" t="s">
        <v>61</v>
      </c>
      <c r="F25" s="87"/>
      <c r="G25" s="88"/>
      <c r="H25" s="89"/>
    </row>
    <row r="26" spans="2:8" s="74" customFormat="1" ht="14.25">
      <c r="B26" s="74" t="s">
        <v>62</v>
      </c>
      <c r="F26" s="87"/>
      <c r="G26" s="88"/>
      <c r="H26" s="89"/>
    </row>
    <row r="27" spans="2:8" s="74" customFormat="1" ht="14.25">
      <c r="B27" s="74" t="s">
        <v>111</v>
      </c>
      <c r="F27" s="87"/>
      <c r="G27" s="88"/>
      <c r="H27" s="89"/>
    </row>
    <row r="28" spans="2:8" s="74" customFormat="1" ht="14.25">
      <c r="F28" s="87"/>
      <c r="G28" s="88"/>
      <c r="H28" s="89"/>
    </row>
    <row r="29" spans="2:8" s="74" customFormat="1" ht="14.25">
      <c r="F29" s="87"/>
      <c r="G29" s="88"/>
      <c r="H29" s="89"/>
    </row>
    <row r="30" spans="2:8" s="74" customFormat="1" ht="14.25">
      <c r="F30" s="87"/>
      <c r="G30" s="88"/>
      <c r="H30" s="89"/>
    </row>
    <row r="31" spans="2:8" s="74" customFormat="1" ht="14.25">
      <c r="F31" s="87"/>
      <c r="G31" s="93"/>
      <c r="H31" s="101">
        <f>SUM(G26:G31)</f>
        <v>0</v>
      </c>
    </row>
    <row r="32" spans="2:8" s="74" customFormat="1" ht="5.25" customHeight="1">
      <c r="F32" s="87"/>
      <c r="G32" s="88"/>
      <c r="H32" s="133"/>
    </row>
    <row r="33" spans="2:8" s="74" customFormat="1" ht="15.75" thickBot="1">
      <c r="B33" s="75" t="s">
        <v>63</v>
      </c>
      <c r="F33" s="87"/>
      <c r="G33" s="88"/>
      <c r="H33" s="132">
        <f>H24-H31</f>
        <v>0</v>
      </c>
    </row>
    <row r="34" spans="2:8" s="74" customFormat="1" ht="15.75" thickTop="1">
      <c r="B34" s="75"/>
      <c r="F34" s="87"/>
      <c r="G34" s="88"/>
      <c r="H34" s="89"/>
    </row>
    <row r="35" spans="2:8" s="74" customFormat="1" ht="15">
      <c r="B35" s="75" t="s">
        <v>99</v>
      </c>
      <c r="F35" s="87"/>
      <c r="G35" s="88"/>
      <c r="H35" s="134">
        <f>IF(H33&gt;0,H33*0.275,0)</f>
        <v>0</v>
      </c>
    </row>
    <row r="36" spans="2:8" s="74" customFormat="1" ht="14.25">
      <c r="F36" s="87"/>
      <c r="G36" s="88"/>
      <c r="H36" s="89"/>
    </row>
    <row r="37" spans="2:8" s="74" customFormat="1" ht="15">
      <c r="B37" s="75" t="s">
        <v>61</v>
      </c>
      <c r="F37" s="87"/>
      <c r="G37" s="91"/>
      <c r="H37" s="89"/>
    </row>
    <row r="38" spans="2:8" s="74" customFormat="1" ht="15">
      <c r="B38" s="74" t="s">
        <v>64</v>
      </c>
      <c r="C38" s="74" t="s">
        <v>100</v>
      </c>
      <c r="E38" s="94"/>
      <c r="F38" s="87"/>
      <c r="G38" s="90">
        <v>0</v>
      </c>
      <c r="H38" s="89"/>
    </row>
    <row r="39" spans="2:8" s="74" customFormat="1" ht="15">
      <c r="C39" s="74" t="s">
        <v>101</v>
      </c>
      <c r="E39" s="94"/>
      <c r="F39" s="87"/>
      <c r="G39" s="90">
        <v>0</v>
      </c>
      <c r="H39" s="89"/>
    </row>
    <row r="40" spans="2:8" s="74" customFormat="1" ht="15">
      <c r="C40" s="74" t="s">
        <v>102</v>
      </c>
      <c r="E40" s="94"/>
      <c r="F40" s="87"/>
      <c r="G40" s="90">
        <v>0</v>
      </c>
      <c r="H40" s="89"/>
    </row>
    <row r="41" spans="2:8" s="74" customFormat="1" ht="15">
      <c r="C41" s="74" t="s">
        <v>103</v>
      </c>
      <c r="E41" s="94"/>
      <c r="F41" s="87"/>
      <c r="G41" s="128">
        <v>0</v>
      </c>
      <c r="H41" s="129"/>
    </row>
    <row r="42" spans="2:8" s="74" customFormat="1" ht="15">
      <c r="E42" s="94"/>
      <c r="F42" s="87"/>
      <c r="G42" s="90"/>
      <c r="H42" s="129">
        <f>SUM(G38:G41)</f>
        <v>0</v>
      </c>
    </row>
    <row r="43" spans="2:8" s="74" customFormat="1" ht="15">
      <c r="B43" s="75" t="s">
        <v>104</v>
      </c>
      <c r="E43" s="94"/>
      <c r="F43" s="87"/>
      <c r="G43" s="90"/>
      <c r="H43" s="89"/>
    </row>
    <row r="44" spans="2:8" s="74" customFormat="1" ht="15">
      <c r="B44" s="74" t="s">
        <v>105</v>
      </c>
      <c r="E44" s="94"/>
      <c r="F44" s="87"/>
      <c r="G44" s="90"/>
      <c r="H44" s="89">
        <v>0</v>
      </c>
    </row>
    <row r="45" spans="2:8" s="74" customFormat="1" ht="15">
      <c r="E45" s="94"/>
      <c r="F45" s="87"/>
      <c r="G45" s="90"/>
      <c r="H45" s="89"/>
    </row>
    <row r="46" spans="2:8" s="74" customFormat="1" ht="15.75" thickBot="1">
      <c r="B46" s="75" t="s">
        <v>106</v>
      </c>
      <c r="F46" s="87"/>
      <c r="G46" s="91"/>
      <c r="H46" s="130">
        <f>H35-H42+H44</f>
        <v>0</v>
      </c>
    </row>
    <row r="47" spans="2:8" s="74" customFormat="1" ht="15.75" thickTop="1" thickBot="1">
      <c r="F47" s="95"/>
      <c r="G47" s="96"/>
      <c r="H47" s="97"/>
    </row>
    <row r="48" spans="2:8" s="80" customFormat="1" ht="15">
      <c r="F48" s="98"/>
      <c r="G48" s="99"/>
      <c r="H48" s="99"/>
    </row>
    <row r="49" spans="6:8" s="80" customFormat="1" ht="15">
      <c r="F49" s="98"/>
      <c r="G49" s="99"/>
      <c r="H49" s="99"/>
    </row>
    <row r="50" spans="6:8" s="80" customFormat="1" ht="15">
      <c r="F50" s="98"/>
      <c r="G50" s="99"/>
      <c r="H50" s="99"/>
    </row>
    <row r="51" spans="6:8" s="80" customFormat="1" ht="15">
      <c r="F51" s="98"/>
      <c r="G51" s="99"/>
      <c r="H51" s="99"/>
    </row>
    <row r="52" spans="6:8" s="80" customFormat="1" ht="15">
      <c r="F52" s="98"/>
      <c r="G52" s="99"/>
      <c r="H52" s="99"/>
    </row>
    <row r="53" spans="6:8" s="80" customFormat="1" ht="15">
      <c r="F53" s="98"/>
      <c r="G53" s="99"/>
      <c r="H53" s="99"/>
    </row>
    <row r="54" spans="6:8" s="80" customFormat="1" ht="15">
      <c r="F54" s="98"/>
      <c r="G54" s="99"/>
      <c r="H54" s="99"/>
    </row>
    <row r="55" spans="6:8" s="80" customFormat="1" ht="15">
      <c r="F55" s="98"/>
      <c r="G55" s="99"/>
      <c r="H55" s="99"/>
    </row>
    <row r="56" spans="6:8" s="80" customFormat="1" ht="15">
      <c r="F56" s="98"/>
      <c r="G56" s="99"/>
      <c r="H56" s="99"/>
    </row>
    <row r="57" spans="6:8" s="80" customFormat="1" ht="15">
      <c r="F57" s="98"/>
      <c r="G57" s="99"/>
      <c r="H57" s="99"/>
    </row>
    <row r="58" spans="6:8" s="80" customFormat="1" ht="15">
      <c r="F58" s="98"/>
      <c r="G58" s="99"/>
      <c r="H58" s="99"/>
    </row>
    <row r="59" spans="6:8" s="80" customFormat="1" ht="15">
      <c r="G59" s="99"/>
      <c r="H59" s="99"/>
    </row>
    <row r="60" spans="6:8" s="80" customFormat="1" ht="15">
      <c r="G60" s="99"/>
      <c r="H60" s="99"/>
    </row>
    <row r="61" spans="6:8" s="80" customFormat="1" ht="15">
      <c r="G61" s="99"/>
      <c r="H61" s="99"/>
    </row>
    <row r="62" spans="6:8">
      <c r="G62" s="100"/>
      <c r="H62" s="100"/>
    </row>
    <row r="63" spans="6:8">
      <c r="G63" s="100"/>
      <c r="H63" s="100"/>
    </row>
    <row r="64" spans="6:8">
      <c r="G64" s="100"/>
      <c r="H64" s="100"/>
    </row>
    <row r="65" spans="7:8">
      <c r="G65" s="100"/>
      <c r="H65" s="100"/>
    </row>
    <row r="66" spans="7:8">
      <c r="G66" s="100"/>
      <c r="H66" s="100"/>
    </row>
  </sheetData>
  <mergeCells count="11">
    <mergeCell ref="G4:H4"/>
    <mergeCell ref="E5:F5"/>
    <mergeCell ref="G5:H5"/>
    <mergeCell ref="C4:D4"/>
    <mergeCell ref="C2:D2"/>
    <mergeCell ref="E2:F2"/>
    <mergeCell ref="G2:H2"/>
    <mergeCell ref="C3:D3"/>
    <mergeCell ref="E3:F3"/>
    <mergeCell ref="G3:H3"/>
    <mergeCell ref="E4:F4"/>
  </mergeCells>
  <phoneticPr fontId="24" type="noConversion"/>
  <pageMargins left="0.17" right="0.17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65"/>
  <sheetViews>
    <sheetView topLeftCell="A22" workbookViewId="0">
      <selection activeCell="J29" sqref="J29"/>
    </sheetView>
  </sheetViews>
  <sheetFormatPr defaultRowHeight="14.25"/>
  <cols>
    <col min="1" max="1" width="3.140625" style="4" customWidth="1"/>
    <col min="2" max="2" width="13.7109375" style="4" customWidth="1"/>
    <col min="3" max="3" width="4.5703125" style="4" customWidth="1"/>
    <col min="4" max="4" width="3.7109375" style="6" customWidth="1"/>
    <col min="5" max="5" width="42.7109375" style="6" customWidth="1"/>
    <col min="6" max="6" width="13.28515625" style="6" customWidth="1"/>
    <col min="7" max="8" width="12.7109375" style="6" customWidth="1"/>
    <col min="9" max="9" width="3.28515625" style="4" bestFit="1" customWidth="1"/>
    <col min="10" max="15" width="9.7109375" style="4" customWidth="1"/>
    <col min="16" max="16" width="10.140625" style="4" customWidth="1"/>
    <col min="17" max="16384" width="9.140625" style="4"/>
  </cols>
  <sheetData>
    <row r="1" spans="2:15" ht="60" customHeight="1">
      <c r="B1" s="5" t="s">
        <v>97</v>
      </c>
      <c r="H1"/>
      <c r="O1" s="7"/>
    </row>
    <row r="2" spans="2:15" s="8" customFormat="1" ht="30">
      <c r="B2" s="9" t="s">
        <v>6</v>
      </c>
      <c r="C2" s="221" t="str">
        <f>'Job Summary'!D2</f>
        <v>Schmeider Super Fund</v>
      </c>
      <c r="D2" s="246"/>
      <c r="E2" s="233"/>
      <c r="F2" s="52" t="s">
        <v>7</v>
      </c>
      <c r="G2" s="53"/>
      <c r="H2" s="142" t="str">
        <f>'Job Summary'!F2</f>
        <v>Miranda</v>
      </c>
    </row>
    <row r="3" spans="2:15" s="13" customFormat="1" ht="30" customHeight="1">
      <c r="B3" s="9" t="s">
        <v>8</v>
      </c>
      <c r="C3" s="221" t="str">
        <f>'Job Summary'!D3</f>
        <v>SCHDW</v>
      </c>
      <c r="D3" s="246"/>
      <c r="E3" s="233"/>
      <c r="F3" s="254" t="s">
        <v>9</v>
      </c>
      <c r="G3" s="255"/>
      <c r="H3" s="142" t="str">
        <f>'Job Summary'!F3</f>
        <v>13/11/2023</v>
      </c>
    </row>
    <row r="4" spans="2:15" s="13" customFormat="1" ht="30.75" customHeight="1">
      <c r="B4" s="9" t="s">
        <v>10</v>
      </c>
      <c r="C4" s="253" t="str">
        <f>'Query Sheet'!D4</f>
        <v>30 June 2023</v>
      </c>
      <c r="D4" s="246"/>
      <c r="E4" s="233"/>
      <c r="F4" s="256" t="s">
        <v>11</v>
      </c>
      <c r="G4" s="255"/>
      <c r="H4" s="142">
        <f>'Job Summary'!F4</f>
        <v>0</v>
      </c>
    </row>
    <row r="5" spans="2:15" s="13" customFormat="1" ht="23.25" customHeight="1">
      <c r="B5" s="15"/>
      <c r="C5" s="16"/>
      <c r="D5" s="247"/>
      <c r="E5" s="248"/>
      <c r="F5" s="249"/>
      <c r="G5" s="250"/>
      <c r="H5" s="14"/>
    </row>
    <row r="6" spans="2:15" s="2" customFormat="1" ht="39" customHeight="1">
      <c r="B6" s="40" t="s">
        <v>0</v>
      </c>
      <c r="C6" s="40" t="s">
        <v>43</v>
      </c>
      <c r="D6" s="251" t="s">
        <v>1</v>
      </c>
      <c r="E6" s="252"/>
      <c r="F6" s="41" t="s">
        <v>44</v>
      </c>
      <c r="G6" s="42" t="s">
        <v>3</v>
      </c>
      <c r="H6" s="42" t="s">
        <v>4</v>
      </c>
      <c r="I6" s="135" t="s">
        <v>112</v>
      </c>
    </row>
    <row r="7" spans="2:15" s="2" customFormat="1" ht="17.100000000000001" customHeight="1" thickBot="1">
      <c r="B7" s="166"/>
      <c r="C7" s="171"/>
      <c r="D7" s="168"/>
      <c r="E7" s="169"/>
      <c r="F7" s="167"/>
      <c r="G7" s="170"/>
      <c r="H7" s="170"/>
    </row>
    <row r="8" spans="2:15" s="2" customFormat="1" ht="17.100000000000001" customHeight="1">
      <c r="B8" s="174">
        <v>45107</v>
      </c>
      <c r="C8" s="164">
        <v>2</v>
      </c>
      <c r="D8" s="48" t="s">
        <v>125</v>
      </c>
      <c r="E8" s="49"/>
      <c r="F8" s="164">
        <v>85000</v>
      </c>
      <c r="G8" s="165">
        <v>5838</v>
      </c>
      <c r="H8" s="165"/>
    </row>
    <row r="9" spans="2:15" s="2" customFormat="1" ht="17.100000000000001" customHeight="1">
      <c r="B9" s="47"/>
      <c r="C9" s="44"/>
      <c r="D9" s="45"/>
      <c r="E9" s="46" t="s">
        <v>126</v>
      </c>
      <c r="F9" s="44">
        <v>84000</v>
      </c>
      <c r="G9" s="3"/>
      <c r="H9" s="3">
        <v>5838</v>
      </c>
    </row>
    <row r="10" spans="2:15" s="2" customFormat="1" ht="17.100000000000001" customHeight="1">
      <c r="B10" s="47"/>
      <c r="C10" s="44"/>
      <c r="D10" s="45"/>
      <c r="E10" s="46" t="s">
        <v>127</v>
      </c>
      <c r="F10" s="44"/>
      <c r="G10" s="3"/>
      <c r="H10" s="3"/>
    </row>
    <row r="11" spans="2:15" s="2" customFormat="1" ht="17.100000000000001" customHeight="1" thickBot="1">
      <c r="B11" s="166"/>
      <c r="C11" s="171" t="s">
        <v>112</v>
      </c>
      <c r="D11" s="168"/>
      <c r="E11" s="169"/>
      <c r="F11" s="167"/>
      <c r="G11" s="170"/>
      <c r="H11" s="170"/>
    </row>
    <row r="12" spans="2:15" s="2" customFormat="1" ht="17.100000000000001" customHeight="1">
      <c r="B12" s="196">
        <v>45107</v>
      </c>
      <c r="C12" s="164">
        <v>4</v>
      </c>
      <c r="D12" s="197" t="s">
        <v>213</v>
      </c>
      <c r="E12" s="49"/>
      <c r="F12" s="164">
        <v>85500</v>
      </c>
      <c r="G12" s="165">
        <v>85554.96</v>
      </c>
      <c r="H12" s="165"/>
    </row>
    <row r="13" spans="2:15" s="2" customFormat="1" ht="17.100000000000001" customHeight="1">
      <c r="B13" s="47"/>
      <c r="C13" s="44"/>
      <c r="D13" s="45"/>
      <c r="E13" s="46" t="s">
        <v>214</v>
      </c>
      <c r="F13" s="44">
        <v>89990</v>
      </c>
      <c r="G13" s="3"/>
      <c r="H13" s="3">
        <v>85554.96</v>
      </c>
    </row>
    <row r="14" spans="2:15" s="2" customFormat="1" ht="17.100000000000001" customHeight="1">
      <c r="B14" s="47"/>
      <c r="C14" s="44"/>
      <c r="D14" s="45"/>
      <c r="E14" s="46" t="s">
        <v>215</v>
      </c>
      <c r="F14" s="44"/>
      <c r="G14" s="3"/>
      <c r="H14" s="3"/>
    </row>
    <row r="15" spans="2:15" s="2" customFormat="1" ht="17.100000000000001" customHeight="1" thickBot="1">
      <c r="B15" s="166"/>
      <c r="C15" s="171" t="s">
        <v>112</v>
      </c>
      <c r="D15" s="168"/>
      <c r="E15" s="169"/>
      <c r="F15" s="167"/>
      <c r="G15" s="170"/>
      <c r="H15" s="170"/>
    </row>
    <row r="16" spans="2:15" s="2" customFormat="1" ht="17.100000000000001" customHeight="1">
      <c r="B16" s="174">
        <v>44985</v>
      </c>
      <c r="C16" s="164">
        <v>5</v>
      </c>
      <c r="D16" s="48" t="s">
        <v>132</v>
      </c>
      <c r="E16" s="49"/>
      <c r="F16" s="164">
        <v>33400</v>
      </c>
      <c r="G16" s="165">
        <v>164</v>
      </c>
      <c r="H16" s="165"/>
    </row>
    <row r="17" spans="2:10" s="2" customFormat="1" ht="17.100000000000001" customHeight="1">
      <c r="B17" s="47"/>
      <c r="C17" s="44"/>
      <c r="D17" s="45"/>
      <c r="E17" s="46" t="s">
        <v>133</v>
      </c>
      <c r="F17" s="44">
        <v>77250</v>
      </c>
      <c r="G17" s="3"/>
      <c r="H17" s="3">
        <v>164</v>
      </c>
    </row>
    <row r="18" spans="2:10" s="2" customFormat="1" ht="17.100000000000001" customHeight="1">
      <c r="B18" s="47"/>
      <c r="C18" s="44"/>
      <c r="D18" s="45"/>
      <c r="E18" s="46" t="s">
        <v>135</v>
      </c>
      <c r="F18" s="44"/>
      <c r="G18" s="3"/>
      <c r="H18" s="3"/>
    </row>
    <row r="19" spans="2:10" s="2" customFormat="1" ht="17.100000000000001" customHeight="1" thickBot="1">
      <c r="B19" s="166"/>
      <c r="C19" s="171" t="s">
        <v>112</v>
      </c>
      <c r="D19" s="168"/>
      <c r="E19" s="169"/>
      <c r="F19" s="167"/>
      <c r="G19" s="170"/>
      <c r="H19" s="170"/>
    </row>
    <row r="20" spans="2:10" s="2" customFormat="1" ht="17.100000000000001" customHeight="1">
      <c r="B20" s="174">
        <v>45107</v>
      </c>
      <c r="C20" s="164">
        <v>6</v>
      </c>
      <c r="D20" s="48" t="s">
        <v>149</v>
      </c>
      <c r="E20" s="49"/>
      <c r="F20" s="164">
        <v>33400</v>
      </c>
      <c r="G20" s="165">
        <v>693</v>
      </c>
      <c r="H20" s="165"/>
    </row>
    <row r="21" spans="2:10" s="2" customFormat="1" ht="17.100000000000001" customHeight="1">
      <c r="B21" s="47"/>
      <c r="C21" s="44"/>
      <c r="D21" s="45"/>
      <c r="E21" s="46" t="s">
        <v>150</v>
      </c>
      <c r="F21" s="44">
        <v>76000</v>
      </c>
      <c r="G21" s="3"/>
      <c r="H21" s="3">
        <v>693</v>
      </c>
    </row>
    <row r="22" spans="2:10" s="2" customFormat="1" ht="17.100000000000001" customHeight="1">
      <c r="B22" s="47"/>
      <c r="C22" s="44"/>
      <c r="D22" s="45"/>
      <c r="E22" s="46" t="s">
        <v>151</v>
      </c>
      <c r="F22" s="44"/>
      <c r="G22" s="3"/>
      <c r="H22" s="3"/>
    </row>
    <row r="23" spans="2:10" s="2" customFormat="1" ht="17.100000000000001" customHeight="1" thickBot="1">
      <c r="B23" s="185"/>
      <c r="C23" s="171"/>
      <c r="D23" s="168"/>
      <c r="E23" s="169"/>
      <c r="F23" s="166"/>
      <c r="G23" s="170"/>
      <c r="H23" s="170"/>
    </row>
    <row r="24" spans="2:10" s="2" customFormat="1" ht="17.100000000000001" customHeight="1">
      <c r="B24" s="174">
        <v>45107</v>
      </c>
      <c r="C24" s="164">
        <v>7</v>
      </c>
      <c r="D24" s="48" t="s">
        <v>140</v>
      </c>
      <c r="E24" s="49"/>
      <c r="F24" s="184">
        <v>33400</v>
      </c>
      <c r="G24" s="165">
        <v>313</v>
      </c>
      <c r="H24" s="165"/>
    </row>
    <row r="25" spans="2:10" s="2" customFormat="1" ht="17.100000000000001" customHeight="1">
      <c r="B25" s="43"/>
      <c r="C25" s="44"/>
      <c r="D25" s="45"/>
      <c r="E25" s="46" t="s">
        <v>141</v>
      </c>
      <c r="F25" s="47">
        <v>76000</v>
      </c>
      <c r="G25" s="3"/>
      <c r="H25" s="3">
        <v>313</v>
      </c>
    </row>
    <row r="26" spans="2:10" s="2" customFormat="1" ht="17.100000000000001" customHeight="1">
      <c r="B26" s="43"/>
      <c r="C26" s="44"/>
      <c r="D26" s="45"/>
      <c r="E26" s="46" t="s">
        <v>142</v>
      </c>
      <c r="F26" s="47"/>
      <c r="G26" s="3"/>
      <c r="H26" s="3"/>
    </row>
    <row r="27" spans="2:10" s="2" customFormat="1" ht="17.100000000000001" customHeight="1" thickBot="1">
      <c r="B27" s="185"/>
      <c r="C27" s="171" t="s">
        <v>112</v>
      </c>
      <c r="D27" s="168"/>
      <c r="E27" s="169"/>
      <c r="F27" s="166"/>
      <c r="G27" s="170"/>
      <c r="H27" s="170"/>
    </row>
    <row r="28" spans="2:10" s="2" customFormat="1" ht="17.100000000000001" customHeight="1">
      <c r="B28" s="174">
        <v>45107</v>
      </c>
      <c r="C28" s="164">
        <v>8</v>
      </c>
      <c r="D28" s="48" t="s">
        <v>220</v>
      </c>
      <c r="E28" s="49"/>
      <c r="F28" s="184">
        <v>76000</v>
      </c>
      <c r="G28" s="165"/>
      <c r="H28" s="165">
        <v>117221.11</v>
      </c>
      <c r="J28" s="2">
        <v>-124.5</v>
      </c>
    </row>
    <row r="29" spans="2:10" s="2" customFormat="1" ht="17.100000000000001" customHeight="1">
      <c r="B29" s="43"/>
      <c r="C29" s="44"/>
      <c r="D29" s="45"/>
      <c r="E29" s="46" t="s">
        <v>221</v>
      </c>
      <c r="F29" s="47">
        <v>247</v>
      </c>
      <c r="G29" s="3">
        <v>117221.11</v>
      </c>
      <c r="H29" s="3"/>
    </row>
    <row r="30" spans="2:10" s="2" customFormat="1" ht="17.100000000000001" customHeight="1">
      <c r="B30" s="43"/>
      <c r="C30" s="44"/>
      <c r="D30" s="45"/>
      <c r="E30" s="46" t="s">
        <v>222</v>
      </c>
      <c r="F30" s="47"/>
      <c r="G30" s="3"/>
      <c r="H30" s="3"/>
    </row>
    <row r="31" spans="2:10" s="2" customFormat="1" ht="17.100000000000001" customHeight="1" thickBot="1">
      <c r="B31" s="185"/>
      <c r="C31" s="171" t="s">
        <v>112</v>
      </c>
      <c r="D31" s="168"/>
      <c r="E31" s="169"/>
      <c r="F31" s="166"/>
      <c r="G31" s="170"/>
      <c r="H31" s="170"/>
    </row>
    <row r="32" spans="2:10" s="2" customFormat="1" ht="17.100000000000001" customHeight="1">
      <c r="B32" s="174">
        <v>45075</v>
      </c>
      <c r="C32" s="164">
        <v>9</v>
      </c>
      <c r="D32" s="48" t="s">
        <v>237</v>
      </c>
      <c r="E32" s="49"/>
      <c r="F32" s="184">
        <v>41960</v>
      </c>
      <c r="G32" s="165"/>
      <c r="H32" s="165">
        <v>1194.8900000000001</v>
      </c>
    </row>
    <row r="33" spans="2:9" s="2" customFormat="1" ht="17.100000000000001" customHeight="1">
      <c r="B33" s="43"/>
      <c r="C33" s="44"/>
      <c r="D33" s="45"/>
      <c r="E33" s="46" t="s">
        <v>237</v>
      </c>
      <c r="F33" s="47">
        <v>41960</v>
      </c>
      <c r="G33" s="3">
        <v>5.14</v>
      </c>
      <c r="H33" s="3"/>
    </row>
    <row r="34" spans="2:9" s="2" customFormat="1" ht="17.100000000000001" customHeight="1">
      <c r="B34" s="43"/>
      <c r="C34" s="44"/>
      <c r="D34" s="45"/>
      <c r="E34" s="46" t="s">
        <v>237</v>
      </c>
      <c r="F34" s="47">
        <v>41960</v>
      </c>
      <c r="G34" s="3">
        <v>27.31</v>
      </c>
      <c r="H34" s="3"/>
    </row>
    <row r="35" spans="2:9" s="2" customFormat="1" ht="17.100000000000001" customHeight="1">
      <c r="B35" s="43"/>
      <c r="C35" s="44"/>
      <c r="D35" s="45"/>
      <c r="E35" s="46" t="s">
        <v>214</v>
      </c>
      <c r="F35" s="47">
        <v>41960</v>
      </c>
      <c r="G35" s="3">
        <f>H32-G33-G34</f>
        <v>1162.44</v>
      </c>
      <c r="H35" s="3"/>
    </row>
    <row r="36" spans="2:9" s="2" customFormat="1" ht="17.100000000000001" customHeight="1">
      <c r="B36" s="43"/>
      <c r="C36" s="44"/>
      <c r="D36" s="45"/>
      <c r="E36" s="46" t="s">
        <v>238</v>
      </c>
      <c r="F36" s="47"/>
      <c r="G36" s="3"/>
      <c r="H36" s="3"/>
    </row>
    <row r="37" spans="2:9" s="2" customFormat="1" ht="17.100000000000001" customHeight="1" thickBot="1">
      <c r="B37" s="185"/>
      <c r="C37" s="171" t="s">
        <v>112</v>
      </c>
      <c r="D37" s="168"/>
      <c r="E37" s="169"/>
      <c r="F37" s="166"/>
      <c r="G37" s="170"/>
      <c r="H37" s="170"/>
    </row>
    <row r="38" spans="2:9" s="2" customFormat="1" ht="17.100000000000001" customHeight="1">
      <c r="B38" s="174">
        <v>45107</v>
      </c>
      <c r="C38" s="164">
        <v>11</v>
      </c>
      <c r="D38" s="48" t="s">
        <v>252</v>
      </c>
      <c r="E38" s="49"/>
      <c r="F38" s="164">
        <v>84000</v>
      </c>
      <c r="G38" s="165">
        <v>5018</v>
      </c>
      <c r="H38" s="165"/>
    </row>
    <row r="39" spans="2:9" s="2" customFormat="1" ht="17.100000000000001" customHeight="1">
      <c r="B39" s="47"/>
      <c r="C39" s="44"/>
      <c r="D39" s="45"/>
      <c r="E39" s="46" t="s">
        <v>253</v>
      </c>
      <c r="F39" s="44">
        <v>88000</v>
      </c>
      <c r="G39" s="3"/>
      <c r="H39" s="3">
        <v>5018</v>
      </c>
    </row>
    <row r="40" spans="2:9" s="2" customFormat="1" ht="17.100000000000001" customHeight="1">
      <c r="B40" s="47"/>
      <c r="C40" s="44"/>
      <c r="D40" s="45"/>
      <c r="E40" s="46" t="s">
        <v>254</v>
      </c>
      <c r="F40" s="44"/>
      <c r="G40" s="3"/>
      <c r="H40" s="3"/>
    </row>
    <row r="41" spans="2:9" s="2" customFormat="1" ht="17.100000000000001" customHeight="1" thickBot="1">
      <c r="B41" s="166"/>
      <c r="C41" s="171" t="s">
        <v>112</v>
      </c>
      <c r="D41" s="168"/>
      <c r="E41" s="169"/>
      <c r="F41" s="167"/>
      <c r="G41" s="170"/>
      <c r="H41" s="170"/>
      <c r="I41" s="1"/>
    </row>
    <row r="42" spans="2:9" s="2" customFormat="1" ht="17.100000000000001" customHeight="1">
      <c r="B42" s="174">
        <v>45107</v>
      </c>
      <c r="C42" s="164">
        <v>12</v>
      </c>
      <c r="D42" s="48" t="s">
        <v>256</v>
      </c>
      <c r="E42" s="49"/>
      <c r="F42" s="164">
        <v>77250</v>
      </c>
      <c r="G42" s="165"/>
      <c r="H42" s="217">
        <v>9340.2999999999993</v>
      </c>
    </row>
    <row r="43" spans="2:9" s="2" customFormat="1" ht="17.100000000000001" customHeight="1">
      <c r="B43" s="47"/>
      <c r="C43" s="44"/>
      <c r="D43" s="45"/>
      <c r="E43" s="46" t="s">
        <v>257</v>
      </c>
      <c r="F43" s="44">
        <v>77250</v>
      </c>
      <c r="G43" s="3">
        <v>9340.2999999999993</v>
      </c>
      <c r="H43" s="3"/>
    </row>
    <row r="44" spans="2:9" s="2" customFormat="1" ht="17.100000000000001" customHeight="1">
      <c r="B44" s="47"/>
      <c r="C44" s="44"/>
      <c r="D44" s="45"/>
      <c r="E44" s="46" t="s">
        <v>258</v>
      </c>
      <c r="F44" s="44"/>
      <c r="G44" s="3"/>
      <c r="H44" s="3"/>
    </row>
    <row r="45" spans="2:9" s="2" customFormat="1" ht="17.100000000000001" customHeight="1" thickBot="1">
      <c r="B45" s="185"/>
      <c r="C45" s="171" t="s">
        <v>112</v>
      </c>
      <c r="D45" s="168"/>
      <c r="E45" s="169"/>
      <c r="F45" s="167"/>
      <c r="G45" s="170"/>
      <c r="H45" s="170"/>
    </row>
    <row r="46" spans="2:9" s="2" customFormat="1" ht="17.100000000000001" customHeight="1">
      <c r="B46" s="174">
        <v>45107</v>
      </c>
      <c r="C46" s="164">
        <v>12</v>
      </c>
      <c r="D46" s="218" t="s">
        <v>260</v>
      </c>
      <c r="E46" s="219"/>
      <c r="F46" s="164">
        <v>89990</v>
      </c>
      <c r="G46" s="165">
        <v>639957.25</v>
      </c>
      <c r="H46" s="165"/>
    </row>
    <row r="47" spans="2:9" s="2" customFormat="1" ht="17.100000000000001" customHeight="1">
      <c r="B47" s="184"/>
      <c r="C47" s="164"/>
      <c r="D47" s="45"/>
      <c r="E47" s="46" t="s">
        <v>257</v>
      </c>
      <c r="F47" s="44">
        <v>77250</v>
      </c>
      <c r="G47" s="3"/>
      <c r="H47" s="165">
        <v>639957.25</v>
      </c>
    </row>
    <row r="48" spans="2:9" s="2" customFormat="1" ht="17.100000000000001" customHeight="1">
      <c r="B48" s="184"/>
      <c r="C48" s="164"/>
      <c r="D48" s="45"/>
      <c r="E48" s="46" t="s">
        <v>261</v>
      </c>
      <c r="F48" s="164"/>
      <c r="G48" s="165"/>
      <c r="H48" s="165"/>
    </row>
    <row r="49" spans="2:9" s="2" customFormat="1" ht="17.100000000000001" customHeight="1" thickBot="1">
      <c r="B49" s="166"/>
      <c r="C49" s="171" t="s">
        <v>112</v>
      </c>
      <c r="D49" s="168"/>
      <c r="E49" s="169"/>
      <c r="F49" s="167"/>
      <c r="G49" s="170"/>
      <c r="H49" s="170"/>
    </row>
    <row r="50" spans="2:9" s="2" customFormat="1" ht="17.100000000000001" customHeight="1">
      <c r="B50" s="220" t="s">
        <v>264</v>
      </c>
      <c r="C50" s="164">
        <v>13</v>
      </c>
      <c r="D50" s="48" t="s">
        <v>265</v>
      </c>
      <c r="E50" s="49"/>
      <c r="F50" s="164">
        <v>99900</v>
      </c>
      <c r="G50" s="165">
        <f>'Barrel Sales'!Q97</f>
        <v>121805.84</v>
      </c>
      <c r="H50" s="165"/>
    </row>
    <row r="51" spans="2:9" s="2" customFormat="1" ht="17.100000000000001" customHeight="1">
      <c r="B51" s="184"/>
      <c r="C51" s="164"/>
      <c r="D51" s="48"/>
      <c r="E51" s="49" t="s">
        <v>262</v>
      </c>
      <c r="F51" s="164">
        <v>26500</v>
      </c>
      <c r="G51" s="165"/>
      <c r="H51" s="165">
        <v>121805.84</v>
      </c>
    </row>
    <row r="52" spans="2:9" s="2" customFormat="1" ht="17.100000000000001" customHeight="1">
      <c r="B52" s="184"/>
      <c r="C52" s="164"/>
      <c r="D52" s="48"/>
      <c r="E52" s="49" t="s">
        <v>263</v>
      </c>
      <c r="F52" s="164"/>
      <c r="G52" s="165"/>
      <c r="H52" s="165"/>
    </row>
    <row r="53" spans="2:9" s="2" customFormat="1" ht="17.100000000000001" customHeight="1" thickBot="1">
      <c r="B53" s="166"/>
      <c r="C53" s="171" t="s">
        <v>112</v>
      </c>
      <c r="D53" s="168"/>
      <c r="E53" s="169"/>
      <c r="F53" s="167"/>
      <c r="G53" s="170"/>
      <c r="H53" s="170"/>
    </row>
    <row r="54" spans="2:9" s="2" customFormat="1" ht="17.100000000000001" customHeight="1">
      <c r="B54" s="174">
        <v>45104</v>
      </c>
      <c r="C54" s="164">
        <v>14</v>
      </c>
      <c r="D54" s="48" t="s">
        <v>270</v>
      </c>
      <c r="E54" s="49"/>
      <c r="F54" s="164">
        <v>99900</v>
      </c>
      <c r="G54" s="165">
        <f>'Barrel Sales'!Q101</f>
        <v>1390</v>
      </c>
      <c r="H54" s="165"/>
    </row>
    <row r="55" spans="2:9" s="2" customFormat="1" ht="17.100000000000001" customHeight="1">
      <c r="B55" s="184"/>
      <c r="C55" s="164"/>
      <c r="D55" s="48"/>
      <c r="E55" s="49" t="s">
        <v>262</v>
      </c>
      <c r="F55" s="164">
        <v>26500</v>
      </c>
      <c r="G55" s="165"/>
      <c r="H55" s="165">
        <v>1390</v>
      </c>
    </row>
    <row r="56" spans="2:9" s="2" customFormat="1" ht="17.100000000000001" customHeight="1">
      <c r="B56" s="184"/>
      <c r="C56" s="164"/>
      <c r="D56" s="48"/>
      <c r="E56" s="49" t="s">
        <v>271</v>
      </c>
      <c r="F56" s="164"/>
      <c r="G56" s="165"/>
      <c r="H56" s="165"/>
    </row>
    <row r="57" spans="2:9" s="2" customFormat="1" ht="17.100000000000001" customHeight="1" thickBot="1">
      <c r="B57" s="166"/>
      <c r="C57" s="171" t="s">
        <v>112</v>
      </c>
      <c r="D57" s="168"/>
      <c r="E57" s="169"/>
      <c r="F57" s="167"/>
      <c r="G57" s="170"/>
      <c r="H57" s="170"/>
    </row>
    <row r="58" spans="2:9" s="2" customFormat="1" ht="17.100000000000001" customHeight="1">
      <c r="B58" s="184"/>
      <c r="C58" s="164"/>
      <c r="D58" s="48"/>
      <c r="E58" s="49"/>
      <c r="F58" s="164"/>
      <c r="G58" s="165"/>
      <c r="H58" s="165"/>
    </row>
    <row r="59" spans="2:9" s="2" customFormat="1" ht="17.100000000000001" customHeight="1">
      <c r="B59" s="47"/>
      <c r="C59" s="44"/>
      <c r="D59" s="48"/>
      <c r="E59" s="49"/>
      <c r="F59" s="44"/>
      <c r="G59" s="3"/>
      <c r="H59" s="3"/>
    </row>
    <row r="60" spans="2:9" s="2" customFormat="1" ht="17.100000000000001" customHeight="1">
      <c r="B60" s="47"/>
      <c r="C60" s="44"/>
      <c r="D60" s="48"/>
      <c r="E60" s="49"/>
      <c r="F60" s="44"/>
      <c r="G60" s="3"/>
      <c r="H60" s="3"/>
    </row>
    <row r="61" spans="2:9" s="2" customFormat="1" ht="17.100000000000001" customHeight="1">
      <c r="B61" s="47"/>
      <c r="C61" s="44"/>
      <c r="D61" s="48"/>
      <c r="E61" s="49"/>
      <c r="F61" s="44"/>
      <c r="G61" s="3"/>
      <c r="H61" s="3"/>
    </row>
    <row r="62" spans="2:9" s="2" customFormat="1" ht="17.100000000000001" customHeight="1">
      <c r="B62" s="47"/>
      <c r="C62" s="44"/>
      <c r="D62" s="45"/>
      <c r="E62" s="46"/>
      <c r="F62" s="50">
        <f>H62-G62</f>
        <v>0</v>
      </c>
      <c r="G62" s="51">
        <f>SUM(G7:G61)</f>
        <v>988490.35</v>
      </c>
      <c r="H62" s="51">
        <f>SUM(H7:H61)</f>
        <v>988490.35</v>
      </c>
    </row>
    <row r="63" spans="2:9">
      <c r="D63" s="4"/>
      <c r="I63" s="6"/>
    </row>
    <row r="64" spans="2:9">
      <c r="D64" s="4"/>
      <c r="I64" s="6"/>
    </row>
    <row r="65" spans="4:9">
      <c r="D65" s="4"/>
      <c r="I65" s="6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24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C625-CC29-4D7D-AFF1-500AB0300891}">
  <dimension ref="C4:G20"/>
  <sheetViews>
    <sheetView workbookViewId="0">
      <selection activeCell="F24" sqref="F24"/>
    </sheetView>
  </sheetViews>
  <sheetFormatPr defaultRowHeight="12.75"/>
  <cols>
    <col min="4" max="4" width="12.28515625" customWidth="1"/>
    <col min="5" max="5" width="11.28515625" bestFit="1" customWidth="1"/>
    <col min="7" max="7" width="11.28515625" bestFit="1" customWidth="1"/>
  </cols>
  <sheetData>
    <row r="4" spans="3:7">
      <c r="E4" s="179" t="s">
        <v>136</v>
      </c>
      <c r="F4" s="179"/>
      <c r="G4" s="179" t="s">
        <v>137</v>
      </c>
    </row>
    <row r="6" spans="3:7">
      <c r="C6" t="s">
        <v>138</v>
      </c>
      <c r="E6" s="180">
        <v>10000</v>
      </c>
      <c r="F6" s="180"/>
      <c r="G6" s="180">
        <v>10000</v>
      </c>
    </row>
    <row r="7" spans="3:7">
      <c r="E7" s="180"/>
      <c r="F7" s="180"/>
      <c r="G7" s="180"/>
    </row>
    <row r="8" spans="3:7" ht="13.5" thickBot="1">
      <c r="E8" s="181">
        <f>SUM(E6:E7)</f>
        <v>10000</v>
      </c>
      <c r="F8" s="181"/>
      <c r="G8" s="181">
        <f>SUM(G6:G7)</f>
        <v>10000</v>
      </c>
    </row>
    <row r="9" spans="3:7">
      <c r="E9" s="180"/>
      <c r="F9" s="180"/>
      <c r="G9" s="180"/>
    </row>
    <row r="10" spans="3:7">
      <c r="E10" s="180"/>
      <c r="F10" s="180"/>
      <c r="G10" s="180"/>
    </row>
    <row r="11" spans="3:7">
      <c r="E11" s="180"/>
      <c r="F11" s="180"/>
      <c r="G11" s="180"/>
    </row>
    <row r="12" spans="3:7">
      <c r="E12" s="180"/>
      <c r="F12" s="180"/>
      <c r="G12" s="180"/>
    </row>
    <row r="13" spans="3:7">
      <c r="E13" s="180"/>
      <c r="F13" s="180"/>
      <c r="G13" s="180"/>
    </row>
    <row r="14" spans="3:7">
      <c r="E14" s="180"/>
      <c r="F14" s="180"/>
      <c r="G14" s="180"/>
    </row>
    <row r="15" spans="3:7">
      <c r="E15" s="180"/>
      <c r="F15" s="180"/>
      <c r="G15" s="180"/>
    </row>
    <row r="16" spans="3:7">
      <c r="E16" s="180"/>
      <c r="F16" s="180"/>
      <c r="G16" s="180"/>
    </row>
    <row r="17" spans="5:7">
      <c r="E17" s="180"/>
      <c r="F17" s="180"/>
      <c r="G17" s="180"/>
    </row>
    <row r="18" spans="5:7">
      <c r="E18" s="180"/>
      <c r="F18" s="180"/>
      <c r="G18" s="180"/>
    </row>
    <row r="19" spans="5:7">
      <c r="E19" s="180"/>
      <c r="F19" s="180"/>
      <c r="G19" s="180"/>
    </row>
    <row r="20" spans="5:7">
      <c r="E20" s="180"/>
      <c r="F20" s="180"/>
      <c r="G20" s="18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50"/>
  <sheetViews>
    <sheetView topLeftCell="A19" zoomScaleNormal="100" workbookViewId="0">
      <selection activeCell="B21" sqref="B21"/>
    </sheetView>
  </sheetViews>
  <sheetFormatPr defaultRowHeight="14.25"/>
  <cols>
    <col min="1" max="1" width="5.7109375" style="4" customWidth="1"/>
    <col min="2" max="2" width="15.7109375" style="4" customWidth="1"/>
    <col min="3" max="3" width="36.140625" style="4" customWidth="1"/>
    <col min="4" max="4" width="8.5703125" style="6" customWidth="1"/>
    <col min="5" max="7" width="9.7109375" style="6" customWidth="1"/>
    <col min="8" max="8" width="10.7109375" style="6" customWidth="1"/>
    <col min="9" max="9" width="10.5703125" style="4" customWidth="1"/>
    <col min="10" max="15" width="9.7109375" style="4" customWidth="1"/>
    <col min="16" max="16" width="10.140625" style="4" customWidth="1"/>
    <col min="17" max="16384" width="9.140625" style="4"/>
  </cols>
  <sheetData>
    <row r="1" spans="2:15" ht="59.25" customHeight="1">
      <c r="B1" s="5" t="s">
        <v>74</v>
      </c>
      <c r="G1"/>
      <c r="O1" s="7"/>
    </row>
    <row r="2" spans="2:15" s="8" customFormat="1" ht="30">
      <c r="B2" s="9" t="s">
        <v>6</v>
      </c>
      <c r="C2" s="143" t="str">
        <f>'Job Summary'!D2</f>
        <v>Schmeider Super Fund</v>
      </c>
      <c r="D2" s="10" t="s">
        <v>7</v>
      </c>
      <c r="E2" s="11"/>
      <c r="F2" s="257" t="str">
        <f>'Job Summary'!F2:G4</f>
        <v>Miranda</v>
      </c>
      <c r="G2" s="258"/>
      <c r="H2" s="12"/>
    </row>
    <row r="3" spans="2:15" s="13" customFormat="1" ht="30" customHeight="1">
      <c r="B3" s="9" t="s">
        <v>8</v>
      </c>
      <c r="C3" s="144" t="str">
        <f>'Query Sheet'!D3</f>
        <v>SCHDW</v>
      </c>
      <c r="D3" s="259" t="s">
        <v>9</v>
      </c>
      <c r="E3" s="260"/>
      <c r="F3" s="261" t="str">
        <f>'Query Sheet'!F3</f>
        <v>13/11/2023</v>
      </c>
      <c r="G3" s="258"/>
      <c r="H3" s="14"/>
    </row>
    <row r="4" spans="2:15" s="13" customFormat="1" ht="30.75" customHeight="1">
      <c r="B4" s="9" t="s">
        <v>10</v>
      </c>
      <c r="C4" s="145" t="str">
        <f>'Query Sheet'!D4</f>
        <v>30 June 2023</v>
      </c>
      <c r="D4" s="262" t="s">
        <v>11</v>
      </c>
      <c r="E4" s="260"/>
      <c r="F4" s="261">
        <f>'Query Sheet'!F4</f>
        <v>0</v>
      </c>
      <c r="G4" s="258"/>
      <c r="H4" s="14"/>
    </row>
    <row r="5" spans="2:15" s="13" customFormat="1" ht="23.25" customHeight="1">
      <c r="B5" s="15"/>
      <c r="C5" s="16"/>
      <c r="D5" s="247"/>
      <c r="E5" s="248"/>
      <c r="F5" s="249"/>
      <c r="G5" s="250"/>
      <c r="H5" s="14"/>
    </row>
    <row r="6" spans="2:15" s="18" customFormat="1" ht="15">
      <c r="C6" s="13"/>
      <c r="D6" s="14"/>
      <c r="E6" s="19"/>
      <c r="F6" s="19"/>
      <c r="G6" s="20"/>
      <c r="H6" s="20"/>
      <c r="I6" s="20"/>
    </row>
    <row r="7" spans="2:15" s="32" customFormat="1">
      <c r="B7" s="29" t="s">
        <v>38</v>
      </c>
      <c r="C7" s="30"/>
      <c r="D7" s="30"/>
      <c r="E7" s="30"/>
      <c r="F7" s="30"/>
      <c r="G7" s="30"/>
      <c r="H7" s="31">
        <v>0</v>
      </c>
    </row>
    <row r="8" spans="2:15" s="32" customFormat="1">
      <c r="C8" s="30"/>
      <c r="D8" s="30"/>
      <c r="E8" s="30"/>
      <c r="F8" s="30"/>
      <c r="G8" s="30"/>
      <c r="H8" s="31"/>
    </row>
    <row r="9" spans="2:15" s="32" customFormat="1">
      <c r="B9" s="33" t="s">
        <v>75</v>
      </c>
      <c r="C9" s="30"/>
      <c r="D9" s="30"/>
      <c r="E9" s="30"/>
      <c r="F9" s="30"/>
      <c r="G9" s="30"/>
      <c r="H9" s="30"/>
    </row>
    <row r="10" spans="2:15" s="32" customFormat="1">
      <c r="C10" s="30"/>
      <c r="D10" s="30"/>
      <c r="E10" s="30"/>
      <c r="F10" s="30"/>
      <c r="G10" s="30"/>
      <c r="H10" s="30"/>
    </row>
    <row r="11" spans="2:15" s="32" customFormat="1">
      <c r="B11" s="32" t="s">
        <v>39</v>
      </c>
      <c r="C11" s="30"/>
      <c r="D11" s="30"/>
      <c r="E11" s="30"/>
      <c r="F11" s="30"/>
      <c r="G11" s="30"/>
      <c r="H11" s="31">
        <v>0</v>
      </c>
    </row>
    <row r="12" spans="2:15" s="32" customFormat="1">
      <c r="C12" s="30"/>
      <c r="D12" s="30"/>
      <c r="E12" s="30"/>
      <c r="F12" s="30"/>
      <c r="G12" s="30"/>
      <c r="H12" s="31"/>
    </row>
    <row r="13" spans="2:15" s="32" customFormat="1">
      <c r="B13" s="32" t="s">
        <v>94</v>
      </c>
      <c r="C13" s="30"/>
      <c r="D13" s="30"/>
      <c r="E13" s="30"/>
      <c r="F13" s="30"/>
      <c r="G13" s="30"/>
      <c r="H13" s="31">
        <f>D40</f>
        <v>0</v>
      </c>
    </row>
    <row r="14" spans="2:15" s="32" customFormat="1">
      <c r="C14" s="30"/>
      <c r="D14" s="30"/>
      <c r="E14" s="30"/>
      <c r="F14" s="30"/>
      <c r="G14" s="30"/>
      <c r="H14" s="31"/>
    </row>
    <row r="15" spans="2:15" s="32" customFormat="1">
      <c r="B15" s="32" t="s">
        <v>95</v>
      </c>
      <c r="C15" s="30"/>
      <c r="D15" s="30"/>
      <c r="E15" s="30"/>
      <c r="F15" s="30"/>
      <c r="G15" s="30"/>
      <c r="H15" s="31">
        <f>D49</f>
        <v>0</v>
      </c>
    </row>
    <row r="16" spans="2:15" s="32" customFormat="1">
      <c r="C16" s="30"/>
      <c r="D16" s="30"/>
      <c r="E16" s="30"/>
      <c r="F16" s="30"/>
      <c r="G16" s="30"/>
      <c r="H16" s="31"/>
    </row>
    <row r="17" spans="2:8" s="32" customFormat="1">
      <c r="B17" s="32" t="s">
        <v>96</v>
      </c>
      <c r="C17" s="30"/>
      <c r="D17" s="30"/>
      <c r="E17" s="30"/>
      <c r="F17" s="30"/>
      <c r="G17" s="30"/>
      <c r="H17" s="123">
        <f>H11+H13-H15</f>
        <v>0</v>
      </c>
    </row>
    <row r="18" spans="2:8" s="32" customFormat="1">
      <c r="B18" s="124" t="s">
        <v>114</v>
      </c>
      <c r="C18" s="30"/>
      <c r="D18" s="30"/>
      <c r="E18" s="30"/>
      <c r="F18" s="30"/>
      <c r="G18" s="30"/>
      <c r="H18" s="31"/>
    </row>
    <row r="19" spans="2:8" s="32" customFormat="1">
      <c r="B19" s="124" t="s">
        <v>115</v>
      </c>
      <c r="C19" s="30"/>
      <c r="D19" s="30"/>
      <c r="E19" s="30"/>
      <c r="F19" s="30"/>
      <c r="G19" s="30"/>
      <c r="H19" s="31"/>
    </row>
    <row r="20" spans="2:8" s="32" customFormat="1">
      <c r="B20" s="124" t="s">
        <v>116</v>
      </c>
      <c r="C20" s="30"/>
      <c r="D20" s="30"/>
      <c r="E20" s="30"/>
      <c r="F20" s="30"/>
      <c r="G20" s="30"/>
      <c r="H20" s="31"/>
    </row>
    <row r="21" spans="2:8" s="32" customFormat="1">
      <c r="B21" s="160" t="s">
        <v>118</v>
      </c>
      <c r="C21" s="30"/>
      <c r="D21" s="30"/>
      <c r="E21" s="30"/>
      <c r="F21" s="30"/>
      <c r="G21" s="30"/>
      <c r="H21" s="31"/>
    </row>
    <row r="22" spans="2:8" s="32" customFormat="1">
      <c r="B22" s="160"/>
      <c r="C22" s="30"/>
      <c r="D22" s="30"/>
      <c r="E22" s="30"/>
      <c r="F22" s="30"/>
      <c r="G22" s="30"/>
      <c r="H22" s="31"/>
    </row>
    <row r="23" spans="2:8" s="32" customFormat="1">
      <c r="B23" s="32" t="s">
        <v>40</v>
      </c>
      <c r="C23" s="30"/>
      <c r="D23" s="30"/>
      <c r="E23" s="30"/>
      <c r="F23" s="30"/>
      <c r="G23" s="30"/>
      <c r="H23" s="30"/>
    </row>
    <row r="24" spans="2:8" s="32" customFormat="1">
      <c r="B24" s="32" t="s">
        <v>41</v>
      </c>
      <c r="C24" s="30"/>
      <c r="D24" s="30"/>
      <c r="E24" s="30"/>
      <c r="F24" s="30"/>
      <c r="G24" s="30"/>
      <c r="H24" s="31">
        <f>H11*30%</f>
        <v>0</v>
      </c>
    </row>
    <row r="25" spans="2:8" s="32" customFormat="1">
      <c r="B25" s="32" t="s">
        <v>42</v>
      </c>
      <c r="C25" s="30"/>
      <c r="D25" s="30"/>
      <c r="E25" s="30"/>
      <c r="F25" s="30"/>
      <c r="G25" s="30"/>
      <c r="H25" s="31">
        <f>H13*15%</f>
        <v>0</v>
      </c>
    </row>
    <row r="26" spans="2:8" s="32" customFormat="1">
      <c r="C26" s="30"/>
      <c r="D26" s="30"/>
      <c r="E26" s="30"/>
      <c r="F26" s="30"/>
      <c r="G26" s="30"/>
      <c r="H26" s="34"/>
    </row>
    <row r="27" spans="2:8" s="35" customFormat="1" ht="15.75" thickBot="1">
      <c r="B27" s="35" t="s">
        <v>117</v>
      </c>
      <c r="C27" s="36"/>
      <c r="D27" s="36"/>
      <c r="E27" s="36"/>
      <c r="F27" s="36"/>
      <c r="G27" s="36"/>
      <c r="H27" s="37">
        <f>H11+H13-H15-H24-H25</f>
        <v>0</v>
      </c>
    </row>
    <row r="28" spans="2:8" s="35" customFormat="1" ht="15.75" thickTop="1">
      <c r="C28" s="36"/>
      <c r="D28" s="36"/>
      <c r="E28" s="36"/>
      <c r="F28" s="36"/>
      <c r="G28" s="36"/>
      <c r="H28" s="38"/>
    </row>
    <row r="29" spans="2:8" s="35" customFormat="1" ht="15.75" thickBot="1">
      <c r="B29" s="35" t="s">
        <v>76</v>
      </c>
      <c r="C29" s="36"/>
      <c r="D29" s="36"/>
      <c r="E29" s="36"/>
      <c r="F29" s="36"/>
      <c r="G29" s="36"/>
      <c r="H29" s="39">
        <f>H24+H25</f>
        <v>0</v>
      </c>
    </row>
    <row r="30" spans="2:8" s="35" customFormat="1" ht="15.75" thickTop="1">
      <c r="B30" s="32"/>
      <c r="C30" s="30"/>
      <c r="D30" s="30"/>
      <c r="E30" s="30"/>
      <c r="F30" s="30"/>
      <c r="G30" s="30"/>
    </row>
    <row r="34" spans="2:4" ht="15">
      <c r="B34" s="21" t="s">
        <v>107</v>
      </c>
    </row>
    <row r="35" spans="2:4">
      <c r="B35" s="4" t="s">
        <v>0</v>
      </c>
      <c r="C35" s="4" t="s">
        <v>108</v>
      </c>
      <c r="D35" s="6" t="s">
        <v>109</v>
      </c>
    </row>
    <row r="36" spans="2:4">
      <c r="B36" s="137"/>
      <c r="D36" s="136"/>
    </row>
    <row r="37" spans="2:4">
      <c r="B37" s="137"/>
      <c r="D37" s="136"/>
    </row>
    <row r="38" spans="2:4">
      <c r="B38" s="137"/>
      <c r="D38" s="136"/>
    </row>
    <row r="39" spans="2:4">
      <c r="B39" s="137"/>
      <c r="D39" s="136"/>
    </row>
    <row r="40" spans="2:4" ht="15" thickBot="1">
      <c r="D40" s="131">
        <f>SUM(D36:D39)</f>
        <v>0</v>
      </c>
    </row>
    <row r="41" spans="2:4" ht="15" thickTop="1"/>
    <row r="43" spans="2:4" ht="15">
      <c r="B43" s="21" t="s">
        <v>110</v>
      </c>
    </row>
    <row r="44" spans="2:4">
      <c r="B44" s="4" t="s">
        <v>0</v>
      </c>
      <c r="C44" s="4" t="s">
        <v>108</v>
      </c>
      <c r="D44" s="6" t="s">
        <v>109</v>
      </c>
    </row>
    <row r="45" spans="2:4">
      <c r="B45" s="137"/>
      <c r="D45" s="136"/>
    </row>
    <row r="46" spans="2:4">
      <c r="B46" s="137"/>
      <c r="D46" s="136"/>
    </row>
    <row r="47" spans="2:4">
      <c r="B47" s="137"/>
      <c r="D47" s="136"/>
    </row>
    <row r="48" spans="2:4">
      <c r="B48" s="137"/>
      <c r="D48" s="136"/>
    </row>
    <row r="49" spans="4:4" ht="15" thickBot="1">
      <c r="D49" s="131">
        <f>SUM(D45:D48)</f>
        <v>0</v>
      </c>
    </row>
    <row r="50" spans="4:4" ht="15" thickTop="1"/>
  </sheetData>
  <mergeCells count="7">
    <mergeCell ref="D5:E5"/>
    <mergeCell ref="F5:G5"/>
    <mergeCell ref="F2:G2"/>
    <mergeCell ref="D3:E3"/>
    <mergeCell ref="F3:G3"/>
    <mergeCell ref="D4:E4"/>
    <mergeCell ref="F4:G4"/>
  </mergeCells>
  <phoneticPr fontId="24" type="noConversion"/>
  <hyperlinks>
    <hyperlink ref="B21" r:id="rId1" xr:uid="{00000000-0004-0000-0500-000000000000}"/>
  </hyperlinks>
  <printOptions horizontalCentered="1"/>
  <pageMargins left="0.23622047244094491" right="0.23622047244094491" top="0.35" bottom="0.7" header="0.2" footer="0.51181102362204722"/>
  <pageSetup orientation="portrait" horizontalDpi="4294967293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64"/>
  <sheetViews>
    <sheetView tabSelected="1" topLeftCell="A10" workbookViewId="0">
      <selection activeCell="G30" sqref="G30"/>
    </sheetView>
  </sheetViews>
  <sheetFormatPr defaultRowHeight="14.25"/>
  <cols>
    <col min="1" max="1" width="5.7109375" style="4" customWidth="1"/>
    <col min="2" max="2" width="15.7109375" style="4" customWidth="1"/>
    <col min="3" max="3" width="36.140625" style="4" customWidth="1"/>
    <col min="4" max="4" width="8.5703125" style="4" customWidth="1"/>
    <col min="5" max="7" width="9.7109375" style="4" customWidth="1"/>
    <col min="8" max="8" width="10.7109375" style="4" customWidth="1"/>
    <col min="9" max="9" width="13" style="4" customWidth="1"/>
    <col min="10" max="10" width="31.28515625" style="4" customWidth="1"/>
    <col min="11" max="15" width="9.7109375" style="4" customWidth="1"/>
    <col min="16" max="16" width="10.140625" style="4" customWidth="1"/>
    <col min="17" max="17" width="9.140625" style="4"/>
    <col min="18" max="18" width="11.5703125" style="4" customWidth="1"/>
    <col min="19" max="16384" width="9.140625" style="4"/>
  </cols>
  <sheetData>
    <row r="1" spans="2:16" ht="61.5" customHeight="1">
      <c r="B1" s="5" t="s">
        <v>5</v>
      </c>
      <c r="D1" s="6"/>
      <c r="E1" s="6"/>
      <c r="F1" s="6"/>
      <c r="G1"/>
      <c r="H1" s="6"/>
      <c r="O1" s="7"/>
    </row>
    <row r="2" spans="2:16" s="8" customFormat="1" ht="30">
      <c r="B2" s="9" t="s">
        <v>6</v>
      </c>
      <c r="C2" s="143" t="s">
        <v>119</v>
      </c>
      <c r="D2" s="10" t="s">
        <v>7</v>
      </c>
      <c r="E2" s="11"/>
      <c r="F2" s="257" t="s">
        <v>120</v>
      </c>
      <c r="G2" s="258"/>
      <c r="H2" s="12"/>
    </row>
    <row r="3" spans="2:16" s="13" customFormat="1" ht="30" customHeight="1">
      <c r="B3" s="9" t="s">
        <v>8</v>
      </c>
      <c r="C3" s="144" t="s">
        <v>121</v>
      </c>
      <c r="D3" s="259" t="s">
        <v>9</v>
      </c>
      <c r="E3" s="260"/>
      <c r="F3" s="263">
        <v>45243</v>
      </c>
      <c r="G3" s="258"/>
      <c r="H3" s="14"/>
    </row>
    <row r="4" spans="2:16" s="13" customFormat="1" ht="30.75" customHeight="1">
      <c r="B4" s="9" t="s">
        <v>10</v>
      </c>
      <c r="C4" s="161">
        <v>45107</v>
      </c>
      <c r="D4" s="262" t="s">
        <v>11</v>
      </c>
      <c r="E4" s="260"/>
      <c r="F4" s="261">
        <f>'[1]Query Sheet'!F4</f>
        <v>0</v>
      </c>
      <c r="G4" s="258"/>
      <c r="H4" s="14"/>
    </row>
    <row r="5" spans="2:16" s="13" customFormat="1" ht="23.25" customHeight="1">
      <c r="B5" s="15"/>
      <c r="C5" s="16"/>
      <c r="D5" s="247"/>
      <c r="E5" s="248"/>
      <c r="F5" s="249"/>
      <c r="G5" s="250"/>
      <c r="H5" s="14"/>
    </row>
    <row r="6" spans="2:16" s="18" customFormat="1" ht="15">
      <c r="C6" s="13"/>
      <c r="D6" s="14"/>
      <c r="E6" s="19"/>
      <c r="F6" s="20"/>
      <c r="G6" s="20"/>
      <c r="H6" s="20"/>
    </row>
    <row r="7" spans="2:16" ht="15">
      <c r="B7" s="21" t="s">
        <v>12</v>
      </c>
      <c r="F7" s="6"/>
      <c r="G7" s="6"/>
      <c r="H7" s="6"/>
      <c r="I7" s="6"/>
      <c r="J7" s="21" t="s">
        <v>85</v>
      </c>
      <c r="K7" s="22" t="s">
        <v>92</v>
      </c>
      <c r="L7" s="6"/>
      <c r="M7" s="6"/>
      <c r="N7" s="6"/>
      <c r="O7" s="6"/>
      <c r="P7" s="6"/>
    </row>
    <row r="8" spans="2:16" ht="15">
      <c r="B8" s="21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5">
      <c r="B9" s="21" t="s">
        <v>2</v>
      </c>
      <c r="C9" s="21" t="s">
        <v>13</v>
      </c>
      <c r="D9" s="125" t="s">
        <v>162</v>
      </c>
      <c r="E9" s="125" t="s">
        <v>163</v>
      </c>
      <c r="F9" s="125" t="s">
        <v>164</v>
      </c>
      <c r="G9" s="125" t="s">
        <v>165</v>
      </c>
      <c r="H9" s="23" t="s">
        <v>14</v>
      </c>
      <c r="J9" s="4" t="s">
        <v>86</v>
      </c>
      <c r="K9" s="27">
        <f>H10</f>
        <v>364186</v>
      </c>
    </row>
    <row r="10" spans="2:16" ht="15">
      <c r="D10" s="6"/>
      <c r="E10" s="6"/>
      <c r="F10" s="6"/>
      <c r="G10" s="216">
        <f>8239+77425-825</f>
        <v>84839</v>
      </c>
      <c r="H10" s="24">
        <f>D11+E11+F11+G10</f>
        <v>364186</v>
      </c>
      <c r="J10" s="4" t="s">
        <v>87</v>
      </c>
      <c r="K10" s="27">
        <f>I28</f>
        <v>33107</v>
      </c>
    </row>
    <row r="11" spans="2:16" ht="15.75" thickBot="1">
      <c r="B11" s="4" t="s">
        <v>15</v>
      </c>
      <c r="C11" s="4" t="s">
        <v>16</v>
      </c>
      <c r="D11" s="122">
        <v>73098</v>
      </c>
      <c r="E11" s="122">
        <v>129670</v>
      </c>
      <c r="F11" s="122">
        <v>76579</v>
      </c>
      <c r="G11" s="122">
        <v>77425</v>
      </c>
      <c r="H11" s="26">
        <f>SUM(D11:G11)</f>
        <v>356772</v>
      </c>
      <c r="J11" s="4" t="s">
        <v>88</v>
      </c>
      <c r="K11" s="121">
        <f>K9-K10</f>
        <v>331079</v>
      </c>
    </row>
    <row r="12" spans="2:16" ht="15.75" thickTop="1">
      <c r="D12" s="25"/>
      <c r="E12" s="25"/>
      <c r="F12" s="25"/>
      <c r="G12" s="25"/>
      <c r="H12" s="26"/>
      <c r="K12" s="27"/>
    </row>
    <row r="13" spans="2:16" ht="15">
      <c r="B13" s="4" t="s">
        <v>17</v>
      </c>
      <c r="C13" s="4" t="s">
        <v>18</v>
      </c>
      <c r="D13" s="122"/>
      <c r="E13" s="122"/>
      <c r="F13" s="122"/>
      <c r="G13" s="122"/>
      <c r="H13" s="26">
        <f>SUM(D13:G13)</f>
        <v>0</v>
      </c>
      <c r="K13" s="27"/>
    </row>
    <row r="14" spans="2:16" ht="15">
      <c r="D14" s="25"/>
      <c r="E14" s="25"/>
      <c r="F14" s="25"/>
      <c r="G14" s="25"/>
      <c r="H14" s="26"/>
      <c r="J14" s="4" t="s">
        <v>89</v>
      </c>
      <c r="K14" s="27"/>
    </row>
    <row r="15" spans="2:16" ht="15">
      <c r="B15" s="4" t="s">
        <v>19</v>
      </c>
      <c r="C15" s="4" t="s">
        <v>20</v>
      </c>
      <c r="D15" s="122"/>
      <c r="E15" s="122"/>
      <c r="F15" s="122"/>
      <c r="G15" s="122"/>
      <c r="H15" s="26">
        <f>SUM(D15:G15)</f>
        <v>0</v>
      </c>
      <c r="J15" s="4" t="s">
        <v>130</v>
      </c>
      <c r="K15" s="27">
        <v>60053.63</v>
      </c>
    </row>
    <row r="16" spans="2:16" ht="15">
      <c r="D16" s="25"/>
      <c r="E16" s="25"/>
      <c r="F16" s="25"/>
      <c r="G16" s="25"/>
      <c r="H16" s="26"/>
      <c r="J16" s="4" t="s">
        <v>128</v>
      </c>
      <c r="K16" s="27">
        <f>'Barrel Sales'!E97</f>
        <v>248075</v>
      </c>
    </row>
    <row r="17" spans="2:11" ht="15">
      <c r="B17" s="4" t="s">
        <v>21</v>
      </c>
      <c r="C17" s="4" t="s">
        <v>22</v>
      </c>
      <c r="D17" s="122"/>
      <c r="E17" s="122"/>
      <c r="F17" s="122"/>
      <c r="G17" s="122"/>
      <c r="H17" s="26">
        <f>SUM(D17:G17)</f>
        <v>0</v>
      </c>
      <c r="J17" s="4" t="s">
        <v>179</v>
      </c>
      <c r="K17" s="27">
        <f>'Barrel Sales'!E102</f>
        <v>22950</v>
      </c>
    </row>
    <row r="18" spans="2:11" ht="15">
      <c r="D18" s="25"/>
      <c r="E18" s="25"/>
      <c r="F18" s="25"/>
      <c r="G18" s="25"/>
      <c r="H18" s="26"/>
      <c r="K18" s="27">
        <v>0</v>
      </c>
    </row>
    <row r="19" spans="2:11" ht="15.75" thickBot="1">
      <c r="B19" s="4" t="s">
        <v>23</v>
      </c>
      <c r="C19" s="4" t="s">
        <v>24</v>
      </c>
      <c r="D19" s="122"/>
      <c r="E19" s="122"/>
      <c r="F19" s="122"/>
      <c r="G19" s="122"/>
      <c r="H19" s="26">
        <f>SUM(D19:G19)</f>
        <v>0</v>
      </c>
      <c r="J19" s="4" t="s">
        <v>90</v>
      </c>
      <c r="K19" s="121">
        <f>SUM(K15:K18)</f>
        <v>331078.63</v>
      </c>
    </row>
    <row r="20" spans="2:11" ht="15.75" thickTop="1">
      <c r="D20" s="25"/>
      <c r="E20" s="25"/>
      <c r="F20" s="25"/>
      <c r="G20" s="25"/>
      <c r="H20" s="26"/>
      <c r="K20" s="27"/>
    </row>
    <row r="21" spans="2:11" ht="15">
      <c r="B21" s="4" t="s">
        <v>25</v>
      </c>
      <c r="C21" s="4" t="s">
        <v>26</v>
      </c>
      <c r="D21" s="122"/>
      <c r="E21" s="122"/>
      <c r="F21" s="122"/>
      <c r="G21" s="122"/>
      <c r="H21" s="26">
        <f>SUM(D21:G21)</f>
        <v>0</v>
      </c>
      <c r="J21" s="4" t="s">
        <v>91</v>
      </c>
      <c r="K21" s="27">
        <f>K11-K19</f>
        <v>0.36999999999534339</v>
      </c>
    </row>
    <row r="22" spans="2:11" ht="15">
      <c r="D22" s="25"/>
      <c r="E22" s="25"/>
      <c r="F22" s="25"/>
      <c r="G22" s="25"/>
      <c r="H22" s="26"/>
    </row>
    <row r="23" spans="2:11" ht="15">
      <c r="B23" s="4" t="s">
        <v>27</v>
      </c>
      <c r="C23" s="4" t="s">
        <v>28</v>
      </c>
      <c r="D23" s="122"/>
      <c r="E23" s="122"/>
      <c r="F23" s="122"/>
      <c r="G23" s="122"/>
      <c r="H23" s="26">
        <f>SUM(D23:G23)</f>
        <v>0</v>
      </c>
    </row>
    <row r="24" spans="2:11" ht="15">
      <c r="D24" s="25"/>
      <c r="E24" s="25"/>
      <c r="F24" s="25"/>
      <c r="G24" s="25"/>
      <c r="H24" s="26"/>
    </row>
    <row r="25" spans="2:11" ht="15">
      <c r="B25" s="4" t="s">
        <v>29</v>
      </c>
      <c r="C25" s="4" t="s">
        <v>30</v>
      </c>
      <c r="D25" s="122">
        <v>1876</v>
      </c>
      <c r="E25" s="122">
        <v>1876</v>
      </c>
      <c r="F25" s="122">
        <v>626</v>
      </c>
      <c r="G25" s="122">
        <v>1460</v>
      </c>
      <c r="H25" s="176">
        <f>SUM(D25:G25)</f>
        <v>5838</v>
      </c>
    </row>
    <row r="26" spans="2:11" ht="15">
      <c r="D26" s="25"/>
      <c r="E26" s="25"/>
      <c r="F26" s="25"/>
      <c r="G26" s="25"/>
      <c r="H26" s="26"/>
    </row>
    <row r="27" spans="2:11" ht="15">
      <c r="B27" s="4" t="s">
        <v>31</v>
      </c>
      <c r="C27" s="4" t="s">
        <v>32</v>
      </c>
      <c r="D27" s="122"/>
      <c r="E27" s="122"/>
      <c r="F27" s="122"/>
      <c r="G27" s="122"/>
      <c r="H27" s="26">
        <f>SUM(D27:G27)</f>
        <v>0</v>
      </c>
    </row>
    <row r="28" spans="2:11" ht="15">
      <c r="D28" s="25"/>
      <c r="E28" s="25"/>
      <c r="F28" s="25"/>
      <c r="G28" s="214">
        <f>G29+749</f>
        <v>7746</v>
      </c>
      <c r="H28" s="26"/>
      <c r="I28" s="4">
        <f>D29+E29+F29+G28</f>
        <v>33107</v>
      </c>
    </row>
    <row r="29" spans="2:11" ht="15">
      <c r="B29" s="4" t="s">
        <v>33</v>
      </c>
      <c r="C29" s="4" t="s">
        <v>34</v>
      </c>
      <c r="D29" s="122">
        <v>6637</v>
      </c>
      <c r="E29" s="122">
        <v>11778</v>
      </c>
      <c r="F29" s="122">
        <v>6946</v>
      </c>
      <c r="G29" s="122">
        <v>6997</v>
      </c>
      <c r="H29" s="26">
        <f>SUM(D29:G29)</f>
        <v>32358</v>
      </c>
      <c r="I29" s="4">
        <f>'GST Reconciliation'!H11</f>
        <v>33107.369999999995</v>
      </c>
      <c r="J29" s="4">
        <f>I29-H29</f>
        <v>749.36999999999534</v>
      </c>
    </row>
    <row r="30" spans="2:11" ht="15">
      <c r="D30" s="25"/>
      <c r="E30" s="25"/>
      <c r="F30" s="25"/>
      <c r="G30" s="215">
        <f>3439-2866</f>
        <v>573</v>
      </c>
      <c r="H30" s="26"/>
    </row>
    <row r="31" spans="2:11" ht="15">
      <c r="B31" s="4" t="s">
        <v>35</v>
      </c>
      <c r="C31" s="4" t="s">
        <v>36</v>
      </c>
      <c r="D31" s="122">
        <v>8703</v>
      </c>
      <c r="E31" s="122">
        <v>11075</v>
      </c>
      <c r="F31" s="122">
        <v>4538</v>
      </c>
      <c r="G31" s="122">
        <v>3439</v>
      </c>
      <c r="H31" s="26">
        <f>SUM(D31:G31)</f>
        <v>27755</v>
      </c>
      <c r="I31" s="4">
        <f>'GST Reconciliation'!G11</f>
        <v>24888.059999999998</v>
      </c>
      <c r="J31" s="4">
        <f>I31-H31</f>
        <v>-2866.9400000000023</v>
      </c>
    </row>
    <row r="32" spans="2:11" ht="15">
      <c r="D32" s="25"/>
      <c r="E32" s="25"/>
      <c r="F32" s="25"/>
      <c r="G32" s="25"/>
      <c r="H32" s="26"/>
    </row>
    <row r="33" spans="2:16" ht="15">
      <c r="C33" s="4" t="s">
        <v>93</v>
      </c>
      <c r="D33" s="122"/>
      <c r="E33" s="122"/>
      <c r="F33" s="122"/>
      <c r="G33" s="122"/>
      <c r="H33" s="26">
        <f>SUM(D33:G33)</f>
        <v>0</v>
      </c>
      <c r="J33" s="21">
        <f>J31-J29</f>
        <v>-3616.3099999999977</v>
      </c>
      <c r="K33" s="4" t="s">
        <v>251</v>
      </c>
    </row>
    <row r="34" spans="2:16" ht="15">
      <c r="D34" s="25"/>
      <c r="E34" s="25"/>
      <c r="F34" s="25"/>
      <c r="G34" s="25"/>
      <c r="H34" s="26"/>
    </row>
    <row r="35" spans="2:16" s="21" customFormat="1" ht="15">
      <c r="B35" s="28">
        <v>9</v>
      </c>
      <c r="C35" s="21" t="s">
        <v>37</v>
      </c>
      <c r="D35" s="26">
        <f>D29+D25+D27+D23-D31-D33</f>
        <v>-190</v>
      </c>
      <c r="E35" s="26">
        <f>E29+E25+E27+E23-E31-E33</f>
        <v>2579</v>
      </c>
      <c r="F35" s="26">
        <f>F29+F25+F27+F23-F31-F33</f>
        <v>3034</v>
      </c>
      <c r="G35" s="175">
        <f>G29+G25+G27+G23-G31-G33</f>
        <v>5018</v>
      </c>
      <c r="H35" s="26">
        <f>SUM(D35:G35)</f>
        <v>10441</v>
      </c>
      <c r="I35" s="21">
        <f>I29-I31</f>
        <v>8219.3099999999977</v>
      </c>
    </row>
    <row r="36" spans="2:16" ht="15">
      <c r="F36" s="6"/>
      <c r="G36" s="6"/>
      <c r="H36" s="6"/>
      <c r="I36" s="6"/>
      <c r="J36" s="6"/>
      <c r="K36" s="6"/>
      <c r="L36" s="6"/>
      <c r="M36" s="6"/>
      <c r="N36" s="6"/>
      <c r="O36" s="6"/>
      <c r="P36" s="24"/>
    </row>
    <row r="37" spans="2:16" ht="15">
      <c r="D37" s="6"/>
      <c r="E37" s="6"/>
      <c r="F37" s="200" t="s">
        <v>152</v>
      </c>
      <c r="G37" s="200"/>
      <c r="H37" s="201"/>
      <c r="I37" s="202"/>
      <c r="J37" s="199"/>
      <c r="L37" s="21"/>
    </row>
    <row r="38" spans="2:16" ht="15">
      <c r="D38" s="6"/>
      <c r="E38" s="6"/>
      <c r="F38" s="201"/>
      <c r="G38" s="201"/>
      <c r="H38" s="201"/>
      <c r="I38" s="202"/>
      <c r="J38" s="199"/>
      <c r="N38" s="21"/>
    </row>
    <row r="39" spans="2:16" ht="15">
      <c r="D39" s="6"/>
      <c r="E39" s="6"/>
      <c r="F39" s="201" t="s">
        <v>34</v>
      </c>
      <c r="G39" s="201"/>
      <c r="H39" s="201">
        <v>32358</v>
      </c>
      <c r="I39" s="202"/>
      <c r="J39" s="199"/>
      <c r="N39" s="21"/>
    </row>
    <row r="40" spans="2:16" ht="15">
      <c r="D40" s="6"/>
      <c r="E40" s="6"/>
      <c r="F40" s="201" t="s">
        <v>249</v>
      </c>
      <c r="G40" s="201"/>
      <c r="H40" s="203">
        <v>33107</v>
      </c>
      <c r="I40" s="202"/>
      <c r="J40" s="199"/>
      <c r="N40" s="21"/>
    </row>
    <row r="41" spans="2:16" ht="15">
      <c r="D41" s="6"/>
      <c r="E41" s="6"/>
      <c r="F41" s="201"/>
      <c r="G41" s="201"/>
      <c r="H41" s="201">
        <f>H40-H39</f>
        <v>749</v>
      </c>
      <c r="I41" s="202"/>
      <c r="J41" s="199"/>
      <c r="N41" s="21"/>
    </row>
    <row r="42" spans="2:16" ht="15">
      <c r="D42" s="6"/>
      <c r="E42" s="6"/>
      <c r="F42" s="201"/>
      <c r="G42" s="201"/>
      <c r="H42" s="201"/>
      <c r="I42" s="202"/>
      <c r="J42" s="199"/>
      <c r="N42" s="21"/>
    </row>
    <row r="43" spans="2:16" ht="15">
      <c r="D43" s="6"/>
      <c r="E43" s="6"/>
      <c r="F43" s="201" t="s">
        <v>228</v>
      </c>
      <c r="G43" s="201"/>
      <c r="H43" s="201">
        <v>27755</v>
      </c>
      <c r="I43" s="202"/>
      <c r="J43" s="199"/>
      <c r="P43" s="21"/>
    </row>
    <row r="44" spans="2:16" ht="15">
      <c r="D44" s="6"/>
      <c r="E44" s="6"/>
      <c r="F44" s="201" t="s">
        <v>250</v>
      </c>
      <c r="G44" s="201"/>
      <c r="H44" s="203">
        <v>24888.66</v>
      </c>
      <c r="I44" s="202"/>
      <c r="J44" s="199"/>
      <c r="P44" s="21"/>
    </row>
    <row r="45" spans="2:16" ht="15">
      <c r="D45" s="6"/>
      <c r="E45" s="6"/>
      <c r="F45" s="201"/>
      <c r="G45" s="201"/>
      <c r="H45" s="201">
        <f>H43-H44</f>
        <v>2866.34</v>
      </c>
      <c r="I45" s="202"/>
      <c r="J45" s="199"/>
      <c r="P45" s="21"/>
    </row>
    <row r="46" spans="2:16" ht="15">
      <c r="D46" s="6"/>
      <c r="E46" s="6"/>
      <c r="F46" s="201"/>
      <c r="G46" s="201"/>
      <c r="H46" s="201"/>
      <c r="I46" s="202"/>
      <c r="J46" s="199"/>
      <c r="P46" s="21"/>
    </row>
    <row r="47" spans="2:16" ht="15">
      <c r="D47" s="6"/>
      <c r="E47" s="6"/>
      <c r="F47" s="201" t="s">
        <v>231</v>
      </c>
      <c r="G47" s="201"/>
      <c r="H47" s="201">
        <f>H45+H41</f>
        <v>3615.34</v>
      </c>
      <c r="I47" s="202" t="s">
        <v>251</v>
      </c>
      <c r="J47" s="199"/>
      <c r="P47" s="21"/>
    </row>
    <row r="48" spans="2:16" ht="15">
      <c r="D48" s="6"/>
      <c r="E48" s="6"/>
      <c r="F48" s="198"/>
      <c r="G48" s="198"/>
      <c r="H48" s="198"/>
      <c r="I48" s="199"/>
      <c r="J48" s="199"/>
      <c r="P48" s="21"/>
    </row>
    <row r="49" spans="4:16" ht="15">
      <c r="D49" s="6"/>
      <c r="E49" s="6"/>
      <c r="F49" s="6"/>
      <c r="G49" s="6"/>
      <c r="H49" s="6"/>
      <c r="P49" s="21"/>
    </row>
    <row r="50" spans="4:16" ht="15">
      <c r="D50" s="6"/>
      <c r="E50" s="6"/>
      <c r="F50" s="6"/>
      <c r="G50" s="6"/>
      <c r="H50" s="6"/>
      <c r="P50" s="21"/>
    </row>
    <row r="51" spans="4:16" ht="15">
      <c r="D51" s="6"/>
      <c r="E51" s="6"/>
      <c r="F51" s="6"/>
      <c r="G51" s="6"/>
      <c r="H51" s="6"/>
      <c r="P51" s="21"/>
    </row>
    <row r="52" spans="4:16" ht="15">
      <c r="D52" s="6"/>
      <c r="E52" s="6"/>
      <c r="F52" s="6"/>
      <c r="G52" s="6"/>
      <c r="H52" s="6"/>
      <c r="P52" s="21"/>
    </row>
    <row r="53" spans="4:16" ht="15">
      <c r="D53" s="6"/>
      <c r="E53" s="6"/>
      <c r="F53" s="6"/>
      <c r="G53" s="6"/>
      <c r="H53" s="6"/>
      <c r="P53" s="21"/>
    </row>
    <row r="54" spans="4:16" ht="15">
      <c r="P54" s="21"/>
    </row>
    <row r="55" spans="4:16" ht="15">
      <c r="P55" s="21"/>
    </row>
    <row r="56" spans="4:16" ht="15">
      <c r="P56" s="21"/>
    </row>
    <row r="57" spans="4:16" ht="15">
      <c r="P57" s="21"/>
    </row>
    <row r="58" spans="4:16" ht="15">
      <c r="P58" s="21"/>
    </row>
    <row r="59" spans="4:16" ht="15">
      <c r="P59" s="21"/>
    </row>
    <row r="60" spans="4:16" ht="15">
      <c r="P60" s="21"/>
    </row>
    <row r="61" spans="4:16" ht="15">
      <c r="P61" s="21"/>
    </row>
    <row r="62" spans="4:16" ht="15">
      <c r="P62" s="21"/>
    </row>
    <row r="63" spans="4:16" ht="15">
      <c r="P63" s="21"/>
    </row>
    <row r="64" spans="4:16" ht="15">
      <c r="P64" s="21"/>
    </row>
  </sheetData>
  <mergeCells count="7">
    <mergeCell ref="D5:E5"/>
    <mergeCell ref="F5:G5"/>
    <mergeCell ref="F2:G2"/>
    <mergeCell ref="D3:E3"/>
    <mergeCell ref="F3:G3"/>
    <mergeCell ref="D4:E4"/>
    <mergeCell ref="F4:G4"/>
  </mergeCells>
  <pageMargins left="0.7" right="0.7" top="0.75" bottom="0.75" header="0.3" footer="0.3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3C3C-78E6-4713-ACCD-4DC1E3508251}">
  <dimension ref="C5:C20"/>
  <sheetViews>
    <sheetView topLeftCell="A4" workbookViewId="0">
      <selection activeCell="C19" sqref="C19"/>
    </sheetView>
  </sheetViews>
  <sheetFormatPr defaultRowHeight="12.75"/>
  <cols>
    <col min="3" max="3" width="18.7109375" bestFit="1" customWidth="1"/>
  </cols>
  <sheetData>
    <row r="5" spans="3:3">
      <c r="C5" s="172" t="s">
        <v>124</v>
      </c>
    </row>
    <row r="6" spans="3:3">
      <c r="C6" s="172">
        <v>989215694</v>
      </c>
    </row>
    <row r="7" spans="3:3">
      <c r="C7" s="162">
        <v>25.36</v>
      </c>
    </row>
    <row r="8" spans="3:3">
      <c r="C8" s="162">
        <v>48.31</v>
      </c>
    </row>
    <row r="9" spans="3:3">
      <c r="C9" s="162">
        <v>17.940000000000001</v>
      </c>
    </row>
    <row r="10" spans="3:3">
      <c r="C10" s="162">
        <v>17.16</v>
      </c>
    </row>
    <row r="11" spans="3:3">
      <c r="C11" s="162">
        <v>47.27</v>
      </c>
    </row>
    <row r="12" spans="3:3">
      <c r="C12" s="162">
        <v>53.5</v>
      </c>
    </row>
    <row r="13" spans="3:3">
      <c r="C13" s="162">
        <v>59.97</v>
      </c>
    </row>
    <row r="14" spans="3:3">
      <c r="C14" s="162">
        <v>49.91</v>
      </c>
    </row>
    <row r="15" spans="3:3">
      <c r="C15" s="162">
        <v>59.14</v>
      </c>
    </row>
    <row r="16" spans="3:3">
      <c r="C16" s="162">
        <v>52.14</v>
      </c>
    </row>
    <row r="17" spans="3:3">
      <c r="C17" s="162">
        <v>86.32</v>
      </c>
    </row>
    <row r="18" spans="3:3">
      <c r="C18" s="162">
        <v>319.04000000000002</v>
      </c>
    </row>
    <row r="19" spans="3:3" ht="13.5" thickBot="1">
      <c r="C19" s="182">
        <f>SUM(C7:C18)</f>
        <v>836.06</v>
      </c>
    </row>
    <row r="20" spans="3:3" ht="13.5" thickTop="1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Job Summary</vt:lpstr>
      <vt:lpstr>Query Sheet</vt:lpstr>
      <vt:lpstr>Review Sheet</vt:lpstr>
      <vt:lpstr>Tax reconciliation</vt:lpstr>
      <vt:lpstr>Journals</vt:lpstr>
      <vt:lpstr>Super Contributions</vt:lpstr>
      <vt:lpstr>SBE Depn</vt:lpstr>
      <vt:lpstr>DGZ Summary (Qtrly)</vt:lpstr>
      <vt:lpstr>Interest Received</vt:lpstr>
      <vt:lpstr>Interest Paid</vt:lpstr>
      <vt:lpstr>Rental Income</vt:lpstr>
      <vt:lpstr>Barrel Sales</vt:lpstr>
      <vt:lpstr>Barrel Purchases</vt:lpstr>
      <vt:lpstr>Expenses</vt:lpstr>
      <vt:lpstr>Rental Expenses</vt:lpstr>
      <vt:lpstr>Capital Gain Calculation</vt:lpstr>
      <vt:lpstr>GST Reconciliation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Hull</dc:creator>
  <cp:lastModifiedBy>Miranda Exelby</cp:lastModifiedBy>
  <cp:lastPrinted>2023-11-16T02:55:31Z</cp:lastPrinted>
  <dcterms:created xsi:type="dcterms:W3CDTF">2007-07-10T00:47:50Z</dcterms:created>
  <dcterms:modified xsi:type="dcterms:W3CDTF">2023-11-17T05:07:09Z</dcterms:modified>
</cp:coreProperties>
</file>