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A/ASHI/2023/Workpapers/"/>
    </mc:Choice>
  </mc:AlternateContent>
  <xr:revisionPtr revIDLastSave="1212" documentId="8_{7DABB9F9-DAC7-48AF-95BF-A766060AAE59}" xr6:coauthVersionLast="47" xr6:coauthVersionMax="47" xr10:uidLastSave="{669E0B8C-2CA2-4E23-B907-D1C597DA2EC0}"/>
  <bookViews>
    <workbookView xWindow="-28920" yWindow="-2070" windowWidth="29040" windowHeight="15720" tabRatio="781" activeTab="2" xr2:uid="{306213DB-740E-49D0-A494-BE82EF870239}"/>
  </bookViews>
  <sheets>
    <sheet name="Index" sheetId="2" r:id="rId1"/>
    <sheet name="Invoicing" sheetId="19" r:id="rId2"/>
    <sheet name="Min Pension" sheetId="3" r:id="rId3"/>
    <sheet name="PAYG &amp; GST Instal" sheetId="4" r:id="rId4"/>
    <sheet name="GST Rec" sheetId="10" state="hidden" r:id="rId5"/>
    <sheet name="Bank Balance" sheetId="17" state="hidden" r:id="rId6"/>
    <sheet name="Investment Recon - BT" sheetId="8" r:id="rId7"/>
    <sheet name="Investment Recon - Other" sheetId="16" state="hidden" r:id="rId8"/>
    <sheet name="Related UT " sheetId="14" state="hidden" r:id="rId9"/>
    <sheet name="Property Valn" sheetId="12" state="hidden" r:id="rId10"/>
    <sheet name="Debtors" sheetId="13" r:id="rId11"/>
    <sheet name="Creditors" sheetId="11" state="hidden" r:id="rId12"/>
    <sheet name="Distbn Income " sheetId="7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3" l="1"/>
  <c r="M13" i="13"/>
  <c r="M14" i="13"/>
  <c r="K26" i="7"/>
  <c r="H38" i="7"/>
  <c r="K23" i="7"/>
  <c r="H26" i="7"/>
  <c r="E33" i="7"/>
  <c r="K19" i="7"/>
  <c r="D43" i="7"/>
  <c r="D40" i="7"/>
  <c r="F13" i="8"/>
  <c r="G44" i="8"/>
  <c r="G39" i="8"/>
  <c r="G36" i="8"/>
  <c r="G35" i="8"/>
  <c r="G34" i="8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50" i="8"/>
  <c r="E50" i="8"/>
  <c r="G49" i="8"/>
  <c r="G48" i="8"/>
  <c r="G47" i="8"/>
  <c r="G46" i="8"/>
  <c r="G45" i="8"/>
  <c r="G43" i="8"/>
  <c r="G42" i="8"/>
  <c r="G41" i="8"/>
  <c r="G40" i="8"/>
  <c r="G38" i="8"/>
  <c r="G37" i="8"/>
  <c r="G33" i="8"/>
  <c r="G32" i="8"/>
  <c r="G31" i="8"/>
  <c r="G30" i="8"/>
  <c r="G29" i="8"/>
  <c r="G28" i="8"/>
  <c r="G27" i="8"/>
  <c r="G26" i="8"/>
  <c r="G25" i="8"/>
  <c r="G24" i="8"/>
  <c r="G23" i="8"/>
  <c r="G50" i="8" l="1"/>
  <c r="F14" i="8" s="1"/>
  <c r="I13" i="8"/>
  <c r="D32" i="7" l="1"/>
  <c r="G43" i="7"/>
  <c r="F43" i="7"/>
  <c r="G40" i="7"/>
  <c r="F40" i="7"/>
  <c r="H37" i="7"/>
  <c r="E36" i="7"/>
  <c r="H36" i="7" s="1"/>
  <c r="H35" i="7"/>
  <c r="H33" i="7"/>
  <c r="H31" i="7"/>
  <c r="H30" i="7"/>
  <c r="L29" i="7"/>
  <c r="H29" i="7"/>
  <c r="H28" i="7"/>
  <c r="H27" i="7"/>
  <c r="K18" i="7" s="1"/>
  <c r="M18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K27" i="7" l="1"/>
  <c r="M27" i="7" s="1"/>
  <c r="K15" i="7"/>
  <c r="M15" i="7" s="1"/>
  <c r="M26" i="7"/>
  <c r="H40" i="7"/>
  <c r="K14" i="7" s="1"/>
  <c r="M14" i="7" s="1"/>
  <c r="K21" i="7"/>
  <c r="M21" i="7" s="1"/>
  <c r="G44" i="7"/>
  <c r="K17" i="7"/>
  <c r="M17" i="7" s="1"/>
  <c r="F44" i="7"/>
  <c r="E43" i="7"/>
  <c r="E44" i="7" s="1"/>
  <c r="M23" i="7"/>
  <c r="K22" i="7"/>
  <c r="M22" i="7" s="1"/>
  <c r="H32" i="7"/>
  <c r="K16" i="7"/>
  <c r="M16" i="7" s="1"/>
  <c r="K20" i="7"/>
  <c r="M20" i="7" s="1"/>
  <c r="M19" i="7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4" i="5"/>
  <c r="G22" i="5" l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<sst xmlns="http://schemas.openxmlformats.org/spreadsheetml/2006/main" count="802" uniqueCount="466">
  <si>
    <t>Client</t>
  </si>
  <si>
    <t>ASHBROOK SUPERANNUATION FUND</t>
  </si>
  <si>
    <t>Initials</t>
  </si>
  <si>
    <t>Date</t>
  </si>
  <si>
    <t>Client Code</t>
  </si>
  <si>
    <t>ASHI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</si>
  <si>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</si>
  <si>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</si>
  <si>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</si>
  <si>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</si>
  <si>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</si>
  <si>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</si>
  <si>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</si>
  <si>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</si>
  <si>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</si>
  <si>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</si>
  <si>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</si>
  <si>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</si>
  <si>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</si>
  <si>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</si>
  <si>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</si>
  <si>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</si>
  <si>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</si>
  <si>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</si>
  <si>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</si>
  <si>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</si>
  <si>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</si>
  <si>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</si>
  <si>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</si>
  <si>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</si>
  <si>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</si>
  <si>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</si>
  <si>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</si>
  <si>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</si>
  <si>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</si>
  <si>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</si>
  <si>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</si>
  <si>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</si>
  <si>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</si>
  <si>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</si>
  <si>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</si>
  <si>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</si>
  <si>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</si>
  <si>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</si>
  <si>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</si>
  <si>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</si>
  <si>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</si>
  <si>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</si>
  <si>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</si>
  <si>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</si>
  <si>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</si>
  <si>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</si>
  <si>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</si>
  <si>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</si>
  <si>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</si>
  <si>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</si>
  <si>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</si>
  <si>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</si>
  <si>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</si>
  <si>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</si>
  <si>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</si>
  <si>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</si>
  <si>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</si>
  <si>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</si>
  <si>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</si>
  <si>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</si>
  <si>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</si>
  <si>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</si>
  <si>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</si>
  <si>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</si>
  <si>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</si>
  <si>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</si>
  <si>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</si>
  <si>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</si>
  <si>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</si>
  <si>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</si>
  <si>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</si>
  <si>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</si>
  <si>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</si>
  <si>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</si>
  <si>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</si>
  <si>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</si>
  <si>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</si>
  <si>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</t>
  </si>
  <si>
    <t>Financial Statement Preparation - split for GST if applic</t>
  </si>
  <si>
    <t>No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</si>
  <si>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</si>
  <si>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</si>
  <si>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</si>
  <si>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</si>
  <si>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</si>
  <si>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</si>
  <si>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</si>
  <si>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</si>
  <si>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</si>
  <si>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</si>
  <si>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</si>
  <si>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</si>
  <si>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</si>
  <si>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</si>
  <si>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</si>
  <si>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</si>
  <si>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</si>
  <si>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</si>
  <si>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</si>
  <si>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</si>
  <si>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</si>
  <si>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</si>
  <si>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</si>
  <si>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</si>
  <si>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</si>
  <si>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</si>
  <si>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</si>
  <si>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</si>
  <si>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</si>
  <si>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Ian Ashbrook</t>
  </si>
  <si>
    <t>Carolyn Ashbrook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</si>
  <si>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</si>
  <si>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</si>
  <si>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</si>
  <si>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</si>
  <si>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</si>
  <si>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</si>
  <si>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</si>
  <si>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</si>
  <si>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</si>
  <si>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</si>
  <si>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</si>
  <si>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</si>
  <si>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</si>
  <si>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</si>
  <si>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</si>
  <si>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</si>
  <si>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</si>
  <si>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</si>
  <si>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</si>
  <si>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</si>
  <si>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</si>
  <si>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</si>
  <si>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</si>
  <si>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</si>
  <si>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</si>
  <si>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</si>
  <si>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</si>
  <si>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</si>
  <si>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</si>
  <si>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</si>
  <si>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</si>
  <si>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</si>
  <si>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</si>
  <si>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</si>
  <si>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</si>
  <si>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</si>
  <si>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</si>
  <si>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</si>
  <si>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</si>
  <si>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</si>
  <si>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</si>
  <si>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</si>
  <si>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</si>
  <si>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</si>
  <si>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</si>
  <si>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</si>
  <si>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</si>
  <si>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</si>
  <si>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</si>
  <si>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</si>
  <si>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</si>
  <si>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</si>
  <si>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</si>
  <si>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</si>
  <si>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</si>
  <si>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</si>
  <si>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</si>
  <si>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</si>
  <si>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</si>
  <si>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</si>
  <si>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</si>
  <si>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</si>
  <si>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</si>
  <si>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</si>
  <si>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</si>
  <si>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</si>
  <si>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</si>
  <si>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</si>
  <si>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</si>
  <si>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</si>
  <si>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</si>
  <si>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</si>
  <si>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</si>
  <si>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</si>
  <si>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</si>
  <si>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</si>
  <si>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</si>
  <si>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</si>
  <si>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</si>
  <si>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</si>
  <si>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</si>
  <si>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</si>
  <si>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</si>
  <si>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</si>
  <si>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</si>
  <si>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</si>
  <si>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</si>
  <si>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</si>
  <si>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</si>
  <si>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</si>
  <si>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</si>
  <si>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</si>
  <si>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</si>
  <si>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</si>
  <si>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</si>
  <si>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</si>
  <si>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</si>
  <si>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</si>
  <si>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</si>
  <si>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</si>
  <si>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</si>
  <si>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</si>
  <si>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</si>
  <si>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</si>
  <si>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</si>
  <si>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MAQ0464AU - Arrowstreet Global</t>
  </si>
  <si>
    <t>MAQ0842AU - Charter Hall DOF</t>
  </si>
  <si>
    <t>MAQ0854AU - Charter Hall Industrial</t>
  </si>
  <si>
    <t>MGE0001 - Magellan Global</t>
  </si>
  <si>
    <t>MGE0002 - Magellan Infrastructure</t>
  </si>
  <si>
    <t>MGL0004AU - Ironbark Royal</t>
  </si>
  <si>
    <t>MIA0001 - MFS Global Equity</t>
  </si>
  <si>
    <t>OPS0002 - OC Premium Small</t>
  </si>
  <si>
    <t>PER0116 - Perpetual Wsale Ethical</t>
  </si>
  <si>
    <t>PER0260 - Perpetual Wsale Diversified</t>
  </si>
  <si>
    <t>PIM0028AU - DNR Capital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</si>
  <si>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</si>
  <si>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</si>
  <si>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</si>
  <si>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</si>
  <si>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</si>
  <si>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</si>
  <si>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</si>
  <si>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</si>
  <si>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</si>
  <si>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</si>
  <si>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</si>
  <si>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</si>
  <si>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</si>
  <si>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</si>
  <si>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</si>
  <si>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</si>
  <si>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</si>
  <si>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</si>
  <si>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</si>
  <si>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</si>
  <si>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</si>
  <si>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</si>
  <si>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</si>
  <si>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</si>
  <si>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</si>
  <si>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</si>
  <si>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</si>
  <si>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</si>
  <si>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</si>
  <si>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</si>
  <si>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</si>
  <si>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</si>
  <si>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</si>
  <si>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</si>
  <si>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</si>
  <si>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</si>
  <si>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</si>
  <si>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</si>
  <si>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</si>
  <si>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</si>
  <si>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</si>
  <si>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</si>
  <si>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</si>
  <si>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</si>
  <si>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</si>
  <si>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</si>
  <si>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t>Holding</t>
  </si>
  <si>
    <t>BT Report</t>
  </si>
  <si>
    <t>Received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</si>
  <si>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</si>
  <si>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MGE001AU</t>
  </si>
  <si>
    <t>MGE002AU</t>
  </si>
  <si>
    <t>This should match the finanical statements</t>
  </si>
  <si>
    <t>Non-Cash Attribution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</si>
  <si>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</si>
  <si>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</si>
  <si>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</si>
  <si>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</si>
  <si>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</si>
  <si>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</si>
  <si>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</si>
  <si>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</si>
  <si>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PLA0002AU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</si>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</sst>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8D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9</xdr:col>
      <xdr:colOff>723900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workbookViewId="0">
      <selection activeCell="E23" sqref="E23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45188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45190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6" t="s">
        <v>15</v>
      </c>
      <c r="G7" s="327"/>
      <c r="H7" s="328"/>
    </row>
    <row r="8" spans="1:9" ht="20.100000000000001" customHeight="1">
      <c r="A8" s="329" t="s">
        <v>16</v>
      </c>
      <c r="B8" s="330"/>
      <c r="C8" s="331"/>
      <c r="D8" s="221"/>
      <c r="E8" s="10" t="s">
        <v>17</v>
      </c>
      <c r="F8" s="323"/>
      <c r="G8" s="324"/>
      <c r="H8" s="325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3"/>
      <c r="G9" s="324"/>
      <c r="H9" s="325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3"/>
      <c r="G10" s="324"/>
      <c r="H10" s="325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3"/>
      <c r="G11" s="324"/>
      <c r="H11" s="325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3"/>
      <c r="G12" s="324"/>
      <c r="H12" s="325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3"/>
      <c r="G13" s="324"/>
      <c r="H13" s="325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3"/>
      <c r="G14" s="324"/>
      <c r="H14" s="325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3"/>
      <c r="G15" s="324"/>
      <c r="H15" s="325"/>
    </row>
    <row r="16" spans="1:9" ht="20.100000000000001" customHeight="1">
      <c r="A16" s="15"/>
      <c r="B16" s="316">
        <v>8</v>
      </c>
      <c r="C16" s="12" t="s">
        <v>25</v>
      </c>
      <c r="D16" s="221"/>
      <c r="E16" s="10"/>
      <c r="F16" s="323" t="s">
        <v>26</v>
      </c>
      <c r="G16" s="324"/>
      <c r="H16" s="325"/>
    </row>
    <row r="17" spans="1:10" ht="20.100000000000001" customHeight="1">
      <c r="A17" s="15"/>
      <c r="B17" s="315">
        <v>9</v>
      </c>
      <c r="C17" s="12" t="s">
        <v>27</v>
      </c>
      <c r="D17" s="221"/>
      <c r="E17" s="10" t="s">
        <v>17</v>
      </c>
      <c r="F17" s="323"/>
      <c r="G17" s="324"/>
      <c r="H17" s="325"/>
    </row>
    <row r="18" spans="1:10" ht="20.100000000000001" customHeight="1">
      <c r="A18" s="320" t="s">
        <v>28</v>
      </c>
      <c r="B18" s="321"/>
      <c r="C18" s="322"/>
      <c r="D18" s="221"/>
      <c r="E18" s="17"/>
      <c r="F18" s="323"/>
      <c r="G18" s="324"/>
      <c r="H18" s="325"/>
      <c r="J18" s="18"/>
    </row>
    <row r="19" spans="1:10" ht="20.100000000000001" customHeight="1">
      <c r="A19" s="19">
        <v>2</v>
      </c>
      <c r="B19" s="20" t="s">
        <v>29</v>
      </c>
      <c r="C19" s="21"/>
      <c r="D19" s="221"/>
      <c r="E19" s="17"/>
      <c r="F19" s="323"/>
      <c r="G19" s="324"/>
      <c r="H19" s="325"/>
    </row>
    <row r="20" spans="1:10" ht="20.100000000000001" customHeight="1">
      <c r="A20" s="22"/>
      <c r="B20" s="23"/>
      <c r="C20" s="24" t="s">
        <v>30</v>
      </c>
      <c r="D20" s="221"/>
      <c r="E20" s="10" t="s">
        <v>17</v>
      </c>
      <c r="F20" s="323"/>
      <c r="G20" s="324"/>
      <c r="H20" s="325"/>
    </row>
    <row r="21" spans="1:10" ht="20.100000000000001" customHeight="1">
      <c r="A21" s="22"/>
      <c r="B21" s="23"/>
      <c r="C21" s="24" t="s">
        <v>31</v>
      </c>
      <c r="D21" s="221"/>
      <c r="E21" s="10" t="s">
        <v>17</v>
      </c>
      <c r="F21" s="323"/>
      <c r="G21" s="324"/>
      <c r="H21" s="325"/>
    </row>
    <row r="22" spans="1:10" ht="20.100000000000001" customHeight="1">
      <c r="A22" s="11"/>
      <c r="B22" s="25"/>
      <c r="C22" s="14" t="s">
        <v>32</v>
      </c>
      <c r="D22" s="221"/>
      <c r="E22" s="10" t="s">
        <v>17</v>
      </c>
      <c r="F22" s="323"/>
      <c r="G22" s="324"/>
      <c r="H22" s="325"/>
    </row>
    <row r="23" spans="1:10" ht="20.100000000000001" customHeight="1">
      <c r="A23" s="11"/>
      <c r="B23" s="26"/>
      <c r="C23" s="14" t="s">
        <v>33</v>
      </c>
      <c r="D23" s="222" t="s">
        <v>34</v>
      </c>
      <c r="E23" s="10"/>
      <c r="F23" s="323"/>
      <c r="G23" s="324"/>
      <c r="H23" s="325"/>
    </row>
    <row r="24" spans="1:10" ht="20.100000000000001" customHeight="1">
      <c r="A24" s="19">
        <v>3</v>
      </c>
      <c r="B24" s="27" t="s">
        <v>35</v>
      </c>
      <c r="C24" s="21"/>
      <c r="D24" s="221"/>
      <c r="E24" s="17"/>
      <c r="F24" s="323"/>
      <c r="G24" s="324"/>
      <c r="H24" s="325"/>
    </row>
    <row r="25" spans="1:10" ht="20.100000000000001" customHeight="1">
      <c r="A25" s="11"/>
      <c r="B25" s="28"/>
      <c r="C25" s="14" t="s">
        <v>36</v>
      </c>
      <c r="D25" s="269" t="s">
        <v>34</v>
      </c>
      <c r="E25" s="10" t="s">
        <v>17</v>
      </c>
      <c r="F25" s="323"/>
      <c r="G25" s="324"/>
      <c r="H25" s="325"/>
    </row>
    <row r="26" spans="1:10" ht="20.100000000000001" customHeight="1">
      <c r="A26" s="19">
        <v>4</v>
      </c>
      <c r="B26" s="27" t="s">
        <v>37</v>
      </c>
      <c r="C26" s="27"/>
      <c r="D26" s="221"/>
      <c r="E26" s="10"/>
      <c r="F26" s="323"/>
      <c r="G26" s="324"/>
      <c r="H26" s="325"/>
    </row>
    <row r="27" spans="1:10" ht="20.100000000000001" customHeight="1">
      <c r="A27" s="22"/>
      <c r="B27" s="23"/>
      <c r="C27" s="24" t="s">
        <v>38</v>
      </c>
      <c r="D27" s="222" t="s">
        <v>34</v>
      </c>
      <c r="E27" s="10"/>
      <c r="F27" s="323"/>
      <c r="G27" s="324"/>
      <c r="H27" s="325"/>
    </row>
    <row r="28" spans="1:10" ht="20.100000000000001" customHeight="1">
      <c r="A28" s="11"/>
      <c r="B28" s="25"/>
      <c r="C28" s="14" t="s">
        <v>39</v>
      </c>
      <c r="D28" s="222" t="s">
        <v>34</v>
      </c>
      <c r="E28" s="10" t="s">
        <v>17</v>
      </c>
      <c r="F28" s="323"/>
      <c r="G28" s="324"/>
      <c r="H28" s="325"/>
    </row>
    <row r="29" spans="1:10" ht="20.100000000000001" customHeight="1">
      <c r="A29" s="11"/>
      <c r="B29" s="26"/>
      <c r="C29" s="14" t="s">
        <v>40</v>
      </c>
      <c r="D29" s="222" t="s">
        <v>34</v>
      </c>
      <c r="E29" s="10"/>
      <c r="F29" s="323"/>
      <c r="G29" s="324"/>
      <c r="H29" s="325"/>
    </row>
    <row r="30" spans="1:10" ht="20.100000000000001" customHeight="1">
      <c r="A30" s="11"/>
      <c r="B30" s="26"/>
      <c r="C30" s="14" t="s">
        <v>41</v>
      </c>
      <c r="D30" s="222" t="s">
        <v>34</v>
      </c>
      <c r="E30" s="10"/>
      <c r="F30" s="323"/>
      <c r="G30" s="324"/>
      <c r="H30" s="325"/>
    </row>
    <row r="31" spans="1:10" ht="20.100000000000001" customHeight="1">
      <c r="A31" s="11"/>
      <c r="B31" s="26"/>
      <c r="C31" s="14" t="s">
        <v>42</v>
      </c>
      <c r="D31" s="222" t="s">
        <v>34</v>
      </c>
      <c r="E31" s="10"/>
      <c r="F31" s="323"/>
      <c r="G31" s="324"/>
      <c r="H31" s="325"/>
    </row>
    <row r="32" spans="1:10" ht="20.100000000000001" customHeight="1">
      <c r="A32" s="19">
        <v>5</v>
      </c>
      <c r="B32" s="27" t="s">
        <v>43</v>
      </c>
      <c r="C32" s="27"/>
      <c r="D32" s="221"/>
      <c r="E32" s="10"/>
      <c r="F32" s="323"/>
      <c r="G32" s="324"/>
      <c r="H32" s="325"/>
    </row>
    <row r="33" spans="1:8" ht="20.100000000000001" customHeight="1">
      <c r="A33" s="22"/>
      <c r="B33" s="28"/>
      <c r="C33" s="14" t="s">
        <v>44</v>
      </c>
      <c r="D33" s="221"/>
      <c r="E33" s="10" t="s">
        <v>17</v>
      </c>
      <c r="F33" s="323"/>
      <c r="G33" s="324"/>
      <c r="H33" s="325"/>
    </row>
    <row r="34" spans="1:8" ht="20.100000000000001" customHeight="1">
      <c r="A34" s="11"/>
      <c r="B34" s="28"/>
      <c r="C34" s="14" t="s">
        <v>45</v>
      </c>
      <c r="D34" s="222" t="s">
        <v>34</v>
      </c>
      <c r="E34" s="10" t="s">
        <v>17</v>
      </c>
      <c r="F34" s="323"/>
      <c r="G34" s="324"/>
      <c r="H34" s="325"/>
    </row>
    <row r="35" spans="1:8" ht="20.100000000000001" customHeight="1">
      <c r="A35" s="11"/>
      <c r="B35" s="28"/>
      <c r="C35" s="14" t="s">
        <v>46</v>
      </c>
      <c r="D35" s="221"/>
      <c r="E35" s="17"/>
      <c r="F35" s="323"/>
      <c r="G35" s="324"/>
      <c r="H35" s="325"/>
    </row>
    <row r="36" spans="1:8" ht="20.100000000000001" customHeight="1">
      <c r="A36" s="11"/>
      <c r="B36" s="28"/>
      <c r="C36" s="14" t="s">
        <v>47</v>
      </c>
      <c r="D36" s="222" t="s">
        <v>34</v>
      </c>
      <c r="E36" s="10" t="s">
        <v>17</v>
      </c>
      <c r="F36" s="323"/>
      <c r="G36" s="324"/>
      <c r="H36" s="325"/>
    </row>
    <row r="37" spans="1:8" ht="20.100000000000001" customHeight="1">
      <c r="A37" s="11"/>
      <c r="B37" s="28"/>
      <c r="C37" s="14" t="s">
        <v>48</v>
      </c>
      <c r="D37" s="221"/>
      <c r="E37" s="10"/>
      <c r="F37" s="323"/>
      <c r="G37" s="324"/>
      <c r="H37" s="325"/>
    </row>
    <row r="38" spans="1:8" ht="20.100000000000001" customHeight="1">
      <c r="A38" s="11"/>
      <c r="B38" s="28"/>
      <c r="C38" s="14" t="s">
        <v>49</v>
      </c>
      <c r="D38" s="221"/>
      <c r="E38" s="17"/>
      <c r="F38" s="323"/>
      <c r="G38" s="324"/>
      <c r="H38" s="325"/>
    </row>
    <row r="39" spans="1:8" ht="20.100000000000001" customHeight="1">
      <c r="A39" s="11"/>
      <c r="B39" s="28"/>
      <c r="C39" s="14" t="s">
        <v>50</v>
      </c>
      <c r="D39" s="222" t="s">
        <v>34</v>
      </c>
      <c r="E39" s="10"/>
      <c r="F39" s="323"/>
      <c r="G39" s="324"/>
      <c r="H39" s="325"/>
    </row>
    <row r="40" spans="1:8" ht="20.100000000000001" customHeight="1">
      <c r="A40" s="19">
        <v>6</v>
      </c>
      <c r="B40" s="27" t="s">
        <v>51</v>
      </c>
      <c r="C40" s="27"/>
      <c r="D40" s="221"/>
      <c r="E40" s="10"/>
      <c r="F40" s="323"/>
      <c r="G40" s="324"/>
      <c r="H40" s="325"/>
    </row>
    <row r="41" spans="1:8" ht="20.100000000000001" customHeight="1">
      <c r="A41" s="11"/>
      <c r="B41" s="28"/>
      <c r="C41" s="14" t="s">
        <v>52</v>
      </c>
      <c r="D41" s="221"/>
      <c r="E41" s="17"/>
      <c r="F41" s="323"/>
      <c r="G41" s="324"/>
      <c r="H41" s="325"/>
    </row>
    <row r="42" spans="1:8" ht="20.100000000000001" customHeight="1">
      <c r="A42" s="11"/>
      <c r="B42" s="28"/>
      <c r="C42" s="14" t="s">
        <v>53</v>
      </c>
      <c r="D42" s="221"/>
      <c r="E42" s="17"/>
      <c r="F42" s="323"/>
      <c r="G42" s="324"/>
      <c r="H42" s="325"/>
    </row>
    <row r="43" spans="1:8" ht="20.100000000000001" customHeight="1">
      <c r="A43" s="11"/>
      <c r="B43" s="28"/>
      <c r="C43" s="14" t="s">
        <v>54</v>
      </c>
      <c r="D43" s="221"/>
      <c r="E43" s="17"/>
      <c r="F43" s="323"/>
      <c r="G43" s="324"/>
      <c r="H43" s="325"/>
    </row>
    <row r="44" spans="1:8" ht="20.100000000000001" customHeight="1">
      <c r="A44" s="11"/>
      <c r="B44" s="28"/>
      <c r="C44" s="14" t="s">
        <v>55</v>
      </c>
      <c r="D44" s="221"/>
      <c r="E44" s="17"/>
      <c r="F44" s="323"/>
      <c r="G44" s="324"/>
      <c r="H44" s="325"/>
    </row>
    <row r="45" spans="1:8" ht="20.100000000000001" customHeight="1">
      <c r="A45" s="11"/>
      <c r="B45" s="28"/>
      <c r="C45" s="14" t="s">
        <v>56</v>
      </c>
      <c r="D45" s="221"/>
      <c r="E45" s="17"/>
      <c r="F45" s="323"/>
      <c r="G45" s="324"/>
      <c r="H45" s="325"/>
    </row>
    <row r="46" spans="1:8" ht="20.100000000000001" customHeight="1">
      <c r="A46" s="11"/>
      <c r="B46" s="28"/>
      <c r="C46" s="14" t="s">
        <v>57</v>
      </c>
      <c r="D46" s="221"/>
      <c r="E46" s="10" t="s">
        <v>17</v>
      </c>
      <c r="F46" s="323"/>
      <c r="G46" s="324"/>
      <c r="H46" s="325"/>
    </row>
    <row r="47" spans="1:8" ht="20.100000000000001" customHeight="1">
      <c r="A47" s="19">
        <v>7</v>
      </c>
      <c r="B47" s="27" t="s">
        <v>58</v>
      </c>
      <c r="C47" s="27"/>
      <c r="D47" s="221"/>
      <c r="E47" s="17"/>
      <c r="F47" s="323"/>
      <c r="G47" s="324"/>
      <c r="H47" s="325"/>
    </row>
    <row r="48" spans="1:8" ht="20.100000000000001" customHeight="1">
      <c r="A48" s="11"/>
      <c r="B48" s="28"/>
      <c r="C48" s="14" t="s">
        <v>59</v>
      </c>
      <c r="D48" s="222" t="s">
        <v>34</v>
      </c>
      <c r="E48" s="29"/>
      <c r="F48" s="323"/>
      <c r="G48" s="324"/>
      <c r="H48" s="325"/>
    </row>
    <row r="49" spans="1:8" ht="20.100000000000001" customHeight="1">
      <c r="A49" s="11"/>
      <c r="B49" s="30"/>
      <c r="C49" s="14" t="s">
        <v>60</v>
      </c>
      <c r="D49" s="221"/>
      <c r="E49" s="17"/>
      <c r="F49" s="323"/>
      <c r="G49" s="324"/>
      <c r="H49" s="325"/>
    </row>
    <row r="50" spans="1:8" ht="20.100000000000001" customHeight="1">
      <c r="A50" s="19">
        <v>8</v>
      </c>
      <c r="B50" s="27" t="s">
        <v>61</v>
      </c>
      <c r="C50" s="27"/>
      <c r="D50" s="221"/>
      <c r="E50" s="17"/>
      <c r="F50" s="323"/>
      <c r="G50" s="324"/>
      <c r="H50" s="325"/>
    </row>
    <row r="51" spans="1:8" ht="20.100000000000001" customHeight="1">
      <c r="A51" s="11"/>
      <c r="B51" s="28"/>
      <c r="C51" s="24" t="s">
        <v>62</v>
      </c>
      <c r="D51" s="221"/>
      <c r="E51" s="10" t="s">
        <v>17</v>
      </c>
      <c r="F51" s="323"/>
      <c r="G51" s="324"/>
      <c r="H51" s="325"/>
    </row>
    <row r="52" spans="1:8" ht="20.100000000000001" customHeight="1">
      <c r="A52" s="11"/>
      <c r="B52" s="31"/>
      <c r="C52" s="14" t="s">
        <v>63</v>
      </c>
      <c r="D52" s="222" t="s">
        <v>34</v>
      </c>
      <c r="E52" s="10" t="s">
        <v>17</v>
      </c>
      <c r="F52" s="323"/>
      <c r="G52" s="324"/>
      <c r="H52" s="325"/>
    </row>
    <row r="53" spans="1:8" ht="20.100000000000001" customHeight="1">
      <c r="A53" s="11"/>
      <c r="B53" s="31"/>
      <c r="C53" s="24" t="s">
        <v>64</v>
      </c>
      <c r="D53" s="221"/>
      <c r="E53" s="10" t="s">
        <v>17</v>
      </c>
      <c r="F53" s="323"/>
      <c r="G53" s="324"/>
      <c r="H53" s="325"/>
    </row>
    <row r="54" spans="1:8" ht="20.100000000000001" customHeight="1">
      <c r="A54" s="11"/>
      <c r="B54" s="31"/>
      <c r="C54" s="24" t="s">
        <v>65</v>
      </c>
      <c r="D54" s="222" t="s">
        <v>34</v>
      </c>
      <c r="E54" s="10"/>
      <c r="F54" s="323"/>
      <c r="G54" s="324"/>
      <c r="H54" s="325"/>
    </row>
    <row r="55" spans="1:8" ht="20.100000000000001" customHeight="1">
      <c r="A55" s="11"/>
      <c r="B55" s="31"/>
      <c r="C55" s="24" t="s">
        <v>66</v>
      </c>
      <c r="D55" s="222" t="s">
        <v>34</v>
      </c>
      <c r="E55" s="10"/>
      <c r="F55" s="323"/>
      <c r="G55" s="324"/>
      <c r="H55" s="325"/>
    </row>
    <row r="56" spans="1:8" ht="20.100000000000001" customHeight="1">
      <c r="A56" s="11"/>
      <c r="B56" s="31"/>
      <c r="C56" s="24" t="s">
        <v>67</v>
      </c>
      <c r="D56" s="221"/>
      <c r="E56" s="10" t="s">
        <v>17</v>
      </c>
      <c r="F56" s="323"/>
      <c r="G56" s="324"/>
      <c r="H56" s="325"/>
    </row>
    <row r="57" spans="1:8" ht="20.100000000000001" customHeight="1">
      <c r="A57" s="11"/>
      <c r="B57" s="31"/>
      <c r="C57" s="24" t="s">
        <v>68</v>
      </c>
      <c r="D57" s="221"/>
      <c r="E57" s="10"/>
      <c r="F57" s="323"/>
      <c r="G57" s="324"/>
      <c r="H57" s="325"/>
    </row>
    <row r="58" spans="1:8" ht="20.100000000000001" customHeight="1">
      <c r="A58" s="11"/>
      <c r="B58" s="31"/>
      <c r="C58" s="24" t="s">
        <v>69</v>
      </c>
      <c r="D58" s="221"/>
      <c r="E58" s="10" t="s">
        <v>17</v>
      </c>
      <c r="F58" s="323"/>
      <c r="G58" s="324"/>
      <c r="H58" s="325"/>
    </row>
    <row r="59" spans="1:8" ht="20.100000000000001" customHeight="1">
      <c r="A59" s="19">
        <v>9</v>
      </c>
      <c r="B59" s="27" t="s">
        <v>70</v>
      </c>
      <c r="C59" s="27"/>
      <c r="D59" s="221"/>
      <c r="E59" s="17"/>
      <c r="F59" s="323"/>
      <c r="G59" s="324"/>
      <c r="H59" s="325"/>
    </row>
    <row r="60" spans="1:8" ht="20.100000000000001" customHeight="1">
      <c r="A60" s="32"/>
      <c r="B60" s="26"/>
      <c r="C60" s="14" t="s">
        <v>71</v>
      </c>
      <c r="D60" s="222" t="s">
        <v>34</v>
      </c>
      <c r="E60" s="10" t="s">
        <v>17</v>
      </c>
      <c r="F60" s="323"/>
      <c r="G60" s="324"/>
      <c r="H60" s="325"/>
    </row>
    <row r="61" spans="1:8" ht="20.100000000000001" customHeight="1">
      <c r="A61" s="11"/>
      <c r="B61" s="26"/>
      <c r="C61" s="14" t="s">
        <v>72</v>
      </c>
      <c r="D61" s="221"/>
      <c r="E61" s="10"/>
      <c r="F61" s="323"/>
      <c r="G61" s="324"/>
      <c r="H61" s="325"/>
    </row>
    <row r="62" spans="1:8" ht="20.100000000000001" customHeight="1">
      <c r="A62" s="11"/>
      <c r="B62" s="26"/>
      <c r="C62" s="14" t="s">
        <v>73</v>
      </c>
      <c r="D62" s="222" t="s">
        <v>34</v>
      </c>
      <c r="E62" s="10" t="s">
        <v>17</v>
      </c>
      <c r="F62" s="323"/>
      <c r="G62" s="324"/>
      <c r="H62" s="325"/>
    </row>
    <row r="63" spans="1:8" ht="20.100000000000001" customHeight="1">
      <c r="A63" s="11"/>
      <c r="B63" s="31"/>
      <c r="C63" s="24" t="s">
        <v>50</v>
      </c>
      <c r="D63" s="221"/>
      <c r="E63" s="10"/>
      <c r="F63" s="323"/>
      <c r="G63" s="324"/>
      <c r="H63" s="325"/>
    </row>
    <row r="64" spans="1:8" ht="20.100000000000001" customHeight="1">
      <c r="A64" s="19">
        <v>10</v>
      </c>
      <c r="B64" s="27" t="s">
        <v>74</v>
      </c>
      <c r="C64" s="27"/>
      <c r="D64" s="221"/>
      <c r="E64" s="17"/>
      <c r="F64" s="335"/>
      <c r="G64" s="336"/>
      <c r="H64" s="337"/>
    </row>
    <row r="65" spans="1:8" ht="20.100000000000001" customHeight="1">
      <c r="A65" s="11"/>
      <c r="B65" s="31"/>
      <c r="C65" s="24" t="s">
        <v>75</v>
      </c>
      <c r="D65" s="221"/>
      <c r="E65" s="10" t="s">
        <v>17</v>
      </c>
      <c r="F65" s="323" t="s">
        <v>76</v>
      </c>
      <c r="G65" s="324"/>
      <c r="H65" s="325"/>
    </row>
    <row r="66" spans="1:8" ht="20.100000000000001" customHeight="1">
      <c r="A66" s="19">
        <v>11</v>
      </c>
      <c r="B66" s="27" t="s">
        <v>77</v>
      </c>
      <c r="C66" s="27"/>
      <c r="D66" s="221"/>
      <c r="E66" s="17"/>
      <c r="F66" s="323"/>
      <c r="G66" s="324"/>
      <c r="H66" s="325"/>
    </row>
    <row r="67" spans="1:8" ht="20.100000000000001" customHeight="1">
      <c r="A67" s="32"/>
      <c r="B67" s="26"/>
      <c r="C67" s="14" t="s">
        <v>78</v>
      </c>
      <c r="D67" s="222" t="s">
        <v>34</v>
      </c>
      <c r="E67" s="10" t="s">
        <v>17</v>
      </c>
      <c r="F67" s="323"/>
      <c r="G67" s="324"/>
      <c r="H67" s="325"/>
    </row>
    <row r="68" spans="1:8" ht="20.100000000000001" customHeight="1">
      <c r="A68" s="251"/>
      <c r="B68" s="252"/>
      <c r="C68" s="253" t="s">
        <v>79</v>
      </c>
      <c r="D68" s="254" t="s">
        <v>34</v>
      </c>
      <c r="E68" s="10" t="s">
        <v>17</v>
      </c>
      <c r="F68" s="332"/>
      <c r="G68" s="333"/>
      <c r="H68" s="3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2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267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134</v>
      </c>
      <c r="B8" s="342" t="s">
        <v>135</v>
      </c>
      <c r="C8" s="343"/>
      <c r="D8" s="344"/>
      <c r="E8" s="138" t="s">
        <v>136</v>
      </c>
      <c r="F8" s="342" t="s">
        <v>184</v>
      </c>
      <c r="G8" s="351"/>
      <c r="H8" s="352"/>
    </row>
    <row r="10" spans="1:12">
      <c r="D10" s="379" t="s">
        <v>174</v>
      </c>
      <c r="E10" s="379"/>
      <c r="F10" s="379"/>
    </row>
    <row r="11" spans="1:12" ht="30">
      <c r="D11" s="113" t="s">
        <v>268</v>
      </c>
      <c r="E11" s="181" t="s">
        <v>269</v>
      </c>
      <c r="F11" s="181" t="s">
        <v>119</v>
      </c>
      <c r="H11" t="s">
        <v>270</v>
      </c>
      <c r="J11" s="181" t="s">
        <v>271</v>
      </c>
      <c r="K11" s="181" t="s">
        <v>272</v>
      </c>
      <c r="L11" s="181" t="s">
        <v>273</v>
      </c>
    </row>
    <row r="12" spans="1:12">
      <c r="A12" s="71"/>
      <c r="B12" s="71"/>
      <c r="E12" s="70"/>
    </row>
    <row r="13" spans="1:12">
      <c r="B13" s="71"/>
      <c r="C13" t="s">
        <v>274</v>
      </c>
      <c r="D13" s="261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1"/>
      <c r="K13" s="261"/>
      <c r="L13" s="114"/>
    </row>
    <row r="14" spans="1:12">
      <c r="B14" s="71"/>
      <c r="C14" t="s">
        <v>275</v>
      </c>
      <c r="D14" s="261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1"/>
      <c r="K14" s="261"/>
      <c r="L14" s="114"/>
    </row>
    <row r="15" spans="1:12">
      <c r="B15" s="71"/>
      <c r="C15" t="s">
        <v>276</v>
      </c>
      <c r="D15" s="261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1"/>
      <c r="K15" s="261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8D1FF"/>
  </sheetPr>
  <dimension ref="A1:M52"/>
  <sheetViews>
    <sheetView workbookViewId="0">
      <selection activeCell="E49" sqref="E4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  <col min="11" max="11" width="11.5703125" bestFit="1" customWidth="1"/>
    <col min="12" max="12" width="10.5703125" bestFit="1" customWidth="1"/>
    <col min="13" max="13" width="11.5703125" bestFit="1" customWidth="1"/>
  </cols>
  <sheetData>
    <row r="1" spans="1:13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3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3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3" ht="18">
      <c r="A4" s="123"/>
      <c r="B4" s="53"/>
      <c r="D4" s="55"/>
      <c r="F4"/>
      <c r="G4" s="124"/>
      <c r="H4" s="65"/>
      <c r="I4" s="66"/>
    </row>
    <row r="5" spans="1:13" ht="18">
      <c r="A5" s="53" t="s">
        <v>277</v>
      </c>
      <c r="C5" s="57"/>
      <c r="G5" s="58"/>
      <c r="H5" s="65"/>
      <c r="J5" s="66"/>
    </row>
    <row r="6" spans="1:13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3" s="69" customFormat="1" ht="30">
      <c r="A8" s="137" t="s">
        <v>134</v>
      </c>
      <c r="B8" s="342" t="s">
        <v>135</v>
      </c>
      <c r="C8" s="343"/>
      <c r="D8" s="343"/>
      <c r="E8" s="344"/>
      <c r="F8" s="138" t="s">
        <v>136</v>
      </c>
      <c r="G8" s="342" t="s">
        <v>184</v>
      </c>
      <c r="H8" s="351"/>
      <c r="I8" s="352"/>
    </row>
    <row r="10" spans="1:13">
      <c r="F10" s="70"/>
    </row>
    <row r="11" spans="1:13">
      <c r="A11" s="71">
        <v>61800</v>
      </c>
      <c r="B11" s="71"/>
      <c r="C11" s="71" t="s">
        <v>39</v>
      </c>
    </row>
    <row r="12" spans="1:13">
      <c r="A12" s="71"/>
      <c r="B12" s="71"/>
      <c r="C12" s="115" t="s">
        <v>278</v>
      </c>
      <c r="E12" s="261">
        <v>156779.72</v>
      </c>
      <c r="J12" t="s">
        <v>279</v>
      </c>
      <c r="K12" t="s">
        <v>280</v>
      </c>
      <c r="L12" t="s">
        <v>281</v>
      </c>
      <c r="M12" t="s">
        <v>210</v>
      </c>
    </row>
    <row r="13" spans="1:13">
      <c r="A13" s="71"/>
      <c r="B13" s="71"/>
      <c r="C13" s="115" t="s">
        <v>282</v>
      </c>
      <c r="E13" s="116">
        <f>SUM(M13:M14)</f>
        <v>30162.31</v>
      </c>
      <c r="F13" s="58">
        <f>+E12-E13</f>
        <v>126617.41</v>
      </c>
      <c r="J13" t="s">
        <v>283</v>
      </c>
      <c r="K13" s="58">
        <v>33824.19</v>
      </c>
      <c r="L13" s="58">
        <v>8531.52</v>
      </c>
      <c r="M13" s="58">
        <f>K13-L13</f>
        <v>25292.670000000002</v>
      </c>
    </row>
    <row r="14" spans="1:13">
      <c r="A14" s="71"/>
      <c r="B14" s="71"/>
      <c r="C14" s="115"/>
      <c r="J14" t="s">
        <v>284</v>
      </c>
      <c r="K14" s="58">
        <v>11112.4</v>
      </c>
      <c r="L14" s="58">
        <v>6242.76</v>
      </c>
      <c r="M14" s="58">
        <f>K14-L14</f>
        <v>4869.6399999999994</v>
      </c>
    </row>
    <row r="15" spans="1:13">
      <c r="A15" s="71"/>
      <c r="B15" s="71"/>
      <c r="C15" s="115"/>
    </row>
    <row r="17" spans="1:7" ht="15.75" thickBot="1">
      <c r="F17" s="112">
        <f>SUM(F12:F16)</f>
        <v>126617.41</v>
      </c>
      <c r="G17" t="s">
        <v>285</v>
      </c>
    </row>
    <row r="19" spans="1:7" hidden="1">
      <c r="A19" s="71"/>
      <c r="B19" s="71"/>
      <c r="C19" s="77" t="s">
        <v>286</v>
      </c>
    </row>
    <row r="20" spans="1:7" hidden="1">
      <c r="A20" s="71"/>
      <c r="B20" s="71"/>
      <c r="C20" s="77"/>
      <c r="D20" s="47" t="s">
        <v>280</v>
      </c>
      <c r="E20" s="47" t="s">
        <v>287</v>
      </c>
      <c r="F20" s="85" t="s">
        <v>210</v>
      </c>
    </row>
    <row r="21" spans="1:7" hidden="1">
      <c r="A21" s="71"/>
      <c r="B21" s="71"/>
      <c r="C21" t="s">
        <v>288</v>
      </c>
      <c r="D21" s="261"/>
      <c r="E21" s="261"/>
      <c r="F21" s="70">
        <f>+D21-E21</f>
        <v>0</v>
      </c>
    </row>
    <row r="22" spans="1:7" ht="15.75" hidden="1" thickBot="1">
      <c r="A22" s="71"/>
      <c r="B22" s="71"/>
      <c r="F22" s="117">
        <f>+SUM(F21:F21)</f>
        <v>0</v>
      </c>
    </row>
    <row r="23" spans="1:7" hidden="1">
      <c r="A23" s="71"/>
      <c r="B23" s="71"/>
      <c r="F23" s="70"/>
    </row>
    <row r="24" spans="1:7" hidden="1">
      <c r="A24" s="77">
        <v>62000</v>
      </c>
      <c r="B24" s="77"/>
      <c r="C24" s="71" t="s">
        <v>40</v>
      </c>
    </row>
    <row r="25" spans="1:7" hidden="1">
      <c r="F25" s="58">
        <v>0</v>
      </c>
    </row>
    <row r="26" spans="1:7" hidden="1">
      <c r="F26" s="58">
        <v>0</v>
      </c>
    </row>
    <row r="27" spans="1:7" hidden="1"/>
    <row r="28" spans="1:7" hidden="1">
      <c r="F28" s="112">
        <f>SUM(F25:F27)</f>
        <v>0</v>
      </c>
    </row>
    <row r="29" spans="1:7" hidden="1">
      <c r="A29" s="71"/>
      <c r="B29" s="71"/>
      <c r="F29" s="70"/>
    </row>
    <row r="30" spans="1:7" hidden="1">
      <c r="A30" s="77">
        <v>62550</v>
      </c>
      <c r="B30" s="77"/>
      <c r="C30" s="71" t="s">
        <v>289</v>
      </c>
    </row>
    <row r="31" spans="1:7" hidden="1">
      <c r="F31" s="58">
        <v>0</v>
      </c>
    </row>
    <row r="32" spans="1:7" hidden="1">
      <c r="F32" s="58">
        <v>0</v>
      </c>
    </row>
    <row r="33" spans="1:6" hidden="1"/>
    <row r="34" spans="1:6" hidden="1">
      <c r="F34" s="112">
        <f>SUM(F31:F33)</f>
        <v>0</v>
      </c>
    </row>
    <row r="35" spans="1:6" hidden="1">
      <c r="A35" s="71"/>
      <c r="B35" s="71"/>
      <c r="F35" s="70"/>
    </row>
    <row r="36" spans="1:6" hidden="1">
      <c r="A36" s="77">
        <v>64500</v>
      </c>
      <c r="B36" s="77"/>
      <c r="C36" s="71" t="s">
        <v>41</v>
      </c>
    </row>
    <row r="37" spans="1:6" hidden="1">
      <c r="F37" s="58">
        <v>0</v>
      </c>
    </row>
    <row r="38" spans="1:6" hidden="1">
      <c r="F38" s="58">
        <v>0</v>
      </c>
    </row>
    <row r="39" spans="1:6" hidden="1"/>
    <row r="40" spans="1:6" ht="15.75" hidden="1" thickBot="1">
      <c r="F40" s="112">
        <f>SUM(F37:F39)</f>
        <v>0</v>
      </c>
    </row>
    <row r="41" spans="1:6" hidden="1">
      <c r="F41" s="70"/>
    </row>
    <row r="42" spans="1:6" hidden="1">
      <c r="A42" s="71"/>
      <c r="B42" s="71"/>
      <c r="F42" s="70"/>
    </row>
    <row r="43" spans="1:6">
      <c r="A43" s="77">
        <v>68000</v>
      </c>
      <c r="B43" s="77"/>
      <c r="C43" s="71" t="s">
        <v>42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290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134</v>
      </c>
      <c r="B8" s="342" t="s">
        <v>135</v>
      </c>
      <c r="C8" s="343"/>
      <c r="D8" s="343"/>
      <c r="E8" s="344"/>
      <c r="F8" s="138" t="s">
        <v>136</v>
      </c>
      <c r="G8" s="342" t="s">
        <v>184</v>
      </c>
      <c r="H8" s="351"/>
      <c r="I8" s="352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8D1FF"/>
  </sheetPr>
  <dimension ref="A1:P50"/>
  <sheetViews>
    <sheetView workbookViewId="0">
      <selection activeCell="D27" sqref="D27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6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291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134</v>
      </c>
      <c r="B8" s="342" t="s">
        <v>135</v>
      </c>
      <c r="C8" s="344"/>
      <c r="D8" s="138" t="s">
        <v>136</v>
      </c>
      <c r="E8" s="138"/>
      <c r="F8" s="138"/>
      <c r="G8" s="138"/>
      <c r="H8" s="138" t="s">
        <v>136</v>
      </c>
      <c r="I8" s="342" t="s">
        <v>184</v>
      </c>
      <c r="J8" s="351"/>
      <c r="K8" s="352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292</v>
      </c>
      <c r="E11" s="47" t="s">
        <v>292</v>
      </c>
      <c r="F11" s="47" t="s">
        <v>293</v>
      </c>
      <c r="G11" s="47" t="s">
        <v>294</v>
      </c>
      <c r="H11" s="72" t="s">
        <v>119</v>
      </c>
      <c r="J11" s="77"/>
    </row>
    <row r="12" spans="1:16">
      <c r="D12" s="47" t="s">
        <v>168</v>
      </c>
      <c r="E12" s="77" t="s">
        <v>295</v>
      </c>
      <c r="F12" s="47" t="s">
        <v>296</v>
      </c>
      <c r="G12" s="47"/>
      <c r="H12" s="58"/>
    </row>
    <row r="13" spans="1:16">
      <c r="H13" s="58"/>
      <c r="K13" s="47" t="s">
        <v>297</v>
      </c>
      <c r="L13" s="47" t="s">
        <v>298</v>
      </c>
      <c r="M13" s="47" t="s">
        <v>299</v>
      </c>
    </row>
    <row r="14" spans="1:16">
      <c r="C14" s="77" t="s">
        <v>300</v>
      </c>
      <c r="D14" s="93">
        <v>237271.81</v>
      </c>
      <c r="E14" s="314"/>
      <c r="F14" s="93">
        <v>9852.24</v>
      </c>
      <c r="G14" s="93"/>
      <c r="H14" s="93">
        <f t="shared" ref="H14:H27" si="0">SUM(D14:G14)</f>
        <v>247124.05</v>
      </c>
      <c r="J14" t="s">
        <v>301</v>
      </c>
      <c r="K14" s="93">
        <f>+H40</f>
        <v>186885.78</v>
      </c>
      <c r="L14" s="93">
        <v>186885.78</v>
      </c>
      <c r="M14" s="93">
        <f>+K14-L14</f>
        <v>0</v>
      </c>
    </row>
    <row r="15" spans="1:16">
      <c r="C15" t="s">
        <v>302</v>
      </c>
      <c r="D15" s="93">
        <v>2663.19</v>
      </c>
      <c r="E15" s="93"/>
      <c r="F15" s="93"/>
      <c r="G15" s="93"/>
      <c r="H15" s="93">
        <f t="shared" si="0"/>
        <v>2663.19</v>
      </c>
      <c r="J15" t="s">
        <v>303</v>
      </c>
      <c r="K15" s="93">
        <f>+H26</f>
        <v>29375.4</v>
      </c>
      <c r="L15" s="93">
        <v>29375.4</v>
      </c>
      <c r="M15" s="93">
        <f t="shared" ref="M15:M27" si="1">+K15-L15</f>
        <v>0</v>
      </c>
    </row>
    <row r="16" spans="1:16">
      <c r="C16" t="s">
        <v>304</v>
      </c>
      <c r="D16" s="93"/>
      <c r="E16" s="93"/>
      <c r="F16" s="93"/>
      <c r="G16" s="93"/>
      <c r="H16" s="93">
        <f t="shared" si="0"/>
        <v>0</v>
      </c>
      <c r="J16" t="s">
        <v>305</v>
      </c>
      <c r="K16" s="93">
        <f>+H24+H25</f>
        <v>3891.2</v>
      </c>
      <c r="L16" s="93">
        <v>3891.2</v>
      </c>
      <c r="M16" s="93">
        <f t="shared" si="1"/>
        <v>0</v>
      </c>
    </row>
    <row r="17" spans="3:13">
      <c r="C17" s="139" t="s">
        <v>306</v>
      </c>
      <c r="D17" s="93">
        <v>5.78</v>
      </c>
      <c r="E17" s="93"/>
      <c r="F17" s="93"/>
      <c r="G17" s="93"/>
      <c r="H17" s="93">
        <f t="shared" si="0"/>
        <v>5.78</v>
      </c>
      <c r="J17" t="s">
        <v>307</v>
      </c>
      <c r="K17" s="93">
        <f>+H15+H28</f>
        <v>9474.27</v>
      </c>
      <c r="L17" s="93">
        <v>9474.27</v>
      </c>
      <c r="M17" s="93">
        <f t="shared" si="1"/>
        <v>0</v>
      </c>
    </row>
    <row r="18" spans="3:13">
      <c r="C18" s="139" t="s">
        <v>308</v>
      </c>
      <c r="D18" s="93">
        <v>7.09</v>
      </c>
      <c r="E18" s="93"/>
      <c r="F18" s="93"/>
      <c r="G18" s="93"/>
      <c r="H18" s="93">
        <f t="shared" si="0"/>
        <v>7.09</v>
      </c>
      <c r="J18" t="s">
        <v>309</v>
      </c>
      <c r="K18" s="93">
        <f>+H27</f>
        <v>17418.419999999998</v>
      </c>
      <c r="L18" s="93">
        <v>17418.419999999998</v>
      </c>
      <c r="M18" s="93">
        <f t="shared" si="1"/>
        <v>0</v>
      </c>
    </row>
    <row r="19" spans="3:13">
      <c r="C19" t="s">
        <v>310</v>
      </c>
      <c r="D19" s="93"/>
      <c r="E19" s="93"/>
      <c r="F19" s="93"/>
      <c r="G19" s="93"/>
      <c r="H19" s="93">
        <f t="shared" si="0"/>
        <v>0</v>
      </c>
      <c r="J19" t="s">
        <v>311</v>
      </c>
      <c r="K19" s="93">
        <f>+H20+H21-H36</f>
        <v>130029.29</v>
      </c>
      <c r="L19" s="93">
        <v>130029.29</v>
      </c>
      <c r="M19" s="93">
        <f t="shared" si="1"/>
        <v>0</v>
      </c>
    </row>
    <row r="20" spans="3:13">
      <c r="C20" s="139" t="s">
        <v>306</v>
      </c>
      <c r="D20" s="93">
        <v>1883.78</v>
      </c>
      <c r="E20" s="93"/>
      <c r="F20" s="93"/>
      <c r="G20" s="93"/>
      <c r="H20" s="93">
        <f t="shared" si="0"/>
        <v>1883.78</v>
      </c>
      <c r="J20" t="s">
        <v>312</v>
      </c>
      <c r="K20" s="93">
        <f>+H20+H21</f>
        <v>130048.2</v>
      </c>
      <c r="L20" s="93">
        <v>130048.2</v>
      </c>
      <c r="M20" s="93">
        <f t="shared" si="1"/>
        <v>0</v>
      </c>
    </row>
    <row r="21" spans="3:13">
      <c r="C21" s="139" t="s">
        <v>308</v>
      </c>
      <c r="D21" s="93">
        <v>128164.42</v>
      </c>
      <c r="E21" s="93"/>
      <c r="F21" s="93"/>
      <c r="G21" s="93"/>
      <c r="H21" s="93">
        <f t="shared" si="0"/>
        <v>128164.42</v>
      </c>
      <c r="J21" t="s">
        <v>313</v>
      </c>
      <c r="K21" s="93">
        <f>+H17+H18</f>
        <v>12.870000000000001</v>
      </c>
      <c r="L21" s="93">
        <v>12.87</v>
      </c>
      <c r="M21" s="93">
        <f t="shared" si="1"/>
        <v>0</v>
      </c>
    </row>
    <row r="22" spans="3:13">
      <c r="C22" t="s">
        <v>314</v>
      </c>
      <c r="D22" s="93">
        <v>16735.150000000001</v>
      </c>
      <c r="E22" s="93"/>
      <c r="F22" s="93"/>
      <c r="G22" s="93"/>
      <c r="H22" s="93">
        <f t="shared" si="0"/>
        <v>16735.150000000001</v>
      </c>
      <c r="J22" t="s">
        <v>315</v>
      </c>
      <c r="K22" s="93">
        <f>+H22-H35</f>
        <v>13806.77</v>
      </c>
      <c r="L22" s="93">
        <v>13806.77</v>
      </c>
      <c r="M22" s="93">
        <f t="shared" si="1"/>
        <v>0</v>
      </c>
    </row>
    <row r="23" spans="3:13">
      <c r="C23" t="s">
        <v>316</v>
      </c>
      <c r="D23" s="93"/>
      <c r="E23" s="93"/>
      <c r="F23" s="93"/>
      <c r="G23" s="93"/>
      <c r="H23" s="93">
        <f t="shared" si="0"/>
        <v>0</v>
      </c>
      <c r="J23" t="s">
        <v>317</v>
      </c>
      <c r="K23" s="93">
        <f>+H35+H36</f>
        <v>2947.29</v>
      </c>
      <c r="L23" s="93">
        <v>2947.29</v>
      </c>
      <c r="M23" s="93">
        <f t="shared" si="1"/>
        <v>0</v>
      </c>
    </row>
    <row r="24" spans="3:13">
      <c r="C24" s="139" t="s">
        <v>318</v>
      </c>
      <c r="D24" s="93">
        <v>1074.08</v>
      </c>
      <c r="E24" s="93"/>
      <c r="F24" s="93"/>
      <c r="G24" s="93"/>
      <c r="H24" s="93">
        <f t="shared" si="0"/>
        <v>1074.08</v>
      </c>
      <c r="J24" t="s">
        <v>319</v>
      </c>
      <c r="K24" s="93">
        <v>0</v>
      </c>
      <c r="L24" s="93"/>
      <c r="M24" s="93">
        <f t="shared" si="1"/>
        <v>0</v>
      </c>
    </row>
    <row r="25" spans="3:13">
      <c r="C25" s="139" t="s">
        <v>320</v>
      </c>
      <c r="D25" s="93">
        <v>2817.12</v>
      </c>
      <c r="E25" s="93"/>
      <c r="F25" s="93"/>
      <c r="G25" s="93"/>
      <c r="H25" s="93">
        <f t="shared" si="0"/>
        <v>2817.12</v>
      </c>
      <c r="J25" t="s">
        <v>321</v>
      </c>
      <c r="K25" s="93">
        <v>0</v>
      </c>
      <c r="L25" s="93"/>
      <c r="M25" s="93">
        <f t="shared" si="1"/>
        <v>0</v>
      </c>
    </row>
    <row r="26" spans="3:13">
      <c r="C26" s="139" t="s">
        <v>322</v>
      </c>
      <c r="D26" s="93">
        <v>29371.47</v>
      </c>
      <c r="E26" s="314">
        <v>3.93</v>
      </c>
      <c r="F26" s="93"/>
      <c r="G26" s="93"/>
      <c r="H26" s="93">
        <f>SUM(D26:G26)</f>
        <v>29375.4</v>
      </c>
      <c r="J26" t="s">
        <v>323</v>
      </c>
      <c r="K26" s="93">
        <f>-H38</f>
        <v>-129748.33</v>
      </c>
      <c r="L26" s="93">
        <v>-129748.33</v>
      </c>
      <c r="M26" s="93">
        <f t="shared" si="1"/>
        <v>0</v>
      </c>
    </row>
    <row r="27" spans="3:13">
      <c r="C27" s="139" t="s">
        <v>324</v>
      </c>
      <c r="D27" s="93">
        <v>17418.419999999998</v>
      </c>
      <c r="E27" s="93"/>
      <c r="F27" s="93"/>
      <c r="G27" s="93"/>
      <c r="H27" s="93">
        <f t="shared" si="0"/>
        <v>17418.419999999998</v>
      </c>
      <c r="J27" t="s">
        <v>70</v>
      </c>
      <c r="K27" s="93">
        <f>+H33</f>
        <v>-3.93</v>
      </c>
      <c r="L27" s="93">
        <v>-3.93</v>
      </c>
      <c r="M27" s="93">
        <f t="shared" si="1"/>
        <v>0</v>
      </c>
    </row>
    <row r="28" spans="3:13">
      <c r="C28" t="s">
        <v>325</v>
      </c>
      <c r="D28" s="93">
        <v>6767.64</v>
      </c>
      <c r="E28" s="93"/>
      <c r="F28" s="93">
        <v>43.44</v>
      </c>
      <c r="G28" s="93"/>
      <c r="H28" s="93">
        <f t="shared" ref="H28:H33" si="2">SUM(D28:G28)</f>
        <v>6811.08</v>
      </c>
    </row>
    <row r="29" spans="3:13">
      <c r="C29" t="s">
        <v>312</v>
      </c>
      <c r="D29" s="93">
        <v>40992.629999999997</v>
      </c>
      <c r="E29" s="93"/>
      <c r="F29" s="93"/>
      <c r="G29" s="93"/>
      <c r="H29" s="93">
        <f t="shared" si="2"/>
        <v>40992.629999999997</v>
      </c>
      <c r="J29" t="s">
        <v>326</v>
      </c>
      <c r="K29" s="79">
        <f>+K15+K16+K17+K19+K20+K21+K22+K26-K14+K27</f>
        <v>-4.0000000015134152E-2</v>
      </c>
      <c r="L29" s="93">
        <f>+L15+L16+L17+L19+L20+L21+L22+L26-L14+L27</f>
        <v>-4.0000000015134152E-2</v>
      </c>
      <c r="M29" s="93">
        <f>+K29-L29</f>
        <v>0</v>
      </c>
    </row>
    <row r="30" spans="3:13">
      <c r="C30" t="s">
        <v>321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327</v>
      </c>
      <c r="D31" s="93">
        <v>9736.75</v>
      </c>
      <c r="E31" s="93"/>
      <c r="F31" s="93"/>
      <c r="G31" s="93"/>
      <c r="H31" s="93">
        <f t="shared" si="2"/>
        <v>9736.75</v>
      </c>
    </row>
    <row r="32" spans="3:13">
      <c r="C32" t="s">
        <v>319</v>
      </c>
      <c r="D32" s="93">
        <f>0+D38</f>
        <v>139557.13</v>
      </c>
      <c r="E32" s="93"/>
      <c r="F32" s="93"/>
      <c r="G32" s="93"/>
      <c r="H32" s="93">
        <f t="shared" si="2"/>
        <v>139557.13</v>
      </c>
      <c r="J32" s="140"/>
    </row>
    <row r="33" spans="3:10">
      <c r="C33" t="s">
        <v>70</v>
      </c>
      <c r="D33" s="93"/>
      <c r="E33" s="93">
        <f>-E26</f>
        <v>-3.93</v>
      </c>
      <c r="F33" s="93"/>
      <c r="G33" s="93"/>
      <c r="H33" s="93">
        <f t="shared" si="2"/>
        <v>-3.93</v>
      </c>
    </row>
    <row r="34" spans="3:10">
      <c r="D34" s="93"/>
      <c r="E34" s="93"/>
      <c r="F34" s="93"/>
      <c r="G34" s="93"/>
      <c r="H34" s="93"/>
    </row>
    <row r="35" spans="3:10">
      <c r="C35" t="s">
        <v>317</v>
      </c>
      <c r="D35" s="93">
        <v>2928.38</v>
      </c>
      <c r="E35" s="314"/>
      <c r="F35" s="93"/>
      <c r="G35" s="93"/>
      <c r="H35" s="93">
        <f>SUM(D35:G35)</f>
        <v>2928.38</v>
      </c>
      <c r="J35" s="140"/>
    </row>
    <row r="36" spans="3:10">
      <c r="C36" t="s">
        <v>328</v>
      </c>
      <c r="D36" s="93">
        <v>18.91</v>
      </c>
      <c r="E36" s="93">
        <f>-E35</f>
        <v>0</v>
      </c>
      <c r="F36" s="93"/>
      <c r="G36" s="93"/>
      <c r="H36" s="93">
        <f>SUM(D36:G36)</f>
        <v>18.91</v>
      </c>
    </row>
    <row r="37" spans="3:10">
      <c r="C37" t="s">
        <v>329</v>
      </c>
      <c r="D37" s="93">
        <v>60238.27</v>
      </c>
      <c r="E37" s="93"/>
      <c r="F37" s="93"/>
      <c r="G37" s="93"/>
      <c r="H37" s="93">
        <f>SUM(D37:G37)</f>
        <v>60238.27</v>
      </c>
    </row>
    <row r="38" spans="3:10">
      <c r="C38" t="s">
        <v>330</v>
      </c>
      <c r="D38" s="93">
        <v>139557.13</v>
      </c>
      <c r="E38" s="93"/>
      <c r="F38" s="93">
        <v>-9808.7999999999993</v>
      </c>
      <c r="G38" s="93"/>
      <c r="H38" s="93">
        <f>SUM(D38:G38)</f>
        <v>129748.33</v>
      </c>
    </row>
    <row r="39" spans="3:10">
      <c r="D39" s="93"/>
      <c r="E39" s="93"/>
      <c r="F39" s="93"/>
      <c r="G39" s="93"/>
      <c r="H39" s="93"/>
    </row>
    <row r="40" spans="3:10">
      <c r="C40" s="77" t="s">
        <v>331</v>
      </c>
      <c r="D40" s="79">
        <f>+D14-D37</f>
        <v>177033.54</v>
      </c>
      <c r="E40" s="79"/>
      <c r="F40" s="79">
        <f>+F14-F37</f>
        <v>9852.24</v>
      </c>
      <c r="G40" s="79">
        <f>+G14-G37</f>
        <v>0</v>
      </c>
      <c r="H40" s="93">
        <f>SUM(D40:G40)</f>
        <v>186885.78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332</v>
      </c>
      <c r="D43" s="79">
        <f>SUM(D15:D33)-D27-D35-D37-D38-D36</f>
        <v>177033.54</v>
      </c>
      <c r="E43" s="79">
        <f>SUM(E15:E33)-E27-E35-E37-E38-E36</f>
        <v>0</v>
      </c>
      <c r="F43" s="79">
        <f>SUM(F15:F32)-F27-F35-F37-F38</f>
        <v>9852.24</v>
      </c>
      <c r="G43" s="79">
        <f>SUM(G15:G32)-G27-G35-G37-G38</f>
        <v>0</v>
      </c>
      <c r="H43" s="58"/>
    </row>
    <row r="44" spans="3:10">
      <c r="C44" s="43" t="s">
        <v>210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9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9" ht="18">
      <c r="D4" s="53"/>
      <c r="E4" s="53"/>
      <c r="F4" s="64"/>
      <c r="G4" s="65"/>
      <c r="I4" s="66"/>
    </row>
    <row r="5" spans="1:9" ht="18">
      <c r="A5" s="125" t="s">
        <v>333</v>
      </c>
      <c r="D5" s="271"/>
      <c r="E5" s="271"/>
      <c r="F5" s="272"/>
      <c r="G5" s="273"/>
      <c r="I5" s="66"/>
    </row>
    <row r="6" spans="1:9" ht="18.75">
      <c r="D6" s="274"/>
      <c r="E6" s="274"/>
      <c r="F6" s="275"/>
      <c r="G6" s="276"/>
      <c r="I6" s="66"/>
    </row>
    <row r="7" spans="1:9">
      <c r="G7" s="93"/>
    </row>
    <row r="8" spans="1:9" s="69" customFormat="1" ht="25.5">
      <c r="A8" s="130" t="s">
        <v>134</v>
      </c>
      <c r="B8" s="380" t="s">
        <v>135</v>
      </c>
      <c r="C8" s="381"/>
      <c r="D8" s="277" t="s">
        <v>136</v>
      </c>
      <c r="E8" s="277" t="s">
        <v>136</v>
      </c>
      <c r="F8" s="277" t="s">
        <v>136</v>
      </c>
      <c r="G8" s="380" t="s">
        <v>184</v>
      </c>
      <c r="H8" s="351"/>
      <c r="I8" s="352"/>
    </row>
    <row r="10" spans="1:9">
      <c r="D10" s="278" t="s">
        <v>303</v>
      </c>
      <c r="E10" s="278" t="s">
        <v>334</v>
      </c>
      <c r="F10" s="278" t="s">
        <v>305</v>
      </c>
      <c r="G10" s="278" t="s">
        <v>335</v>
      </c>
      <c r="H10" s="278" t="s">
        <v>336</v>
      </c>
    </row>
    <row r="11" spans="1:9">
      <c r="B11" t="s">
        <v>337</v>
      </c>
      <c r="G11" s="93"/>
      <c r="H11" s="93"/>
    </row>
    <row r="12" spans="1:9">
      <c r="B12" t="s">
        <v>338</v>
      </c>
      <c r="G12" s="93"/>
      <c r="H12" s="93"/>
    </row>
    <row r="13" spans="1:9" s="43" customFormat="1">
      <c r="B13" s="43" t="s">
        <v>210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3" t="s">
        <v>339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340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134</v>
      </c>
      <c r="B8" s="342" t="s">
        <v>135</v>
      </c>
      <c r="C8" s="343"/>
      <c r="D8" s="343"/>
      <c r="E8" s="344"/>
      <c r="F8" s="138" t="s">
        <v>136</v>
      </c>
      <c r="G8" s="142"/>
      <c r="H8" s="342" t="s">
        <v>184</v>
      </c>
      <c r="I8" s="351"/>
      <c r="J8" s="352"/>
    </row>
    <row r="10" spans="1:10">
      <c r="A10" s="77" t="s">
        <v>341</v>
      </c>
      <c r="C10" s="47" t="s">
        <v>342</v>
      </c>
      <c r="D10" s="382" t="s">
        <v>343</v>
      </c>
      <c r="E10" s="382"/>
      <c r="F10" s="382"/>
      <c r="G10" s="101" t="s">
        <v>344</v>
      </c>
      <c r="H10" s="383" t="s">
        <v>345</v>
      </c>
      <c r="I10" s="383"/>
      <c r="J10" s="383"/>
    </row>
    <row r="11" spans="1:10">
      <c r="A11" s="71"/>
      <c r="B11" s="71"/>
      <c r="D11" s="47" t="s">
        <v>346</v>
      </c>
      <c r="E11" s="85" t="s">
        <v>347</v>
      </c>
      <c r="F11" s="72" t="s">
        <v>348</v>
      </c>
      <c r="G11" s="72"/>
      <c r="H11" s="47" t="s">
        <v>346</v>
      </c>
      <c r="I11" s="102" t="s">
        <v>347</v>
      </c>
      <c r="J11" s="103" t="s">
        <v>348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4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349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350</v>
      </c>
    </row>
    <row r="8" spans="1:14" ht="30.75" thickBot="1">
      <c r="A8" s="183" t="s">
        <v>134</v>
      </c>
      <c r="B8" s="357" t="s">
        <v>135</v>
      </c>
      <c r="C8" s="359"/>
      <c r="D8" s="184" t="s">
        <v>351</v>
      </c>
      <c r="E8" s="185" t="s">
        <v>138</v>
      </c>
      <c r="F8" s="185" t="s">
        <v>163</v>
      </c>
      <c r="G8" s="357" t="s">
        <v>184</v>
      </c>
      <c r="H8" s="384"/>
      <c r="I8" s="385"/>
    </row>
    <row r="9" spans="1:14">
      <c r="A9" s="223"/>
      <c r="B9" s="395"/>
      <c r="C9" s="396"/>
      <c r="D9" s="224"/>
      <c r="E9" s="225"/>
      <c r="F9" s="225"/>
      <c r="G9" s="395"/>
      <c r="H9" s="397"/>
      <c r="I9" s="396"/>
    </row>
    <row r="10" spans="1:14">
      <c r="A10" s="189"/>
      <c r="B10" s="398" t="s">
        <v>352</v>
      </c>
      <c r="C10" s="399"/>
      <c r="D10" s="399"/>
      <c r="E10" s="399"/>
      <c r="F10" s="399"/>
      <c r="G10" s="399"/>
      <c r="H10" s="399"/>
      <c r="I10" s="400"/>
    </row>
    <row r="11" spans="1:14">
      <c r="A11" s="189"/>
      <c r="B11" s="401" t="s">
        <v>353</v>
      </c>
      <c r="C11" s="402"/>
      <c r="D11" s="387" t="s">
        <v>354</v>
      </c>
      <c r="E11" s="388"/>
      <c r="F11" s="389"/>
      <c r="G11" s="401"/>
      <c r="H11" s="403"/>
      <c r="I11" s="404"/>
      <c r="K11" t="s">
        <v>355</v>
      </c>
    </row>
    <row r="12" spans="1:14">
      <c r="A12" s="189"/>
      <c r="B12" s="401" t="s">
        <v>356</v>
      </c>
      <c r="C12" s="402"/>
      <c r="D12" s="387"/>
      <c r="E12" s="388"/>
      <c r="F12" s="389"/>
      <c r="G12" s="401"/>
      <c r="H12" s="403"/>
      <c r="I12" s="404"/>
      <c r="L12" s="77" t="s">
        <v>357</v>
      </c>
      <c r="M12" s="77" t="s">
        <v>358</v>
      </c>
      <c r="N12" s="77" t="s">
        <v>359</v>
      </c>
    </row>
    <row r="13" spans="1:14">
      <c r="A13" s="189"/>
      <c r="B13" s="401" t="s">
        <v>360</v>
      </c>
      <c r="C13" s="402"/>
      <c r="D13" s="387"/>
      <c r="E13" s="388"/>
      <c r="F13" s="389"/>
      <c r="G13" s="401"/>
      <c r="H13" s="403"/>
      <c r="I13" s="404"/>
      <c r="K13" t="s">
        <v>361</v>
      </c>
      <c r="L13" s="58"/>
      <c r="M13" s="58">
        <f>+L13/12</f>
        <v>0</v>
      </c>
    </row>
    <row r="14" spans="1:14">
      <c r="A14" s="189"/>
      <c r="B14" s="401" t="s">
        <v>362</v>
      </c>
      <c r="C14" s="402"/>
      <c r="D14" s="387"/>
      <c r="E14" s="388"/>
      <c r="F14" s="389"/>
      <c r="G14" s="401"/>
      <c r="H14" s="403"/>
      <c r="I14" s="404"/>
      <c r="K14" t="s">
        <v>363</v>
      </c>
      <c r="L14" s="58"/>
      <c r="M14" s="58">
        <f>+L14/12</f>
        <v>0</v>
      </c>
    </row>
    <row r="15" spans="1:14">
      <c r="A15" s="189"/>
      <c r="B15" s="401" t="s">
        <v>364</v>
      </c>
      <c r="C15" s="402"/>
      <c r="D15" s="387" t="s">
        <v>365</v>
      </c>
      <c r="E15" s="388"/>
      <c r="F15" s="389"/>
      <c r="G15" s="401"/>
      <c r="H15" s="403"/>
      <c r="I15" s="404"/>
      <c r="K15" t="s">
        <v>366</v>
      </c>
      <c r="L15" s="58"/>
      <c r="M15" s="58">
        <f>+L15/12</f>
        <v>0</v>
      </c>
    </row>
    <row r="16" spans="1:14">
      <c r="A16" s="189"/>
      <c r="B16" s="401" t="s">
        <v>367</v>
      </c>
      <c r="C16" s="402"/>
      <c r="D16" s="387"/>
      <c r="E16" s="388"/>
      <c r="F16" s="389"/>
      <c r="G16" s="401"/>
      <c r="H16" s="403"/>
      <c r="I16" s="404"/>
      <c r="K16" s="90" t="s">
        <v>368</v>
      </c>
      <c r="L16" s="319"/>
      <c r="M16" s="319"/>
      <c r="N16" s="319">
        <f>+M16*1.1</f>
        <v>0</v>
      </c>
    </row>
    <row r="17" spans="1:16">
      <c r="A17" s="189"/>
      <c r="B17" s="401" t="s">
        <v>369</v>
      </c>
      <c r="C17" s="402"/>
      <c r="D17" s="387"/>
      <c r="E17" s="388"/>
      <c r="F17" s="389"/>
      <c r="G17" s="401"/>
      <c r="H17" s="403"/>
      <c r="I17" s="404"/>
    </row>
    <row r="18" spans="1:16">
      <c r="A18" s="189"/>
      <c r="B18" s="401"/>
      <c r="C18" s="402"/>
      <c r="D18" s="227"/>
      <c r="E18" s="228"/>
      <c r="F18" s="228"/>
      <c r="G18" s="401"/>
      <c r="H18" s="403"/>
      <c r="I18" s="404"/>
    </row>
    <row r="19" spans="1:16">
      <c r="A19" s="189"/>
      <c r="B19" s="405" t="s">
        <v>370</v>
      </c>
      <c r="C19" s="406"/>
      <c r="D19" s="227"/>
      <c r="E19" s="228"/>
      <c r="F19" s="228"/>
      <c r="G19" s="401"/>
      <c r="H19" s="403"/>
      <c r="I19" s="404"/>
      <c r="K19" s="77" t="s">
        <v>371</v>
      </c>
      <c r="L19" s="77"/>
      <c r="M19" s="77"/>
      <c r="N19" s="77"/>
      <c r="O19" s="77"/>
      <c r="P19" s="77"/>
    </row>
    <row r="20" spans="1:16">
      <c r="A20" s="189"/>
      <c r="B20" s="401" t="s">
        <v>372</v>
      </c>
      <c r="C20" s="402"/>
      <c r="D20" s="227">
        <f>+SUM(E20:F20)</f>
        <v>0</v>
      </c>
      <c r="E20" s="228">
        <f>+F20*0.1</f>
        <v>0</v>
      </c>
      <c r="F20" s="228"/>
      <c r="G20" s="401" t="s">
        <v>373</v>
      </c>
      <c r="H20" s="403"/>
      <c r="I20" s="404"/>
      <c r="K20" s="77" t="s">
        <v>3</v>
      </c>
      <c r="L20" s="77" t="s">
        <v>374</v>
      </c>
      <c r="M20" s="77" t="s">
        <v>375</v>
      </c>
      <c r="N20" s="77" t="s">
        <v>357</v>
      </c>
      <c r="O20" s="77" t="s">
        <v>359</v>
      </c>
      <c r="P20" s="77" t="s">
        <v>358</v>
      </c>
    </row>
    <row r="21" spans="1:16">
      <c r="A21" s="189"/>
      <c r="B21" s="407" t="s">
        <v>376</v>
      </c>
      <c r="C21" s="402"/>
      <c r="D21" s="227">
        <f>+SUM(E21:F21)</f>
        <v>0</v>
      </c>
      <c r="E21" s="228">
        <f>+F21*0.1</f>
        <v>0</v>
      </c>
      <c r="F21" s="228"/>
      <c r="G21" s="401" t="s">
        <v>373</v>
      </c>
      <c r="H21" s="403"/>
      <c r="I21" s="404"/>
      <c r="L21" t="s">
        <v>377</v>
      </c>
    </row>
    <row r="22" spans="1:16">
      <c r="A22" s="189"/>
      <c r="B22" s="401"/>
      <c r="C22" s="402"/>
      <c r="D22" s="227"/>
      <c r="E22" s="228"/>
      <c r="F22" s="227"/>
      <c r="G22" s="401"/>
      <c r="H22" s="403"/>
      <c r="I22" s="404"/>
      <c r="L22" t="s">
        <v>378</v>
      </c>
    </row>
    <row r="23" spans="1:16">
      <c r="A23" s="189"/>
      <c r="B23" s="401"/>
      <c r="C23" s="402"/>
      <c r="D23" s="227"/>
      <c r="E23" s="228"/>
      <c r="F23" s="227"/>
      <c r="G23" s="401"/>
      <c r="H23" s="403"/>
      <c r="I23" s="404"/>
    </row>
    <row r="24" spans="1:16">
      <c r="A24" s="189"/>
      <c r="B24" s="405" t="s">
        <v>119</v>
      </c>
      <c r="C24" s="406"/>
      <c r="D24" s="230">
        <f>SUM(D20:D23)</f>
        <v>0</v>
      </c>
      <c r="E24" s="230">
        <f>SUM(E20:E23)</f>
        <v>0</v>
      </c>
      <c r="F24" s="230">
        <f>SUM(F20:F23)</f>
        <v>0</v>
      </c>
      <c r="G24" s="401"/>
      <c r="H24" s="403"/>
      <c r="I24" s="404"/>
    </row>
    <row r="25" spans="1:16">
      <c r="A25" s="189"/>
      <c r="B25" s="401"/>
      <c r="C25" s="402"/>
      <c r="D25" s="227"/>
      <c r="E25" s="228"/>
      <c r="F25" s="227"/>
      <c r="G25" s="401"/>
      <c r="H25" s="403"/>
      <c r="I25" s="404"/>
    </row>
    <row r="26" spans="1:16">
      <c r="A26" s="189"/>
      <c r="B26" s="405" t="s">
        <v>379</v>
      </c>
      <c r="C26" s="406"/>
      <c r="D26" s="227"/>
      <c r="E26" s="228"/>
      <c r="F26" s="227"/>
      <c r="G26" s="401"/>
      <c r="H26" s="403"/>
      <c r="I26" s="404"/>
    </row>
    <row r="27" spans="1:16">
      <c r="A27" s="189"/>
      <c r="B27" s="401" t="s">
        <v>380</v>
      </c>
      <c r="C27" s="402"/>
      <c r="D27" s="231">
        <f>+F27+E27</f>
        <v>0</v>
      </c>
      <c r="E27" s="232">
        <f>+F27*0.1</f>
        <v>0</v>
      </c>
      <c r="F27" s="227"/>
      <c r="G27" s="401"/>
      <c r="H27" s="403"/>
      <c r="I27" s="404"/>
    </row>
    <row r="28" spans="1:16">
      <c r="A28" s="189"/>
      <c r="B28" s="401" t="s">
        <v>380</v>
      </c>
      <c r="C28" s="402"/>
      <c r="D28" s="231">
        <f>+F28+E28</f>
        <v>0</v>
      </c>
      <c r="E28" s="232">
        <f>+F28*0.1</f>
        <v>0</v>
      </c>
      <c r="F28" s="231"/>
      <c r="G28" s="401"/>
      <c r="H28" s="403"/>
      <c r="I28" s="404"/>
    </row>
    <row r="29" spans="1:16">
      <c r="A29" s="189"/>
      <c r="B29" s="401" t="s">
        <v>380</v>
      </c>
      <c r="C29" s="402"/>
      <c r="D29" s="231">
        <f>+F29+E29</f>
        <v>0</v>
      </c>
      <c r="E29" s="232">
        <f>+F29*0.1</f>
        <v>0</v>
      </c>
      <c r="F29" s="231"/>
      <c r="G29" s="401"/>
      <c r="H29" s="403"/>
      <c r="I29" s="404"/>
    </row>
    <row r="30" spans="1:16">
      <c r="A30" s="189"/>
      <c r="B30" s="401" t="s">
        <v>380</v>
      </c>
      <c r="C30" s="402"/>
      <c r="D30" s="231">
        <f>+F30+E30</f>
        <v>0</v>
      </c>
      <c r="E30" s="232">
        <f>+F30*0.1</f>
        <v>0</v>
      </c>
      <c r="F30" s="231"/>
      <c r="G30" s="401"/>
      <c r="H30" s="403"/>
      <c r="I30" s="404"/>
    </row>
    <row r="31" spans="1:16">
      <c r="A31" s="189"/>
      <c r="B31" s="229" t="s">
        <v>381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1"/>
      <c r="H31" s="403"/>
      <c r="I31" s="404"/>
    </row>
    <row r="32" spans="1:16">
      <c r="A32" s="189"/>
      <c r="B32" s="401" t="s">
        <v>382</v>
      </c>
      <c r="C32" s="402"/>
      <c r="D32" s="231">
        <f>+F32+E32</f>
        <v>0</v>
      </c>
      <c r="E32" s="232">
        <f>+F32*0.1</f>
        <v>0</v>
      </c>
      <c r="F32" s="227"/>
      <c r="G32" s="401"/>
      <c r="H32" s="408"/>
      <c r="I32" s="402"/>
    </row>
    <row r="33" spans="1:9">
      <c r="A33" s="189"/>
      <c r="B33" s="401" t="s">
        <v>382</v>
      </c>
      <c r="C33" s="402"/>
      <c r="D33" s="231">
        <f>+F33+E33</f>
        <v>0</v>
      </c>
      <c r="E33" s="232">
        <f>+F33*0.1</f>
        <v>0</v>
      </c>
      <c r="F33" s="227"/>
      <c r="G33" s="401"/>
      <c r="H33" s="408"/>
      <c r="I33" s="402"/>
    </row>
    <row r="34" spans="1:9">
      <c r="A34" s="189"/>
      <c r="B34" s="401" t="s">
        <v>382</v>
      </c>
      <c r="C34" s="402"/>
      <c r="D34" s="231">
        <f>+F34+E34</f>
        <v>0</v>
      </c>
      <c r="E34" s="232">
        <f>+F34*0.1</f>
        <v>0</v>
      </c>
      <c r="F34" s="227"/>
      <c r="G34" s="401"/>
      <c r="H34" s="408"/>
      <c r="I34" s="402"/>
    </row>
    <row r="35" spans="1:9">
      <c r="A35" s="189"/>
      <c r="B35" s="401" t="s">
        <v>382</v>
      </c>
      <c r="C35" s="402"/>
      <c r="D35" s="231">
        <f>+F35+E35</f>
        <v>0</v>
      </c>
      <c r="E35" s="232">
        <f>+F35*0.1</f>
        <v>0</v>
      </c>
      <c r="F35" s="227"/>
      <c r="G35" s="401"/>
      <c r="H35" s="408"/>
      <c r="I35" s="402"/>
    </row>
    <row r="36" spans="1:9">
      <c r="A36" s="189"/>
      <c r="B36" s="229" t="s">
        <v>383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1"/>
      <c r="H36" s="403"/>
      <c r="I36" s="404"/>
    </row>
    <row r="37" spans="1:9">
      <c r="A37" s="189"/>
      <c r="B37" s="401" t="s">
        <v>384</v>
      </c>
      <c r="C37" s="402"/>
      <c r="D37" s="231">
        <f>+F37+E37</f>
        <v>0</v>
      </c>
      <c r="E37" s="232">
        <f>+F37*0.1</f>
        <v>0</v>
      </c>
      <c r="F37" s="227"/>
      <c r="G37" s="401"/>
      <c r="H37" s="403"/>
      <c r="I37" s="404"/>
    </row>
    <row r="38" spans="1:9">
      <c r="A38" s="189"/>
      <c r="B38" s="401" t="s">
        <v>384</v>
      </c>
      <c r="C38" s="402"/>
      <c r="D38" s="231">
        <f>+F38+E38</f>
        <v>0</v>
      </c>
      <c r="E38" s="232">
        <f>+F38*0.1</f>
        <v>0</v>
      </c>
      <c r="F38" s="231"/>
      <c r="G38" s="401"/>
      <c r="H38" s="403"/>
      <c r="I38" s="404"/>
    </row>
    <row r="39" spans="1:9">
      <c r="A39" s="189"/>
      <c r="B39" s="401" t="s">
        <v>384</v>
      </c>
      <c r="C39" s="402"/>
      <c r="D39" s="231">
        <f>+F39+E39</f>
        <v>0</v>
      </c>
      <c r="E39" s="232">
        <f>+F39*0.1</f>
        <v>0</v>
      </c>
      <c r="F39" s="227"/>
      <c r="G39" s="401"/>
      <c r="H39" s="408"/>
      <c r="I39" s="402"/>
    </row>
    <row r="40" spans="1:9">
      <c r="A40" s="189"/>
      <c r="B40" s="401" t="s">
        <v>384</v>
      </c>
      <c r="C40" s="402"/>
      <c r="D40" s="231">
        <f>+F40+E40</f>
        <v>0</v>
      </c>
      <c r="E40" s="232">
        <f>+F40*0.1</f>
        <v>0</v>
      </c>
      <c r="F40" s="231"/>
      <c r="G40" s="401"/>
      <c r="H40" s="408"/>
      <c r="I40" s="402"/>
    </row>
    <row r="41" spans="1:9">
      <c r="A41" s="189"/>
      <c r="B41" s="405" t="s">
        <v>385</v>
      </c>
      <c r="C41" s="406"/>
      <c r="D41" s="233">
        <f>SUM(D37:D40)</f>
        <v>0</v>
      </c>
      <c r="E41" s="233">
        <f>SUM(E37:E40)</f>
        <v>0</v>
      </c>
      <c r="F41" s="233">
        <f>SUM(F37:F40)</f>
        <v>0</v>
      </c>
      <c r="G41" s="401"/>
      <c r="H41" s="408"/>
      <c r="I41" s="402"/>
    </row>
    <row r="42" spans="1:9">
      <c r="A42" s="189"/>
      <c r="B42" s="405" t="s">
        <v>386</v>
      </c>
      <c r="C42" s="406"/>
      <c r="D42" s="233">
        <f>+D31+D36+D41</f>
        <v>0</v>
      </c>
      <c r="E42" s="233">
        <f>+E31+E36+E41</f>
        <v>0</v>
      </c>
      <c r="F42" s="233">
        <f>+F31+F36+F41</f>
        <v>0</v>
      </c>
      <c r="G42" s="401"/>
      <c r="H42" s="408"/>
      <c r="I42" s="402"/>
    </row>
    <row r="43" spans="1:9">
      <c r="A43" s="189"/>
      <c r="B43" s="401"/>
      <c r="C43" s="402"/>
      <c r="D43" s="231"/>
      <c r="E43" s="232"/>
      <c r="F43" s="226"/>
      <c r="G43" s="401"/>
      <c r="H43" s="408"/>
      <c r="I43" s="402"/>
    </row>
    <row r="44" spans="1:9">
      <c r="A44" s="189"/>
      <c r="B44" s="201" t="s">
        <v>387</v>
      </c>
      <c r="C44" s="202"/>
      <c r="D44" s="234"/>
      <c r="E44" s="235"/>
      <c r="F44" s="236"/>
      <c r="G44" s="401"/>
      <c r="H44" s="408"/>
      <c r="I44" s="402"/>
    </row>
    <row r="45" spans="1:9">
      <c r="A45" s="189"/>
      <c r="B45" s="405"/>
      <c r="C45" s="406"/>
      <c r="D45" s="233"/>
      <c r="E45" s="233"/>
      <c r="F45" s="233"/>
      <c r="G45" s="401"/>
      <c r="H45" s="408"/>
      <c r="I45" s="402"/>
    </row>
    <row r="46" spans="1:9">
      <c r="A46" s="237" t="s">
        <v>388</v>
      </c>
      <c r="B46" s="365"/>
      <c r="C46" s="366"/>
      <c r="D46" s="366"/>
      <c r="E46" s="366"/>
      <c r="F46" s="366"/>
      <c r="G46" s="366"/>
      <c r="H46" s="366"/>
      <c r="I46" s="367"/>
    </row>
    <row r="47" spans="1:9">
      <c r="A47" s="237"/>
      <c r="B47" s="365"/>
      <c r="C47" s="366"/>
      <c r="D47" s="366"/>
      <c r="E47" s="366"/>
      <c r="F47" s="366"/>
      <c r="G47" s="366"/>
      <c r="H47" s="366"/>
      <c r="I47" s="367"/>
    </row>
    <row r="48" spans="1:9">
      <c r="A48" s="237"/>
      <c r="B48" s="365"/>
      <c r="C48" s="366"/>
      <c r="D48" s="366"/>
      <c r="E48" s="366"/>
      <c r="F48" s="366"/>
      <c r="G48" s="366"/>
      <c r="H48" s="366"/>
      <c r="I48" s="367"/>
    </row>
    <row r="49" spans="1:16">
      <c r="A49" s="210"/>
      <c r="B49" s="409"/>
      <c r="C49" s="410"/>
      <c r="D49" s="238"/>
      <c r="E49" s="238"/>
      <c r="F49" s="238"/>
      <c r="G49" s="409"/>
      <c r="H49" s="411"/>
      <c r="I49" s="410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389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390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391</v>
      </c>
      <c r="D57" s="246" t="s">
        <v>392</v>
      </c>
      <c r="E57" s="246" t="s">
        <v>393</v>
      </c>
      <c r="F57" s="246" t="s">
        <v>394</v>
      </c>
      <c r="G57" s="246" t="s">
        <v>395</v>
      </c>
      <c r="H57" s="246" t="s">
        <v>396</v>
      </c>
      <c r="I57" s="246" t="s">
        <v>397</v>
      </c>
      <c r="J57" s="246" t="s">
        <v>398</v>
      </c>
      <c r="K57" s="246" t="s">
        <v>399</v>
      </c>
      <c r="L57" s="246" t="s">
        <v>400</v>
      </c>
      <c r="M57" s="246" t="s">
        <v>401</v>
      </c>
      <c r="N57" s="246" t="s">
        <v>402</v>
      </c>
      <c r="O57" s="239"/>
      <c r="P57" s="239"/>
    </row>
    <row r="58" spans="1:16">
      <c r="A58" s="239" t="s">
        <v>403</v>
      </c>
      <c r="B58" s="239"/>
      <c r="C58" s="242" t="s">
        <v>404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405</v>
      </c>
      <c r="B59" s="239"/>
      <c r="C59" s="242" t="s">
        <v>404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86" t="s">
        <v>66</v>
      </c>
      <c r="E63" s="386"/>
      <c r="F63" s="386"/>
      <c r="G63" s="386" t="s">
        <v>379</v>
      </c>
      <c r="H63" s="386"/>
      <c r="I63" s="386"/>
      <c r="J63" s="386"/>
      <c r="K63" s="386"/>
      <c r="L63" s="386"/>
      <c r="M63" s="239"/>
      <c r="N63" s="239"/>
      <c r="O63" s="239"/>
      <c r="P63" s="239"/>
    </row>
    <row r="64" spans="1:16" ht="54">
      <c r="A64" s="239" t="s">
        <v>406</v>
      </c>
      <c r="B64" s="250" t="s">
        <v>407</v>
      </c>
      <c r="C64" s="240" t="s">
        <v>391</v>
      </c>
      <c r="D64" s="246" t="s">
        <v>408</v>
      </c>
      <c r="E64" s="246" t="s">
        <v>409</v>
      </c>
      <c r="F64" s="246" t="s">
        <v>410</v>
      </c>
      <c r="G64" s="246" t="s">
        <v>411</v>
      </c>
      <c r="H64" s="246" t="s">
        <v>412</v>
      </c>
      <c r="I64" s="246" t="s">
        <v>397</v>
      </c>
      <c r="J64" s="246" t="s">
        <v>398</v>
      </c>
      <c r="K64" s="246" t="s">
        <v>413</v>
      </c>
      <c r="L64" s="246" t="s">
        <v>400</v>
      </c>
      <c r="M64" s="241" t="s">
        <v>401</v>
      </c>
      <c r="N64" s="241" t="s">
        <v>402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210</v>
      </c>
      <c r="C80" s="239"/>
      <c r="D80" s="239" t="s">
        <v>414</v>
      </c>
      <c r="E80" s="239" t="s">
        <v>415</v>
      </c>
      <c r="F80" s="239" t="s">
        <v>415</v>
      </c>
      <c r="G80" s="239" t="s">
        <v>415</v>
      </c>
      <c r="H80" s="239" t="s">
        <v>415</v>
      </c>
      <c r="I80" s="239" t="s">
        <v>415</v>
      </c>
      <c r="J80" s="239" t="s">
        <v>415</v>
      </c>
      <c r="K80" s="239" t="s">
        <v>415</v>
      </c>
      <c r="L80" s="239" t="s">
        <v>415</v>
      </c>
      <c r="M80" s="239" t="s">
        <v>415</v>
      </c>
      <c r="N80" s="239" t="s">
        <v>415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406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416</v>
      </c>
      <c r="E87" s="115"/>
      <c r="F87" s="115"/>
    </row>
    <row r="88" spans="1:16">
      <c r="C88" s="280"/>
      <c r="D88" s="297" t="s">
        <v>417</v>
      </c>
      <c r="E88" s="297"/>
      <c r="F88" s="298"/>
      <c r="G88" s="298"/>
      <c r="H88" s="298"/>
      <c r="I88" s="298"/>
      <c r="J88" s="298"/>
      <c r="K88" s="281"/>
    </row>
    <row r="89" spans="1:16" s="299" customFormat="1" ht="30">
      <c r="C89" s="282"/>
      <c r="D89" s="283" t="s">
        <v>418</v>
      </c>
      <c r="E89" s="282" t="s">
        <v>392</v>
      </c>
      <c r="F89" s="283" t="s">
        <v>419</v>
      </c>
      <c r="G89" s="283" t="s">
        <v>420</v>
      </c>
      <c r="H89" s="283" t="s">
        <v>421</v>
      </c>
      <c r="I89" s="283" t="s">
        <v>400</v>
      </c>
      <c r="J89" s="283" t="s">
        <v>422</v>
      </c>
      <c r="K89" s="283" t="s">
        <v>423</v>
      </c>
    </row>
    <row r="90" spans="1:16">
      <c r="C90" s="290" t="s">
        <v>424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>
      <c r="C91" s="288" t="s">
        <v>425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>
      <c r="C92" s="288" t="s">
        <v>426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>
      <c r="C93" s="288" t="s">
        <v>427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>
      <c r="C94" s="288" t="s">
        <v>428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>
      <c r="C95" s="288" t="s">
        <v>429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>
      <c r="C96" s="288" t="s">
        <v>430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3:11" ht="15" customHeight="1">
      <c r="C97" s="288" t="s">
        <v>431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3:11" ht="15" customHeight="1">
      <c r="C98" s="289" t="s">
        <v>432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3:11" ht="15" customHeight="1">
      <c r="C99" s="290" t="s">
        <v>433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3:11" ht="15" customHeight="1">
      <c r="C100" s="289" t="s">
        <v>434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3:11" ht="15" customHeight="1">
      <c r="C101" s="291" t="s">
        <v>435</v>
      </c>
      <c r="D101" s="304"/>
      <c r="E101" s="292">
        <f t="shared" si="0"/>
        <v>0</v>
      </c>
      <c r="F101" s="105"/>
      <c r="G101" s="105"/>
      <c r="H101" s="105"/>
      <c r="I101" s="105"/>
      <c r="J101" s="105"/>
      <c r="K101" s="293">
        <f t="shared" si="1"/>
        <v>0</v>
      </c>
    </row>
    <row r="102" spans="3:11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3:11">
      <c r="D103" s="308">
        <f>SUM(D90:D102)</f>
        <v>0</v>
      </c>
      <c r="E103" s="296">
        <f t="shared" ref="E103:J103" si="2">SUM(E90:E102)</f>
        <v>0</v>
      </c>
      <c r="F103" s="308">
        <f t="shared" si="2"/>
        <v>0</v>
      </c>
      <c r="G103" s="308">
        <f t="shared" si="2"/>
        <v>0</v>
      </c>
      <c r="H103" s="308">
        <f t="shared" si="2"/>
        <v>0</v>
      </c>
      <c r="I103" s="308">
        <f t="shared" si="2"/>
        <v>0</v>
      </c>
      <c r="J103" s="308">
        <f t="shared" si="2"/>
        <v>0</v>
      </c>
      <c r="K103" s="296">
        <f>SUM(K90:K102)</f>
        <v>0</v>
      </c>
    </row>
    <row r="104" spans="3:11">
      <c r="F104" s="115"/>
    </row>
    <row r="105" spans="3:11">
      <c r="C105" t="s">
        <v>186</v>
      </c>
      <c r="D105" s="105"/>
      <c r="E105" s="105"/>
      <c r="F105" s="309"/>
      <c r="G105" s="105"/>
      <c r="H105" s="105"/>
      <c r="I105" s="105"/>
      <c r="J105" s="105"/>
      <c r="K105" s="105"/>
    </row>
    <row r="106" spans="3:11">
      <c r="C106" s="139" t="s">
        <v>436</v>
      </c>
      <c r="D106" s="262">
        <v>28000</v>
      </c>
      <c r="E106" s="262"/>
      <c r="F106" s="193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3:11" s="43" customFormat="1">
      <c r="C107" s="43" t="s">
        <v>299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4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291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134</v>
      </c>
      <c r="B8" s="390" t="s">
        <v>135</v>
      </c>
      <c r="C8" s="391"/>
      <c r="D8" s="391"/>
      <c r="E8" s="392"/>
      <c r="F8" s="68" t="s">
        <v>136</v>
      </c>
      <c r="G8" s="390" t="s">
        <v>184</v>
      </c>
      <c r="H8" s="351"/>
      <c r="I8" s="352"/>
    </row>
    <row r="10" spans="1:14">
      <c r="F10" s="70"/>
    </row>
    <row r="11" spans="1:14">
      <c r="A11" s="65"/>
      <c r="B11" s="65"/>
      <c r="C11" s="65" t="s">
        <v>437</v>
      </c>
      <c r="G11" s="85" t="s">
        <v>119</v>
      </c>
      <c r="I11" s="47" t="s">
        <v>438</v>
      </c>
    </row>
    <row r="12" spans="1:14">
      <c r="A12" s="65"/>
      <c r="B12" s="65"/>
      <c r="C12" t="s">
        <v>439</v>
      </c>
      <c r="G12" s="86"/>
      <c r="I12" s="58">
        <v>0</v>
      </c>
    </row>
    <row r="13" spans="1:14">
      <c r="A13" s="65"/>
      <c r="B13" s="65"/>
      <c r="C13" t="s">
        <v>440</v>
      </c>
      <c r="G13" s="86"/>
      <c r="I13" s="58">
        <f>+G13/11*0.75</f>
        <v>0</v>
      </c>
    </row>
    <row r="14" spans="1:14">
      <c r="C14" t="s">
        <v>441</v>
      </c>
      <c r="G14" s="86"/>
      <c r="I14" s="58">
        <v>0</v>
      </c>
    </row>
    <row r="15" spans="1:14">
      <c r="C15" t="s">
        <v>442</v>
      </c>
      <c r="G15" s="87"/>
      <c r="I15" s="88">
        <f>+G15/11*0.75</f>
        <v>0</v>
      </c>
      <c r="K15" t="s">
        <v>443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444</v>
      </c>
      <c r="N16" s="90"/>
    </row>
    <row r="17" spans="1:14">
      <c r="A17" s="65"/>
      <c r="B17" s="65"/>
      <c r="C17" s="65"/>
      <c r="F17" s="70"/>
      <c r="K17" t="s">
        <v>445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446</v>
      </c>
      <c r="N18" t="e">
        <f>ROUNDDOWN(N16*N15,0)</f>
        <v>#DIV/0!</v>
      </c>
    </row>
    <row r="19" spans="1:14">
      <c r="C19" s="77" t="s">
        <v>447</v>
      </c>
      <c r="E19" s="47" t="s">
        <v>445</v>
      </c>
      <c r="F19" s="85" t="s">
        <v>446</v>
      </c>
      <c r="G19" s="47" t="s">
        <v>119</v>
      </c>
      <c r="I19" s="47" t="s">
        <v>448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449</v>
      </c>
      <c r="F26" s="80"/>
    </row>
    <row r="27" spans="1:14">
      <c r="C27" t="s">
        <v>81</v>
      </c>
      <c r="G27" s="91">
        <f>+G12</f>
        <v>0</v>
      </c>
    </row>
    <row r="28" spans="1:14">
      <c r="C28" t="s">
        <v>450</v>
      </c>
      <c r="F28" s="80"/>
      <c r="G28" s="91">
        <f>+G13</f>
        <v>0</v>
      </c>
      <c r="I28" s="58">
        <f>+G28/11*0.75</f>
        <v>0</v>
      </c>
    </row>
    <row r="29" spans="1:14">
      <c r="C29" t="s">
        <v>445</v>
      </c>
      <c r="F29" s="79"/>
      <c r="G29" s="91">
        <f>+G14-E24</f>
        <v>0</v>
      </c>
    </row>
    <row r="30" spans="1:14">
      <c r="C30" t="s">
        <v>446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8D1FF"/>
  </sheetPr>
  <dimension ref="A1:M27"/>
  <sheetViews>
    <sheetView workbookViewId="0">
      <selection activeCell="I32" sqref="I3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  <c r="J1" s="270"/>
    </row>
    <row r="2" spans="1:13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  <c r="J2" s="66"/>
    </row>
    <row r="3" spans="1:13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451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134</v>
      </c>
      <c r="B8" s="380" t="s">
        <v>135</v>
      </c>
      <c r="C8" s="381"/>
      <c r="D8" s="381"/>
      <c r="E8" s="393"/>
      <c r="F8" s="131" t="s">
        <v>136</v>
      </c>
      <c r="G8" s="380" t="s">
        <v>184</v>
      </c>
      <c r="H8" s="351"/>
      <c r="I8" s="352"/>
    </row>
    <row r="10" spans="1:13">
      <c r="F10" s="70"/>
    </row>
    <row r="11" spans="1:13">
      <c r="A11" s="77">
        <v>30900</v>
      </c>
      <c r="B11" s="77"/>
      <c r="C11" s="77" t="s">
        <v>452</v>
      </c>
      <c r="F11" s="70"/>
    </row>
    <row r="12" spans="1:13">
      <c r="C12" t="s">
        <v>453</v>
      </c>
      <c r="G12" s="259">
        <v>8524.18</v>
      </c>
      <c r="K12" s="47" t="s">
        <v>454</v>
      </c>
      <c r="L12" s="47" t="s">
        <v>136</v>
      </c>
    </row>
    <row r="13" spans="1:13">
      <c r="C13" t="s">
        <v>455</v>
      </c>
      <c r="G13" s="70">
        <v>0</v>
      </c>
      <c r="H13" t="s">
        <v>456</v>
      </c>
      <c r="K13" t="s">
        <v>457</v>
      </c>
    </row>
    <row r="14" spans="1:13">
      <c r="C14" t="s">
        <v>458</v>
      </c>
      <c r="G14" s="84">
        <f>+G12-G13</f>
        <v>8524.18</v>
      </c>
      <c r="K14" t="s">
        <v>459</v>
      </c>
    </row>
    <row r="15" spans="1:13">
      <c r="G15" s="70"/>
      <c r="K15" t="s">
        <v>460</v>
      </c>
    </row>
    <row r="16" spans="1:13" ht="15.75" thickBot="1">
      <c r="G16" s="58"/>
      <c r="L16" s="258">
        <f>SUM(L13:L15)</f>
        <v>0</v>
      </c>
      <c r="M16" t="s">
        <v>461</v>
      </c>
    </row>
    <row r="17" spans="1:8" ht="15.75" thickTop="1">
      <c r="A17" s="77">
        <v>37500</v>
      </c>
      <c r="B17" s="77"/>
      <c r="C17" s="77" t="s">
        <v>462</v>
      </c>
      <c r="G17" s="58"/>
    </row>
    <row r="18" spans="1:8">
      <c r="C18" t="s">
        <v>463</v>
      </c>
      <c r="G18" s="256">
        <v>1950.01</v>
      </c>
    </row>
    <row r="19" spans="1:8">
      <c r="C19" t="s">
        <v>464</v>
      </c>
      <c r="G19" s="260">
        <v>76</v>
      </c>
    </row>
    <row r="20" spans="1:8">
      <c r="G20" s="58">
        <f>SUM(G18:G19)</f>
        <v>2026.01</v>
      </c>
    </row>
    <row r="21" spans="1:8">
      <c r="C21" t="s">
        <v>455</v>
      </c>
      <c r="G21" s="70">
        <v>0</v>
      </c>
      <c r="H21" t="s">
        <v>456</v>
      </c>
    </row>
    <row r="22" spans="1:8">
      <c r="C22" t="s">
        <v>465</v>
      </c>
      <c r="G22" s="84">
        <f>+G20-G21</f>
        <v>2026.01</v>
      </c>
    </row>
    <row r="27" spans="1:8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3" sqref="F13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81</v>
      </c>
    </row>
    <row r="10" spans="1:10">
      <c r="B10">
        <v>2</v>
      </c>
      <c r="C10" t="s">
        <v>82</v>
      </c>
      <c r="F10" t="s">
        <v>83</v>
      </c>
    </row>
    <row r="12" spans="1:10">
      <c r="B12">
        <v>3</v>
      </c>
      <c r="C12" t="s">
        <v>84</v>
      </c>
      <c r="F12" t="s">
        <v>85</v>
      </c>
    </row>
    <row r="13" spans="1:10">
      <c r="C13" s="139"/>
    </row>
    <row r="14" spans="1:10">
      <c r="B14">
        <v>4</v>
      </c>
      <c r="C14" t="s">
        <v>86</v>
      </c>
      <c r="F14" t="s">
        <v>85</v>
      </c>
    </row>
    <row r="16" spans="1:10">
      <c r="B16">
        <v>5</v>
      </c>
      <c r="C16" t="s">
        <v>87</v>
      </c>
    </row>
    <row r="17" spans="3:3">
      <c r="C17" t="s">
        <v>88</v>
      </c>
    </row>
    <row r="18" spans="3:3">
      <c r="C18" s="139" t="s">
        <v>89</v>
      </c>
    </row>
    <row r="19" spans="3:3">
      <c r="C19" s="139" t="s">
        <v>90</v>
      </c>
    </row>
    <row r="20" spans="3:3">
      <c r="C20" s="139" t="s">
        <v>91</v>
      </c>
    </row>
    <row r="21" spans="3:3">
      <c r="C21" s="139" t="s">
        <v>92</v>
      </c>
    </row>
    <row r="22" spans="3:3">
      <c r="C22" s="139" t="s">
        <v>93</v>
      </c>
    </row>
    <row r="23" spans="3:3">
      <c r="C23" t="s">
        <v>94</v>
      </c>
    </row>
    <row r="24" spans="3:3">
      <c r="C24" s="139" t="s">
        <v>95</v>
      </c>
    </row>
    <row r="25" spans="3:3">
      <c r="C25" s="139" t="s">
        <v>96</v>
      </c>
    </row>
    <row r="26" spans="3:3">
      <c r="C26" t="s">
        <v>97</v>
      </c>
    </row>
    <row r="27" spans="3:3">
      <c r="C27" t="s">
        <v>98</v>
      </c>
    </row>
    <row r="28" spans="3:3">
      <c r="C28" t="s">
        <v>99</v>
      </c>
    </row>
    <row r="29" spans="3:3">
      <c r="C29" t="s">
        <v>100</v>
      </c>
    </row>
    <row r="30" spans="3:3">
      <c r="C30" s="139" t="s">
        <v>101</v>
      </c>
    </row>
    <row r="31" spans="3:3">
      <c r="C31" s="139" t="s">
        <v>102</v>
      </c>
    </row>
    <row r="32" spans="3:3">
      <c r="C32" s="139" t="s">
        <v>103</v>
      </c>
    </row>
    <row r="33" spans="3:3">
      <c r="C33" s="139" t="s">
        <v>104</v>
      </c>
    </row>
    <row r="34" spans="3:3">
      <c r="C34" t="s">
        <v>105</v>
      </c>
    </row>
    <row r="35" spans="3:3">
      <c r="C35" s="139" t="s">
        <v>106</v>
      </c>
    </row>
    <row r="36" spans="3:3">
      <c r="C36" s="139" t="s">
        <v>107</v>
      </c>
    </row>
    <row r="37" spans="3:3">
      <c r="C37" t="s">
        <v>108</v>
      </c>
    </row>
    <row r="38" spans="3:3">
      <c r="C38" s="139" t="s">
        <v>109</v>
      </c>
    </row>
    <row r="39" spans="3:3">
      <c r="C39" s="139" t="s">
        <v>110</v>
      </c>
    </row>
    <row r="40" spans="3:3">
      <c r="C40" s="139" t="s">
        <v>111</v>
      </c>
    </row>
    <row r="41" spans="3:3">
      <c r="C41" s="139" t="s">
        <v>112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8D1FF"/>
  </sheetPr>
  <dimension ref="A1:N36"/>
  <sheetViews>
    <sheetView tabSelected="1" topLeftCell="A6" workbookViewId="0">
      <selection activeCell="O35" sqref="O35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9" width="14.28515625" customWidth="1"/>
    <col min="10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38" t="str">
        <f>Index!$C$2</f>
        <v>ASHI</v>
      </c>
      <c r="D2" s="338"/>
      <c r="E2" s="338"/>
      <c r="F2" s="55"/>
      <c r="I2" s="59" t="s">
        <v>6</v>
      </c>
      <c r="J2" s="60" t="str">
        <f>Index!$H$2</f>
        <v>MG</v>
      </c>
      <c r="K2" s="61">
        <f>Index!$I$2</f>
        <v>45188</v>
      </c>
    </row>
    <row r="3" spans="1:14" ht="18">
      <c r="A3" s="123" t="s">
        <v>8</v>
      </c>
      <c r="B3" s="53"/>
      <c r="C3" s="339">
        <f>Index!$C$3</f>
        <v>45107</v>
      </c>
      <c r="D3" s="338"/>
      <c r="E3" s="338"/>
      <c r="F3" s="55"/>
      <c r="I3" s="59" t="s">
        <v>9</v>
      </c>
      <c r="J3" s="60" t="str">
        <f>Index!$H$3</f>
        <v>DB</v>
      </c>
      <c r="K3" s="61">
        <f>Index!$I$3</f>
        <v>45190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113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114</v>
      </c>
      <c r="D9" s="341" t="s">
        <v>115</v>
      </c>
      <c r="E9" s="341"/>
      <c r="F9" s="341"/>
      <c r="G9" s="341"/>
      <c r="I9" s="341" t="s">
        <v>116</v>
      </c>
      <c r="J9" s="341"/>
      <c r="K9" s="341"/>
      <c r="L9" s="341"/>
      <c r="N9" s="340" t="s">
        <v>117</v>
      </c>
    </row>
    <row r="10" spans="1:14">
      <c r="B10" t="s">
        <v>118</v>
      </c>
      <c r="D10" s="127">
        <v>15699</v>
      </c>
      <c r="E10" s="128">
        <f>+D10</f>
        <v>15699</v>
      </c>
      <c r="F10" s="128">
        <f>+D10</f>
        <v>15699</v>
      </c>
      <c r="G10" s="47" t="s">
        <v>119</v>
      </c>
      <c r="I10" s="127">
        <v>16848</v>
      </c>
      <c r="J10" s="128">
        <f>+I10</f>
        <v>16848</v>
      </c>
      <c r="K10" s="128">
        <f>+I10</f>
        <v>16848</v>
      </c>
      <c r="L10" s="47" t="s">
        <v>119</v>
      </c>
      <c r="N10" s="340"/>
    </row>
    <row r="11" spans="1:14">
      <c r="B11" t="s">
        <v>120</v>
      </c>
      <c r="D11" s="129">
        <f>(D14-D10)/365.25</f>
        <v>80.517453798767974</v>
      </c>
      <c r="E11" s="129">
        <f>(E14-E10)/365.25</f>
        <v>80.517453798767974</v>
      </c>
      <c r="F11" s="129">
        <f>(F14-F10)/365.25</f>
        <v>80.517453798767974</v>
      </c>
      <c r="G11" s="129"/>
      <c r="I11" s="129">
        <f>(I14-I10)/365.25</f>
        <v>77.371663244353186</v>
      </c>
      <c r="J11" s="129">
        <f>(J14-J10)/365.25</f>
        <v>77.371663244353186</v>
      </c>
      <c r="K11" s="129">
        <f>(K14-K10)/365.25</f>
        <v>77.371663244353186</v>
      </c>
      <c r="N11" s="340"/>
    </row>
    <row r="14" spans="1:14">
      <c r="B14" t="s">
        <v>121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122</v>
      </c>
      <c r="D16" s="318"/>
      <c r="E16" s="318"/>
      <c r="F16" s="318"/>
      <c r="I16" s="318"/>
      <c r="J16" s="318"/>
      <c r="K16" s="318"/>
    </row>
    <row r="17" spans="1:14">
      <c r="B17" t="s">
        <v>123</v>
      </c>
      <c r="D17" s="256" t="s">
        <v>124</v>
      </c>
      <c r="E17" s="256" t="s">
        <v>124</v>
      </c>
      <c r="F17" s="256" t="s">
        <v>124</v>
      </c>
      <c r="I17" s="256" t="s">
        <v>124</v>
      </c>
      <c r="J17" s="256" t="s">
        <v>124</v>
      </c>
      <c r="K17" s="256" t="s">
        <v>124</v>
      </c>
    </row>
    <row r="18" spans="1:14">
      <c r="B18" t="s">
        <v>125</v>
      </c>
      <c r="D18" s="256">
        <v>296877.18</v>
      </c>
      <c r="E18" s="256">
        <v>234428.99</v>
      </c>
      <c r="F18" s="256"/>
      <c r="G18" s="257"/>
      <c r="I18" s="256">
        <v>1594134.9</v>
      </c>
      <c r="J18" s="256">
        <v>239321.47</v>
      </c>
      <c r="K18" s="256"/>
    </row>
    <row r="20" spans="1:14">
      <c r="B20" t="s">
        <v>126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7.0000000000000007E-2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7.0000000000000007E-2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7.0000000000000007E-2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0.06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0.06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0.06</v>
      </c>
    </row>
    <row r="22" spans="1:14">
      <c r="B22" t="s">
        <v>127</v>
      </c>
      <c r="D22" s="91">
        <f>D18*D20</f>
        <v>20781.402600000001</v>
      </c>
      <c r="E22" s="91">
        <f>E18*E20</f>
        <v>16410.029300000002</v>
      </c>
      <c r="F22" s="91">
        <f>F18*F20</f>
        <v>0</v>
      </c>
      <c r="G22" s="91"/>
      <c r="I22" s="91">
        <f>I18*I20</f>
        <v>95648.093999999997</v>
      </c>
      <c r="J22" s="91">
        <f>J18*J20</f>
        <v>14359.288199999999</v>
      </c>
      <c r="K22" s="91">
        <f>K18*K20</f>
        <v>0</v>
      </c>
    </row>
    <row r="23" spans="1:14" s="44" customFormat="1" ht="15.75" thickBot="1">
      <c r="B23" s="44" t="s">
        <v>128</v>
      </c>
      <c r="D23" s="51">
        <f>ROUND(D22,-1)</f>
        <v>20780</v>
      </c>
      <c r="E23" s="51">
        <f>ROUND(E22,-1)</f>
        <v>16410</v>
      </c>
      <c r="F23" s="51">
        <f>ROUND(F22,-1)</f>
        <v>0</v>
      </c>
      <c r="G23" s="46">
        <f>SUM(D23:F23)</f>
        <v>37190</v>
      </c>
      <c r="I23" s="51">
        <f>ROUND(I22,-1)</f>
        <v>95650</v>
      </c>
      <c r="J23" s="51">
        <f>ROUND(J22,-1)</f>
        <v>14360</v>
      </c>
      <c r="K23" s="51">
        <f>ROUND(K22,-1)</f>
        <v>0</v>
      </c>
      <c r="L23" s="46">
        <f>SUM(I23:K23)</f>
        <v>110010</v>
      </c>
      <c r="N23" s="52">
        <f>G23+L23</f>
        <v>147200</v>
      </c>
    </row>
    <row r="24" spans="1:14" ht="15.75" thickTop="1"/>
    <row r="25" spans="1:14">
      <c r="B25" t="s">
        <v>129</v>
      </c>
      <c r="D25" s="91">
        <f>IF(D17="ABP",D18,D18*0.1)</f>
        <v>296877.18</v>
      </c>
      <c r="E25" s="91">
        <f t="shared" ref="E25:F25" si="0">IF(E17="ABP",E18,E18*0.1)</f>
        <v>234428.99</v>
      </c>
      <c r="F25" s="91">
        <f t="shared" si="0"/>
        <v>0</v>
      </c>
      <c r="G25" s="91"/>
      <c r="I25" s="91">
        <f t="shared" ref="I25:K25" si="1">IF(I17="ABP",I18,I18*0.1)</f>
        <v>1594134.9</v>
      </c>
      <c r="J25" s="91">
        <f t="shared" si="1"/>
        <v>239321.47</v>
      </c>
      <c r="K25" s="91">
        <f t="shared" si="1"/>
        <v>0</v>
      </c>
    </row>
    <row r="29" spans="1:14">
      <c r="A29" s="49" t="s">
        <v>130</v>
      </c>
      <c r="B29" s="49" t="s">
        <v>131</v>
      </c>
      <c r="C29" s="49" t="s">
        <v>132</v>
      </c>
      <c r="D29" s="47"/>
    </row>
    <row r="30" spans="1:14">
      <c r="A30">
        <v>0</v>
      </c>
      <c r="B30">
        <v>64.989999999999995</v>
      </c>
      <c r="C30" s="48">
        <v>0.04</v>
      </c>
      <c r="D30" s="317"/>
    </row>
    <row r="31" spans="1:14">
      <c r="A31">
        <v>64.989999999999995</v>
      </c>
      <c r="B31">
        <v>74</v>
      </c>
      <c r="C31" s="48">
        <v>0.05</v>
      </c>
      <c r="D31" s="317"/>
    </row>
    <row r="32" spans="1:14">
      <c r="A32">
        <v>74.989999999999995</v>
      </c>
      <c r="B32">
        <v>79</v>
      </c>
      <c r="C32" s="48">
        <v>0.06</v>
      </c>
      <c r="D32" s="317"/>
    </row>
    <row r="33" spans="1:4">
      <c r="A33">
        <v>79.989999999999995</v>
      </c>
      <c r="B33">
        <v>84</v>
      </c>
      <c r="C33" s="50">
        <v>7.0000000000000007E-2</v>
      </c>
      <c r="D33" s="317"/>
    </row>
    <row r="34" spans="1:4">
      <c r="A34">
        <v>84.99</v>
      </c>
      <c r="B34">
        <v>89</v>
      </c>
      <c r="C34" s="50">
        <v>0.09</v>
      </c>
      <c r="D34" s="317"/>
    </row>
    <row r="35" spans="1:4">
      <c r="A35">
        <v>89.99</v>
      </c>
      <c r="B35">
        <v>94</v>
      </c>
      <c r="C35" s="50">
        <v>0.11</v>
      </c>
      <c r="D35" s="317"/>
    </row>
    <row r="36" spans="1:4">
      <c r="A36">
        <v>94.99</v>
      </c>
      <c r="B36">
        <v>122</v>
      </c>
      <c r="C36" s="48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8D1FF"/>
  </sheetPr>
  <dimension ref="A1:L38"/>
  <sheetViews>
    <sheetView topLeftCell="A11" workbookViewId="0">
      <selection activeCell="G26" sqref="G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9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9" ht="18">
      <c r="D4" s="53"/>
      <c r="E4" s="53"/>
      <c r="F4" s="64"/>
      <c r="G4" s="65"/>
      <c r="I4" s="66"/>
    </row>
    <row r="5" spans="1:9" ht="18">
      <c r="A5" s="125" t="s">
        <v>133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134</v>
      </c>
      <c r="B8" s="342" t="s">
        <v>135</v>
      </c>
      <c r="C8" s="343"/>
      <c r="D8" s="343"/>
      <c r="E8" s="344"/>
      <c r="F8" s="138" t="s">
        <v>136</v>
      </c>
      <c r="G8" s="138" t="s">
        <v>136</v>
      </c>
      <c r="H8" s="138" t="s">
        <v>136</v>
      </c>
      <c r="I8" s="83"/>
    </row>
    <row r="10" spans="1:9">
      <c r="F10" s="70"/>
    </row>
    <row r="11" spans="1:9">
      <c r="A11" s="71"/>
      <c r="B11" s="71"/>
      <c r="C11" s="71" t="s">
        <v>137</v>
      </c>
      <c r="F11" s="72" t="s">
        <v>138</v>
      </c>
      <c r="G11" s="47" t="s">
        <v>139</v>
      </c>
      <c r="H11" s="47" t="s">
        <v>119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140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141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142</v>
      </c>
    </row>
    <row r="16" spans="1:9">
      <c r="F16" s="75"/>
      <c r="G16" s="133"/>
      <c r="H16" s="133"/>
      <c r="I16" t="s">
        <v>143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144</v>
      </c>
      <c r="F19">
        <f>COUNT(F13:F15)</f>
        <v>2</v>
      </c>
      <c r="G19">
        <f>COUNT(G13:G15)</f>
        <v>2</v>
      </c>
    </row>
    <row r="21" spans="3:9">
      <c r="C21" t="s">
        <v>145</v>
      </c>
      <c r="F21" s="74"/>
      <c r="I21" t="s">
        <v>146</v>
      </c>
    </row>
    <row r="23" spans="3:9">
      <c r="C23" t="s">
        <v>147</v>
      </c>
      <c r="F23" s="78"/>
      <c r="G23" s="134">
        <v>18394.349999999999</v>
      </c>
      <c r="H23" s="79"/>
      <c r="I23" t="s">
        <v>148</v>
      </c>
    </row>
    <row r="24" spans="3:9">
      <c r="C24" t="s">
        <v>149</v>
      </c>
      <c r="F24" s="80"/>
      <c r="G24" s="134">
        <v>24784.86</v>
      </c>
      <c r="H24" s="79"/>
    </row>
    <row r="25" spans="3:9">
      <c r="C25" t="s">
        <v>150</v>
      </c>
      <c r="F25" s="79"/>
      <c r="G25" s="135">
        <v>1192.76</v>
      </c>
      <c r="H25" s="79"/>
    </row>
    <row r="26" spans="3:9">
      <c r="C26" t="s">
        <v>151</v>
      </c>
      <c r="F26" s="81"/>
      <c r="G26" s="79">
        <f>G23-SUM(G24:G25)</f>
        <v>-7583.27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152</v>
      </c>
      <c r="F29" s="75">
        <f>ROUND(F21/4,0)</f>
        <v>0</v>
      </c>
      <c r="G29" s="133">
        <f>ROUND(G26/4,0)</f>
        <v>-1896</v>
      </c>
      <c r="H29" s="79"/>
    </row>
    <row r="30" spans="3:9">
      <c r="C30" t="s">
        <v>153</v>
      </c>
      <c r="F30" s="75">
        <f>(F29*F19)-F17</f>
        <v>0</v>
      </c>
      <c r="G30" s="75">
        <f>(G29*G19)-G17</f>
        <v>-3792</v>
      </c>
      <c r="H30" s="79"/>
    </row>
    <row r="31" spans="3:9">
      <c r="F31" s="78"/>
      <c r="G31" s="79"/>
      <c r="H31" s="79"/>
    </row>
    <row r="32" spans="3:9">
      <c r="C32" s="77" t="s">
        <v>154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-5688</v>
      </c>
      <c r="H35" s="133">
        <f t="shared" si="0"/>
        <v>-5688</v>
      </c>
    </row>
    <row r="36" spans="3:12">
      <c r="C36" s="73">
        <v>45444</v>
      </c>
      <c r="F36" s="82">
        <f>F21-SUM(F33:F35)</f>
        <v>0</v>
      </c>
      <c r="G36" s="82">
        <f>ROUND(G26,0)-SUM(G33:G35)</f>
        <v>-1895</v>
      </c>
      <c r="H36" s="133">
        <f t="shared" si="0"/>
        <v>-1895</v>
      </c>
    </row>
    <row r="38" spans="3:12" ht="15.75" thickBot="1">
      <c r="F38" s="76">
        <f>SUM(F33:F37)</f>
        <v>0</v>
      </c>
      <c r="G38" s="76">
        <f>SUM(G33:G37)</f>
        <v>-7583</v>
      </c>
      <c r="H38" s="76">
        <f>SUM(H33:H37)</f>
        <v>-7583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38" t="str">
        <f>Index!$C$1</f>
        <v>ASHBROOK SUPERANNUATION FUND</v>
      </c>
      <c r="C1" s="338"/>
      <c r="D1" s="338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38" t="str">
        <f>Index!$C$2</f>
        <v>ASHI</v>
      </c>
      <c r="C2" s="338"/>
      <c r="D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customFormat="1" ht="18">
      <c r="A3" s="123" t="s">
        <v>8</v>
      </c>
      <c r="B3" s="339">
        <f>Index!$C$3</f>
        <v>45107</v>
      </c>
      <c r="C3" s="339"/>
      <c r="D3" s="339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155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7" t="s">
        <v>156</v>
      </c>
      <c r="B8" s="348"/>
      <c r="C8" s="165" t="s">
        <v>157</v>
      </c>
      <c r="D8" s="165" t="s">
        <v>158</v>
      </c>
      <c r="E8" s="165" t="s">
        <v>159</v>
      </c>
      <c r="F8" s="165" t="s">
        <v>160</v>
      </c>
      <c r="G8" s="165" t="s">
        <v>161</v>
      </c>
      <c r="H8" s="165" t="s">
        <v>162</v>
      </c>
      <c r="I8" s="166" t="s">
        <v>163</v>
      </c>
    </row>
    <row r="9" spans="1:10" s="145" customFormat="1" ht="15">
      <c r="A9" s="167" t="s">
        <v>164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165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166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167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168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7" t="s">
        <v>169</v>
      </c>
      <c r="B15" s="394"/>
      <c r="C15" s="165" t="s">
        <v>157</v>
      </c>
      <c r="D15" s="165" t="s">
        <v>158</v>
      </c>
      <c r="E15" s="165" t="s">
        <v>159</v>
      </c>
      <c r="F15" s="165" t="s">
        <v>160</v>
      </c>
      <c r="G15" s="165" t="s">
        <v>161</v>
      </c>
      <c r="H15" s="165" t="s">
        <v>162</v>
      </c>
      <c r="I15" s="166" t="s">
        <v>163</v>
      </c>
    </row>
    <row r="16" spans="1:10" s="145" customFormat="1" ht="15">
      <c r="A16" s="177" t="s">
        <v>164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165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166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170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168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49" t="s">
        <v>171</v>
      </c>
      <c r="B22" s="350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172</v>
      </c>
      <c r="B24" s="146"/>
      <c r="G24" s="146"/>
    </row>
    <row r="25" spans="1:9" s="145" customFormat="1" ht="15">
      <c r="B25" s="146"/>
      <c r="C25" s="345" t="s">
        <v>173</v>
      </c>
      <c r="D25" s="345"/>
      <c r="E25" s="345" t="s">
        <v>174</v>
      </c>
      <c r="F25" s="345"/>
      <c r="G25" s="346" t="s">
        <v>175</v>
      </c>
      <c r="H25" s="346"/>
    </row>
    <row r="26" spans="1:9" s="145" customFormat="1" ht="15">
      <c r="A26" s="147" t="s">
        <v>3</v>
      </c>
      <c r="B26" s="145" t="s">
        <v>176</v>
      </c>
      <c r="C26" s="145" t="s">
        <v>157</v>
      </c>
      <c r="D26" s="145" t="s">
        <v>158</v>
      </c>
      <c r="E26" s="145" t="s">
        <v>157</v>
      </c>
      <c r="F26" s="145" t="s">
        <v>158</v>
      </c>
      <c r="G26" s="145" t="s">
        <v>157</v>
      </c>
      <c r="H26" s="145" t="s">
        <v>158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119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177</v>
      </c>
      <c r="H41" s="154">
        <f>I22+H39</f>
        <v>0</v>
      </c>
    </row>
    <row r="42" spans="1:8" s="145" customFormat="1" ht="15">
      <c r="A42" s="147"/>
      <c r="B42" s="155" t="s">
        <v>178</v>
      </c>
      <c r="C42" s="156">
        <f>I13</f>
        <v>0</v>
      </c>
      <c r="D42" s="157"/>
    </row>
    <row r="43" spans="1:8" s="145" customFormat="1" ht="15">
      <c r="A43" s="147"/>
      <c r="B43" s="158" t="s">
        <v>179</v>
      </c>
      <c r="C43" s="153">
        <f>I20</f>
        <v>0</v>
      </c>
      <c r="D43" s="159"/>
    </row>
    <row r="44" spans="1:8" s="145" customFormat="1" ht="15">
      <c r="A44" s="147"/>
      <c r="B44" s="160" t="s">
        <v>175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180</v>
      </c>
      <c r="C46" s="154">
        <v>0</v>
      </c>
      <c r="D46" s="159"/>
    </row>
    <row r="47" spans="1:8" s="145" customFormat="1" ht="15.75" thickBot="1">
      <c r="A47" s="147"/>
      <c r="B47" s="161" t="s">
        <v>181</v>
      </c>
      <c r="C47" s="162">
        <f>C46-C44</f>
        <v>0</v>
      </c>
      <c r="D47" s="163" t="s">
        <v>182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183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134</v>
      </c>
      <c r="B8" s="342" t="s">
        <v>135</v>
      </c>
      <c r="C8" s="343"/>
      <c r="D8" s="344"/>
      <c r="E8" s="138" t="s">
        <v>136</v>
      </c>
      <c r="F8" s="138" t="s">
        <v>136</v>
      </c>
      <c r="G8" s="138" t="s">
        <v>136</v>
      </c>
      <c r="H8" s="342" t="s">
        <v>184</v>
      </c>
      <c r="I8" s="344"/>
    </row>
    <row r="11" spans="1:10">
      <c r="A11" s="77"/>
      <c r="B11" s="77"/>
      <c r="C11" s="77" t="s">
        <v>185</v>
      </c>
      <c r="E11" s="47" t="s">
        <v>186</v>
      </c>
      <c r="F11" s="85" t="s">
        <v>187</v>
      </c>
      <c r="G11" s="85" t="s">
        <v>188</v>
      </c>
    </row>
    <row r="12" spans="1:10">
      <c r="C12" t="s">
        <v>189</v>
      </c>
      <c r="E12" s="93"/>
      <c r="F12" s="93"/>
      <c r="G12" s="93">
        <f>+E12-F12</f>
        <v>0</v>
      </c>
      <c r="H12" s="93"/>
    </row>
    <row r="13" spans="1:10">
      <c r="C13" t="s">
        <v>190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191</v>
      </c>
    </row>
    <row r="17" spans="1:1">
      <c r="A17" s="43" t="s">
        <v>192</v>
      </c>
    </row>
    <row r="18" spans="1:1">
      <c r="A18" s="43" t="s">
        <v>193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E8D1FF"/>
  </sheetPr>
  <dimension ref="A1:J51"/>
  <sheetViews>
    <sheetView workbookViewId="0">
      <selection activeCell="F30" sqref="F3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134</v>
      </c>
      <c r="B8" s="342" t="s">
        <v>135</v>
      </c>
      <c r="C8" s="343"/>
      <c r="D8" s="343"/>
      <c r="E8" s="344"/>
      <c r="F8" s="138" t="s">
        <v>136</v>
      </c>
      <c r="G8" s="342" t="s">
        <v>184</v>
      </c>
      <c r="H8" s="351"/>
      <c r="I8" s="352"/>
    </row>
    <row r="10" spans="1:10">
      <c r="F10" s="80"/>
    </row>
    <row r="11" spans="1:10">
      <c r="C11" t="s">
        <v>195</v>
      </c>
      <c r="F11" s="93">
        <v>4031271.58</v>
      </c>
      <c r="G11" s="43" t="s">
        <v>196</v>
      </c>
    </row>
    <row r="12" spans="1:10">
      <c r="C12" t="s">
        <v>197</v>
      </c>
      <c r="F12" s="116">
        <v>4031422.99</v>
      </c>
    </row>
    <row r="13" spans="1:10">
      <c r="C13" t="s">
        <v>198</v>
      </c>
      <c r="F13" s="93">
        <f>+F11-F12</f>
        <v>-151.41000000014901</v>
      </c>
      <c r="H13" t="s">
        <v>199</v>
      </c>
      <c r="I13" s="96">
        <f>+F13/F12</f>
        <v>-3.7557458092520575E-5</v>
      </c>
    </row>
    <row r="14" spans="1:10">
      <c r="C14" s="310" t="s">
        <v>200</v>
      </c>
      <c r="F14" s="312">
        <f>G50</f>
        <v>151.89000000002125</v>
      </c>
    </row>
    <row r="15" spans="1:10">
      <c r="C15" s="43" t="s">
        <v>201</v>
      </c>
      <c r="F15" s="311"/>
      <c r="H15" s="43" t="s">
        <v>202</v>
      </c>
      <c r="I15" s="43">
        <f>+F15/F12</f>
        <v>0</v>
      </c>
      <c r="J15" s="43" t="s">
        <v>203</v>
      </c>
    </row>
    <row r="16" spans="1:10">
      <c r="F16" s="95"/>
      <c r="H16" s="43"/>
      <c r="I16" s="97"/>
    </row>
    <row r="17" spans="3:7">
      <c r="C17" t="s">
        <v>204</v>
      </c>
      <c r="F17"/>
    </row>
    <row r="18" spans="3:7">
      <c r="C18" t="s">
        <v>205</v>
      </c>
    </row>
    <row r="19" spans="3:7">
      <c r="C19" t="s">
        <v>206</v>
      </c>
    </row>
    <row r="22" spans="3:7">
      <c r="C22" s="98" t="s">
        <v>207</v>
      </c>
      <c r="E22" s="47" t="s">
        <v>208</v>
      </c>
      <c r="F22" s="47" t="s">
        <v>209</v>
      </c>
      <c r="G22" s="99" t="s">
        <v>210</v>
      </c>
    </row>
    <row r="23" spans="3:7">
      <c r="C23" t="s">
        <v>211</v>
      </c>
      <c r="E23" s="93"/>
      <c r="F23" s="93"/>
      <c r="G23" s="93">
        <f t="shared" ref="G23:G49" si="0">+E23-F23</f>
        <v>0</v>
      </c>
    </row>
    <row r="24" spans="3:7">
      <c r="C24" t="s">
        <v>212</v>
      </c>
      <c r="E24" s="93">
        <v>182522.35</v>
      </c>
      <c r="F24" s="93">
        <v>182525.83</v>
      </c>
      <c r="G24" s="93">
        <f t="shared" si="0"/>
        <v>-3.4799999999813735</v>
      </c>
    </row>
    <row r="25" spans="3:7">
      <c r="C25" t="s">
        <v>213</v>
      </c>
      <c r="E25" s="93"/>
      <c r="F25" s="93"/>
      <c r="G25" s="93">
        <f t="shared" si="0"/>
        <v>0</v>
      </c>
    </row>
    <row r="26" spans="3:7">
      <c r="C26" t="s">
        <v>214</v>
      </c>
      <c r="E26" s="93"/>
      <c r="F26" s="93"/>
      <c r="G26" s="93">
        <f t="shared" si="0"/>
        <v>0</v>
      </c>
    </row>
    <row r="27" spans="3:7">
      <c r="C27" t="s">
        <v>215</v>
      </c>
      <c r="E27" s="93">
        <v>244247.73</v>
      </c>
      <c r="F27" s="93">
        <v>244264.15</v>
      </c>
      <c r="G27" s="93">
        <f t="shared" si="0"/>
        <v>-16.419999999983702</v>
      </c>
    </row>
    <row r="28" spans="3:7">
      <c r="C28" t="s">
        <v>216</v>
      </c>
      <c r="E28" s="93"/>
      <c r="F28" s="93"/>
      <c r="G28" s="93">
        <f t="shared" si="0"/>
        <v>0</v>
      </c>
    </row>
    <row r="29" spans="3:7">
      <c r="C29" t="s">
        <v>217</v>
      </c>
      <c r="E29" s="93">
        <v>113339.8</v>
      </c>
      <c r="F29" s="93">
        <v>113323.1</v>
      </c>
      <c r="G29" s="93">
        <f t="shared" si="0"/>
        <v>16.69999999999709</v>
      </c>
    </row>
    <row r="30" spans="3:7">
      <c r="C30" t="s">
        <v>218</v>
      </c>
      <c r="E30" s="93">
        <v>353719.89</v>
      </c>
      <c r="F30" s="93">
        <v>353711.51</v>
      </c>
      <c r="G30" s="93">
        <f t="shared" si="0"/>
        <v>8.3800000000046566</v>
      </c>
    </row>
    <row r="31" spans="3:7">
      <c r="C31" t="s">
        <v>219</v>
      </c>
      <c r="E31" s="93"/>
      <c r="F31" s="93"/>
      <c r="G31" s="93">
        <f t="shared" si="0"/>
        <v>0</v>
      </c>
    </row>
    <row r="32" spans="3:7">
      <c r="C32" t="s">
        <v>220</v>
      </c>
      <c r="E32" s="93"/>
      <c r="F32" s="93"/>
      <c r="G32" s="93">
        <f t="shared" si="0"/>
        <v>0</v>
      </c>
    </row>
    <row r="33" spans="3:7">
      <c r="C33" t="s">
        <v>221</v>
      </c>
      <c r="E33" s="93"/>
      <c r="F33" s="93"/>
      <c r="G33" s="93">
        <f t="shared" si="0"/>
        <v>0</v>
      </c>
    </row>
    <row r="34" spans="3:7">
      <c r="C34" t="s">
        <v>222</v>
      </c>
      <c r="E34" s="93">
        <v>42816.98</v>
      </c>
      <c r="F34" s="93">
        <v>42813.3</v>
      </c>
      <c r="G34" s="93">
        <f t="shared" si="0"/>
        <v>3.680000000000291</v>
      </c>
    </row>
    <row r="35" spans="3:7">
      <c r="C35" t="s">
        <v>223</v>
      </c>
      <c r="E35" s="93">
        <v>44569.95</v>
      </c>
      <c r="F35" s="93">
        <v>44572.04</v>
      </c>
      <c r="G35" s="93">
        <f t="shared" si="0"/>
        <v>-2.0900000000037835</v>
      </c>
    </row>
    <row r="36" spans="3:7">
      <c r="C36" t="s">
        <v>224</v>
      </c>
      <c r="E36" s="93">
        <v>47764.21</v>
      </c>
      <c r="F36" s="93">
        <v>47765.13</v>
      </c>
      <c r="G36" s="93">
        <f t="shared" si="0"/>
        <v>-0.91999999999825377</v>
      </c>
    </row>
    <row r="37" spans="3:7">
      <c r="C37" t="s">
        <v>225</v>
      </c>
      <c r="E37" s="93">
        <v>440049.43</v>
      </c>
      <c r="F37" s="93">
        <v>440032.74</v>
      </c>
      <c r="G37" s="93">
        <f t="shared" si="0"/>
        <v>16.690000000002328</v>
      </c>
    </row>
    <row r="38" spans="3:7">
      <c r="C38" t="s">
        <v>226</v>
      </c>
      <c r="E38" s="93"/>
      <c r="F38" s="93"/>
      <c r="G38" s="93">
        <f t="shared" si="0"/>
        <v>0</v>
      </c>
    </row>
    <row r="39" spans="3:7">
      <c r="C39" t="s">
        <v>227</v>
      </c>
      <c r="E39" s="93">
        <v>22139.17</v>
      </c>
      <c r="F39" s="93">
        <v>22137.83</v>
      </c>
      <c r="G39" s="93">
        <f t="shared" si="0"/>
        <v>1.3399999999965075</v>
      </c>
    </row>
    <row r="40" spans="3:7">
      <c r="C40" t="s">
        <v>228</v>
      </c>
      <c r="E40" s="93">
        <v>369021.34</v>
      </c>
      <c r="F40" s="93">
        <v>368970.69</v>
      </c>
      <c r="G40" s="93">
        <f t="shared" si="0"/>
        <v>50.650000000023283</v>
      </c>
    </row>
    <row r="41" spans="3:7">
      <c r="C41" t="s">
        <v>229</v>
      </c>
      <c r="E41" s="93">
        <v>310725.21999999997</v>
      </c>
      <c r="F41" s="93">
        <v>310689.88</v>
      </c>
      <c r="G41" s="93">
        <f t="shared" si="0"/>
        <v>35.339999999967404</v>
      </c>
    </row>
    <row r="42" spans="3:7">
      <c r="C42" t="s">
        <v>230</v>
      </c>
      <c r="E42" s="93"/>
      <c r="F42" s="93"/>
      <c r="G42" s="93">
        <f t="shared" si="0"/>
        <v>0</v>
      </c>
    </row>
    <row r="43" spans="3:7">
      <c r="C43" t="s">
        <v>231</v>
      </c>
      <c r="E43" s="93"/>
      <c r="F43" s="93"/>
      <c r="G43" s="93">
        <f t="shared" si="0"/>
        <v>0</v>
      </c>
    </row>
    <row r="44" spans="3:7">
      <c r="C44" t="s">
        <v>232</v>
      </c>
      <c r="E44" s="93">
        <v>19557.98</v>
      </c>
      <c r="F44" s="93">
        <v>19556.689999999999</v>
      </c>
      <c r="G44" s="93">
        <f t="shared" si="0"/>
        <v>1.2900000000008731</v>
      </c>
    </row>
    <row r="45" spans="3:7">
      <c r="C45" t="s">
        <v>233</v>
      </c>
      <c r="E45" s="93">
        <v>298396.94</v>
      </c>
      <c r="F45" s="93">
        <v>298386.99</v>
      </c>
      <c r="G45" s="93">
        <f t="shared" si="0"/>
        <v>9.9500000000116415</v>
      </c>
    </row>
    <row r="46" spans="3:7">
      <c r="C46" t="s">
        <v>234</v>
      </c>
      <c r="E46" s="93">
        <v>341869.3</v>
      </c>
      <c r="F46" s="93">
        <v>341835.75</v>
      </c>
      <c r="G46" s="93">
        <f t="shared" si="0"/>
        <v>33.549999999988358</v>
      </c>
    </row>
    <row r="47" spans="3:7">
      <c r="C47" t="s">
        <v>235</v>
      </c>
      <c r="E47" s="93"/>
      <c r="F47" s="93"/>
      <c r="G47" s="93">
        <f t="shared" si="0"/>
        <v>0</v>
      </c>
    </row>
    <row r="48" spans="3:7">
      <c r="C48" t="s">
        <v>236</v>
      </c>
      <c r="E48" s="93">
        <v>59440.1</v>
      </c>
      <c r="F48" s="93">
        <v>59442.87</v>
      </c>
      <c r="G48" s="93">
        <f t="shared" si="0"/>
        <v>-2.7700000000040745</v>
      </c>
    </row>
    <row r="49" spans="3:7">
      <c r="C49" t="s">
        <v>237</v>
      </c>
      <c r="E49" s="261"/>
      <c r="F49" s="261"/>
      <c r="G49" s="93">
        <f t="shared" si="0"/>
        <v>0</v>
      </c>
    </row>
    <row r="50" spans="3:7" ht="15.75" thickBot="1">
      <c r="E50" s="258">
        <f>SUM(E23:E49)</f>
        <v>2890180.3899999997</v>
      </c>
      <c r="F50" s="258">
        <f>SUM(F23:F49)</f>
        <v>2890028.5</v>
      </c>
      <c r="G50" s="258">
        <f>SUM(G23:G49)</f>
        <v>151.89000000002125</v>
      </c>
    </row>
    <row r="51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0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238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134</v>
      </c>
      <c r="B8" s="342" t="s">
        <v>135</v>
      </c>
      <c r="C8" s="343"/>
      <c r="D8" s="343"/>
      <c r="E8" s="344"/>
      <c r="F8" s="138" t="s">
        <v>136</v>
      </c>
      <c r="G8" s="342" t="s">
        <v>184</v>
      </c>
      <c r="H8" s="351"/>
      <c r="I8" s="352"/>
    </row>
    <row r="10" spans="1:10">
      <c r="A10" s="268"/>
      <c r="F10" s="70"/>
    </row>
    <row r="11" spans="1:10">
      <c r="C11" s="77" t="s">
        <v>239</v>
      </c>
      <c r="F11" s="70"/>
    </row>
    <row r="12" spans="1:10">
      <c r="C12" t="s">
        <v>45</v>
      </c>
      <c r="F12" s="70"/>
    </row>
    <row r="13" spans="1:10">
      <c r="C13" t="s">
        <v>240</v>
      </c>
      <c r="F13" s="70"/>
    </row>
    <row r="14" spans="1:10">
      <c r="C14" t="s">
        <v>241</v>
      </c>
      <c r="F14" s="70"/>
    </row>
    <row r="15" spans="1:10">
      <c r="C15" t="s">
        <v>242</v>
      </c>
      <c r="F15" s="70"/>
    </row>
    <row r="16" spans="1:10">
      <c r="F16" s="267">
        <f>SUM(F12:F15)</f>
        <v>0</v>
      </c>
    </row>
    <row r="17" spans="3:10">
      <c r="F17" s="70"/>
    </row>
    <row r="18" spans="3:10">
      <c r="C18" s="77" t="s">
        <v>243</v>
      </c>
      <c r="F18" s="70"/>
    </row>
    <row r="19" spans="3:10">
      <c r="C19" t="s">
        <v>244</v>
      </c>
      <c r="F19" s="70"/>
    </row>
    <row r="20" spans="3:10">
      <c r="C20" t="s">
        <v>245</v>
      </c>
      <c r="F20" s="70"/>
    </row>
    <row r="21" spans="3:10">
      <c r="C21" t="s">
        <v>246</v>
      </c>
      <c r="F21" s="70"/>
    </row>
    <row r="22" spans="3:10">
      <c r="F22" s="267">
        <f>SUM(F19:F21)</f>
        <v>0</v>
      </c>
    </row>
    <row r="23" spans="3:10">
      <c r="F23" s="70"/>
    </row>
    <row r="24" spans="3:10">
      <c r="C24" t="s">
        <v>201</v>
      </c>
      <c r="F24" s="70">
        <f>+F16-F22</f>
        <v>0</v>
      </c>
      <c r="H24" s="43" t="s">
        <v>202</v>
      </c>
      <c r="I24" s="97" t="e">
        <f>F24/F16</f>
        <v>#DIV/0!</v>
      </c>
      <c r="J24" s="43" t="s">
        <v>203</v>
      </c>
    </row>
    <row r="25" spans="3:10">
      <c r="F25" s="70"/>
    </row>
    <row r="26" spans="3:10">
      <c r="F26" s="70"/>
    </row>
    <row r="27" spans="3:10">
      <c r="C27" s="43" t="s">
        <v>247</v>
      </c>
      <c r="F27" s="70"/>
    </row>
    <row r="28" spans="3:10" ht="30">
      <c r="C28" s="263" t="s">
        <v>207</v>
      </c>
      <c r="D28" s="264"/>
      <c r="E28" s="265" t="s">
        <v>248</v>
      </c>
      <c r="F28" s="265" t="s">
        <v>249</v>
      </c>
      <c r="G28" s="266" t="s">
        <v>210</v>
      </c>
    </row>
    <row r="29" spans="3:10">
      <c r="C29" t="s">
        <v>250</v>
      </c>
      <c r="E29" s="100"/>
      <c r="F29" s="100"/>
      <c r="G29" s="91">
        <f t="shared" ref="G29:G32" si="0">+E29-F29</f>
        <v>0</v>
      </c>
    </row>
    <row r="30" spans="3:10">
      <c r="C30" t="s">
        <v>251</v>
      </c>
      <c r="E30" s="100"/>
      <c r="F30" s="100"/>
      <c r="G30" s="91">
        <f t="shared" si="0"/>
        <v>0</v>
      </c>
    </row>
    <row r="31" spans="3:10">
      <c r="C31" t="s">
        <v>252</v>
      </c>
      <c r="E31" s="100"/>
      <c r="F31" s="100"/>
      <c r="G31" s="91">
        <f t="shared" si="0"/>
        <v>0</v>
      </c>
    </row>
    <row r="32" spans="3:10">
      <c r="C32" t="s">
        <v>253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38" t="str">
        <f>Index!$C$1</f>
        <v>ASHBROOK SUPERANNUATION FUND</v>
      </c>
      <c r="D1" s="338"/>
      <c r="E1" s="338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8" t="str">
        <f>Index!$C$2</f>
        <v>ASHI</v>
      </c>
      <c r="D2" s="338"/>
      <c r="E2" s="338"/>
      <c r="F2" s="55"/>
      <c r="G2" s="59" t="s">
        <v>6</v>
      </c>
      <c r="H2" s="60" t="str">
        <f>Index!$H$2</f>
        <v>MG</v>
      </c>
      <c r="I2" s="61">
        <f>Index!$I$2</f>
        <v>45188</v>
      </c>
    </row>
    <row r="3" spans="1:12" ht="18">
      <c r="A3" s="123" t="s">
        <v>8</v>
      </c>
      <c r="B3" s="53"/>
      <c r="C3" s="339">
        <f>Index!$C$3</f>
        <v>45107</v>
      </c>
      <c r="D3" s="338"/>
      <c r="E3" s="338"/>
      <c r="F3" s="55"/>
      <c r="G3" s="59" t="s">
        <v>9</v>
      </c>
      <c r="H3" s="60" t="str">
        <f>Index!$H$3</f>
        <v>DB</v>
      </c>
      <c r="I3" s="61">
        <f>Index!$I$3</f>
        <v>45190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238</v>
      </c>
      <c r="C5" s="57"/>
      <c r="F5" s="58"/>
      <c r="G5" s="58"/>
      <c r="H5" s="65"/>
      <c r="J5" s="66"/>
    </row>
    <row r="6" spans="1:12" s="107" customFormat="1" ht="18">
      <c r="A6" s="313" t="s">
        <v>254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56"/>
      <c r="I7" s="356"/>
      <c r="J7" s="356"/>
      <c r="K7" s="356"/>
      <c r="L7" s="356"/>
    </row>
    <row r="8" spans="1:12" ht="42.75" customHeight="1" thickBot="1">
      <c r="A8" s="183" t="s">
        <v>134</v>
      </c>
      <c r="B8" s="357" t="s">
        <v>255</v>
      </c>
      <c r="C8" s="358"/>
      <c r="D8" s="359"/>
      <c r="E8" s="185" t="s">
        <v>256</v>
      </c>
      <c r="F8" s="185" t="s">
        <v>257</v>
      </c>
      <c r="G8" s="186" t="s">
        <v>258</v>
      </c>
      <c r="H8" s="187"/>
      <c r="I8" s="187"/>
      <c r="J8" s="187"/>
      <c r="K8" s="188"/>
      <c r="L8" s="188"/>
    </row>
    <row r="9" spans="1:12" ht="15.95" customHeight="1">
      <c r="A9" s="189"/>
      <c r="B9" s="360"/>
      <c r="C9" s="360"/>
      <c r="D9" s="360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1" t="s">
        <v>259</v>
      </c>
      <c r="C10" s="361"/>
      <c r="D10" s="361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53"/>
      <c r="C11" s="354"/>
      <c r="D11" s="355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53"/>
      <c r="C12" s="354"/>
      <c r="D12" s="355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53"/>
      <c r="C13" s="354"/>
      <c r="D13" s="355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2" t="s">
        <v>260</v>
      </c>
      <c r="C14" s="363"/>
      <c r="D14" s="364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5"/>
      <c r="C15" s="366"/>
      <c r="D15" s="367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1" t="s">
        <v>58</v>
      </c>
      <c r="C16" s="361"/>
      <c r="D16" s="361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68"/>
      <c r="C17" s="368"/>
      <c r="D17" s="368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53"/>
      <c r="C18" s="354"/>
      <c r="D18" s="355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73" t="s">
        <v>261</v>
      </c>
      <c r="C19" s="373"/>
      <c r="D19" s="373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5"/>
      <c r="C20" s="366"/>
      <c r="D20" s="367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74" t="s">
        <v>262</v>
      </c>
      <c r="C21" s="375"/>
      <c r="D21" s="376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77"/>
      <c r="C22" s="377"/>
      <c r="D22" s="377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0" t="s">
        <v>263</v>
      </c>
      <c r="C23" s="371"/>
      <c r="D23" s="372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264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265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78"/>
      <c r="C26" s="378"/>
      <c r="D26" s="378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0" t="s">
        <v>266</v>
      </c>
      <c r="C27" s="371"/>
      <c r="D27" s="372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35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50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5"/>
      <c r="C30" s="366"/>
      <c r="D30" s="367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5"/>
      <c r="C31" s="366"/>
      <c r="D31" s="367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0"/>
      <c r="C32" s="360"/>
      <c r="D32" s="360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0"/>
      <c r="C33" s="360"/>
      <c r="D33" s="360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0"/>
      <c r="C34" s="360"/>
      <c r="D34" s="360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69"/>
      <c r="C35" s="369"/>
      <c r="D35" s="369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1" ma:contentTypeDescription="Create a new document." ma:contentTypeScope="" ma:versionID="3bddeba116a4ec040b6c3dcc7b8511ce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4d9a52abddecc8bdf8c1d34b3d3bcb12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E3A5981-6D64-45AF-8CEF-E5C50CE8C4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2023-09-21T04:37:53Z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