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Common\Accountant\Land Agents\Venn Blaik Pty Ltd - Harcourts Cumberland Park\2021\"/>
    </mc:Choice>
  </mc:AlternateContent>
  <bookViews>
    <workbookView xWindow="0" yWindow="0" windowWidth="14250" windowHeight="5115" tabRatio="554"/>
  </bookViews>
  <sheets>
    <sheet name="Sheet1" sheetId="1" r:id="rId1"/>
    <sheet name="Sheet2" sheetId="2" r:id="rId2"/>
    <sheet name="Sheet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I11" i="1"/>
  <c r="K11" i="1" s="1"/>
  <c r="H11" i="1"/>
  <c r="I15" i="1"/>
  <c r="H15" i="1"/>
  <c r="G14" i="1"/>
  <c r="F4" i="3"/>
  <c r="F3" i="3"/>
  <c r="F2" i="3"/>
  <c r="D13" i="3"/>
  <c r="B3" i="3"/>
  <c r="B14" i="3"/>
  <c r="D10" i="3"/>
  <c r="D11" i="3" s="1"/>
  <c r="D9" i="3"/>
  <c r="C3" i="3"/>
  <c r="D3" i="3"/>
  <c r="K32" i="1" s="1"/>
  <c r="C2" i="3"/>
  <c r="I14" i="1"/>
  <c r="H14" i="1"/>
  <c r="I16" i="1"/>
  <c r="K16" i="1" s="1"/>
  <c r="H16" i="1"/>
  <c r="I17" i="1"/>
  <c r="H17" i="1"/>
  <c r="I6" i="1"/>
  <c r="H6" i="1"/>
  <c r="I18" i="1"/>
  <c r="K18" i="1" s="1"/>
  <c r="H18" i="1"/>
  <c r="H19" i="1"/>
  <c r="I4" i="1"/>
  <c r="H4" i="1"/>
  <c r="I20" i="1"/>
  <c r="K10" i="1"/>
  <c r="K12" i="1"/>
  <c r="K13" i="1"/>
  <c r="K15" i="1"/>
  <c r="K17" i="1"/>
  <c r="K19" i="1"/>
  <c r="K20" i="1"/>
  <c r="K21" i="1"/>
  <c r="K22" i="1"/>
  <c r="K23" i="1"/>
  <c r="K24" i="1"/>
  <c r="K25" i="1"/>
  <c r="K26" i="1"/>
  <c r="K27" i="1"/>
  <c r="K28" i="1"/>
  <c r="K29" i="1"/>
  <c r="K30" i="1"/>
  <c r="K35" i="1"/>
  <c r="K36" i="1"/>
  <c r="K37" i="1"/>
  <c r="K38" i="1"/>
  <c r="K39" i="1"/>
  <c r="H20" i="1"/>
  <c r="K5" i="1"/>
  <c r="I5" i="1"/>
  <c r="I8" i="1"/>
  <c r="H8" i="1"/>
  <c r="I7" i="1"/>
  <c r="H7" i="1"/>
  <c r="I9" i="1"/>
  <c r="H9" i="1"/>
  <c r="I10" i="1"/>
  <c r="H10" i="1"/>
  <c r="K14" i="1" l="1"/>
  <c r="D2" i="3"/>
  <c r="D5" i="3" l="1"/>
  <c r="K34" i="1" s="1"/>
  <c r="K33" i="1"/>
  <c r="K31" i="1"/>
  <c r="E18" i="1" l="1"/>
  <c r="E28" i="1" l="1"/>
  <c r="F28" i="1" s="1"/>
  <c r="E27" i="1"/>
  <c r="F27" i="1" s="1"/>
  <c r="E26" i="1"/>
  <c r="F26" i="1"/>
  <c r="E25" i="1" l="1"/>
  <c r="F25" i="1" s="1"/>
  <c r="G25" i="1" s="1"/>
  <c r="E24" i="1"/>
  <c r="F24" i="1" s="1"/>
  <c r="G24" i="1" s="1"/>
  <c r="E5" i="1"/>
  <c r="F5" i="1" s="1"/>
  <c r="E6" i="1"/>
  <c r="F6" i="1" s="1"/>
  <c r="E7" i="1"/>
  <c r="E8" i="1"/>
  <c r="F8" i="1" s="1"/>
  <c r="G8" i="1" s="1"/>
  <c r="E9" i="1"/>
  <c r="F9" i="1" s="1"/>
  <c r="G9" i="1" s="1"/>
  <c r="E10" i="1"/>
  <c r="F10" i="1" s="1"/>
  <c r="G10" i="1" s="1"/>
  <c r="E11" i="1"/>
  <c r="E12" i="1"/>
  <c r="F12" i="1" s="1"/>
  <c r="G12" i="1" s="1"/>
  <c r="E13" i="1"/>
  <c r="F13" i="1" s="1"/>
  <c r="G13" i="1" s="1"/>
  <c r="E14" i="1"/>
  <c r="F14" i="1" s="1"/>
  <c r="E15" i="1"/>
  <c r="F15" i="1" s="1"/>
  <c r="G15" i="1" s="1"/>
  <c r="E16" i="1"/>
  <c r="F16" i="1" s="1"/>
  <c r="G16" i="1" s="1"/>
  <c r="E17" i="1"/>
  <c r="F17" i="1" s="1"/>
  <c r="G17" i="1" s="1"/>
  <c r="F18" i="1"/>
  <c r="G18" i="1" s="1"/>
  <c r="E19" i="1"/>
  <c r="F19" i="1" s="1"/>
  <c r="G19" i="1" s="1"/>
  <c r="E20" i="1"/>
  <c r="F20" i="1" s="1"/>
  <c r="G20" i="1" s="1"/>
  <c r="E21" i="1"/>
  <c r="F21" i="1" s="1"/>
  <c r="G21" i="1" s="1"/>
  <c r="E22" i="1"/>
  <c r="F22" i="1" s="1"/>
  <c r="G22" i="1" s="1"/>
  <c r="E23" i="1"/>
  <c r="F23" i="1" s="1"/>
  <c r="G23" i="1" s="1"/>
  <c r="E4" i="1"/>
  <c r="F4" i="1" s="1"/>
  <c r="G4" i="1" s="1"/>
  <c r="G26" i="1"/>
  <c r="G27" i="1"/>
  <c r="G28" i="1"/>
  <c r="F7" i="1" l="1"/>
  <c r="G7" i="1" s="1"/>
  <c r="W14" i="1"/>
  <c r="F11" i="1"/>
  <c r="G11" i="1" s="1"/>
  <c r="A14" i="2"/>
  <c r="B14" i="2"/>
  <c r="G6" i="1"/>
  <c r="G5" i="1"/>
  <c r="W5" i="1" s="1"/>
  <c r="W12" i="1" l="1"/>
  <c r="B7" i="2" s="1"/>
  <c r="W11" i="1"/>
  <c r="K9" i="1"/>
  <c r="W9" i="1" s="1"/>
  <c r="W21" i="1"/>
  <c r="B11" i="2" s="1"/>
  <c r="K6" i="1"/>
  <c r="W6" i="1" s="1"/>
  <c r="B4" i="2" l="1"/>
  <c r="B6" i="2"/>
  <c r="W22" i="1"/>
  <c r="B12" i="2" s="1"/>
  <c r="W23" i="1"/>
  <c r="B13" i="2" s="1"/>
  <c r="W24" i="1"/>
  <c r="W25" i="1"/>
  <c r="W26" i="1"/>
  <c r="W15" i="1"/>
  <c r="W20" i="1"/>
  <c r="B10" i="2" s="1"/>
  <c r="W19" i="1"/>
  <c r="W18" i="1"/>
  <c r="W17" i="1"/>
  <c r="W16" i="1"/>
  <c r="B9" i="2"/>
  <c r="K8" i="1"/>
  <c r="W8" i="1" s="1"/>
  <c r="K7" i="1"/>
  <c r="W7" i="1" s="1"/>
  <c r="B3" i="2" l="1"/>
  <c r="W10" i="1"/>
  <c r="B5" i="2" s="1"/>
  <c r="W13" i="1"/>
  <c r="W28" i="1"/>
  <c r="W30" i="1"/>
  <c r="W29" i="1"/>
  <c r="W27" i="1" l="1"/>
  <c r="B8" i="2"/>
  <c r="K4" i="1" l="1"/>
  <c r="W4" i="1" s="1"/>
  <c r="B2" i="2" s="1"/>
</calcChain>
</file>

<file path=xl/sharedStrings.xml><?xml version="1.0" encoding="utf-8"?>
<sst xmlns="http://schemas.openxmlformats.org/spreadsheetml/2006/main" count="109" uniqueCount="40">
  <si>
    <t>Property</t>
  </si>
  <si>
    <t>Sale Price</t>
  </si>
  <si>
    <t>Commision Per Agreement Inc GST</t>
  </si>
  <si>
    <t>Commision Recieved</t>
  </si>
  <si>
    <t>Advertising &amp; Other Fees Agreed</t>
  </si>
  <si>
    <t>Signed Agreement Vendor To Purchaser</t>
  </si>
  <si>
    <t>Deposit to Bank</t>
  </si>
  <si>
    <t>Date out</t>
  </si>
  <si>
    <t>Withdrawal Out of Bank to Conveyencer</t>
  </si>
  <si>
    <t>Agrees to Taken Frm Bank</t>
  </si>
  <si>
    <t>if CHQ within days</t>
  </si>
  <si>
    <t>Withdrawal Out of Bank to VB</t>
  </si>
  <si>
    <t>Adverting Per VB</t>
  </si>
  <si>
    <t>Amount to VB</t>
  </si>
  <si>
    <t>Signed Agreement VB to Vendor</t>
  </si>
  <si>
    <t>Deposit Date In</t>
  </si>
  <si>
    <t>Amount paid upfront</t>
  </si>
  <si>
    <t>Match to Trust reciept book</t>
  </si>
  <si>
    <t>$</t>
  </si>
  <si>
    <t>Queries</t>
  </si>
  <si>
    <t>Gross Comm</t>
  </si>
  <si>
    <t>Gross Comm inc GST</t>
  </si>
  <si>
    <t>a</t>
  </si>
  <si>
    <t>16A Fleetwood Crescent</t>
  </si>
  <si>
    <t>20/33 Cliff Street</t>
  </si>
  <si>
    <t>10 Third Ave</t>
  </si>
  <si>
    <t>1/5 Simpson Street</t>
  </si>
  <si>
    <t>13 Willaroo</t>
  </si>
  <si>
    <t>492 The Parade</t>
  </si>
  <si>
    <t>54 Esplande</t>
  </si>
  <si>
    <t>59 George Street</t>
  </si>
  <si>
    <t>50Kyeema</t>
  </si>
  <si>
    <t>39 Third</t>
  </si>
  <si>
    <t>5/37 Curzon Street</t>
  </si>
  <si>
    <t>82 Cashel str</t>
  </si>
  <si>
    <t>178 Torrens</t>
  </si>
  <si>
    <t>94 Finniss</t>
  </si>
  <si>
    <t>13A Masters Ave</t>
  </si>
  <si>
    <t>4 Rosevear, Hawthorne</t>
  </si>
  <si>
    <t>22 Narinna Aveune, Cumberland Paark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</si>
</sst>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%"/>
    <numFmt numFmtId="165" formatCode="d/m/yy"/>
    <numFmt numFmtId="169" formatCode="_-* #,##0_-;\-* #,##0_-;_-* &quot;-&quot;??_-;_-@_-"/>
    <numFmt numFmtId="170" formatCode="_-* #,##0.0_-;\-* #,##0.0_-;_-* &quot;-&quot;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Helvetica"/>
    </font>
    <font>
      <b/>
      <sz val="10"/>
      <color indexed="8"/>
      <name val="Helvetica"/>
    </font>
    <font>
      <sz val="10"/>
      <color rgb="FFFF0000"/>
      <name val="Helvetica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8"/>
      <name val="Marlett"/>
      <charset val="2"/>
    </font>
    <font>
      <sz val="10"/>
      <name val="Helvetica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1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3" fontId="2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14" fontId="2" fillId="0" borderId="1" xfId="0" applyNumberFormat="1" applyFont="1" applyFill="1" applyBorder="1" applyAlignment="1">
      <alignment vertical="top" wrapText="1"/>
    </xf>
    <xf numFmtId="43" fontId="2" fillId="0" borderId="1" xfId="1" applyFont="1" applyFill="1" applyBorder="1" applyAlignment="1">
      <alignment vertical="top" wrapText="1"/>
    </xf>
    <xf numFmtId="43" fontId="2" fillId="0" borderId="1" xfId="0" applyNumberFormat="1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4" xfId="0" applyNumberFormat="1" applyFont="1" applyFill="1" applyBorder="1" applyAlignment="1">
      <alignment horizontal="center" vertical="top" wrapText="1"/>
    </xf>
    <xf numFmtId="165" fontId="2" fillId="0" borderId="4" xfId="0" applyNumberFormat="1" applyFont="1" applyFill="1" applyBorder="1" applyAlignment="1">
      <alignment vertical="top" wrapText="1"/>
    </xf>
    <xf numFmtId="3" fontId="2" fillId="0" borderId="4" xfId="0" applyNumberFormat="1" applyFont="1" applyFill="1" applyBorder="1" applyAlignment="1">
      <alignment vertical="top" wrapText="1"/>
    </xf>
    <xf numFmtId="43" fontId="2" fillId="0" borderId="4" xfId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vertical="top" wrapText="1"/>
    </xf>
    <xf numFmtId="44" fontId="2" fillId="0" borderId="2" xfId="3" applyFont="1" applyFill="1" applyBorder="1" applyAlignment="1">
      <alignment vertical="top" wrapText="1"/>
    </xf>
    <xf numFmtId="14" fontId="2" fillId="0" borderId="2" xfId="0" applyNumberFormat="1" applyFont="1" applyFill="1" applyBorder="1" applyAlignment="1">
      <alignment vertical="top" wrapText="1"/>
    </xf>
    <xf numFmtId="10" fontId="2" fillId="0" borderId="1" xfId="2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14" fontId="2" fillId="0" borderId="3" xfId="0" applyNumberFormat="1" applyFont="1" applyFill="1" applyBorder="1" applyAlignment="1">
      <alignment vertical="top" wrapText="1"/>
    </xf>
    <xf numFmtId="165" fontId="2" fillId="0" borderId="3" xfId="0" applyNumberFormat="1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43" fontId="2" fillId="0" borderId="6" xfId="1" applyFont="1" applyFill="1" applyBorder="1" applyAlignment="1">
      <alignment vertical="top" wrapText="1"/>
    </xf>
    <xf numFmtId="14" fontId="2" fillId="0" borderId="6" xfId="1" applyNumberFormat="1" applyFont="1" applyFill="1" applyBorder="1" applyAlignment="1">
      <alignment vertical="top" wrapText="1"/>
    </xf>
    <xf numFmtId="43" fontId="2" fillId="0" borderId="7" xfId="1" applyFont="1" applyFill="1" applyBorder="1" applyAlignment="1">
      <alignment vertical="top" wrapText="1"/>
    </xf>
    <xf numFmtId="0" fontId="3" fillId="2" borderId="4" xfId="0" applyNumberFormat="1" applyFont="1" applyFill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vertical="top" wrapText="1"/>
    </xf>
    <xf numFmtId="0" fontId="2" fillId="0" borderId="8" xfId="0" applyNumberFormat="1" applyFont="1" applyFill="1" applyBorder="1" applyAlignment="1">
      <alignment vertical="top" wrapText="1"/>
    </xf>
    <xf numFmtId="0" fontId="2" fillId="0" borderId="6" xfId="0" applyNumberFormat="1" applyFont="1" applyFill="1" applyBorder="1" applyAlignment="1">
      <alignment horizontal="center" vertical="top" wrapText="1"/>
    </xf>
    <xf numFmtId="0" fontId="2" fillId="0" borderId="7" xfId="0" applyNumberFormat="1" applyFont="1" applyFill="1" applyBorder="1" applyAlignment="1">
      <alignment horizontal="center" vertical="top" wrapText="1"/>
    </xf>
    <xf numFmtId="0" fontId="2" fillId="0" borderId="9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horizontal="center" vertical="top" wrapText="1"/>
    </xf>
    <xf numFmtId="43" fontId="2" fillId="0" borderId="3" xfId="0" applyNumberFormat="1" applyFont="1" applyFill="1" applyBorder="1" applyAlignment="1">
      <alignment vertical="top" wrapText="1"/>
    </xf>
    <xf numFmtId="0" fontId="3" fillId="2" borderId="6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vertical="top" wrapText="1"/>
    </xf>
    <xf numFmtId="0" fontId="4" fillId="0" borderId="2" xfId="0" applyNumberFormat="1" applyFont="1" applyFill="1" applyBorder="1" applyAlignment="1">
      <alignment vertical="top" wrapText="1"/>
    </xf>
    <xf numFmtId="0" fontId="5" fillId="0" borderId="0" xfId="0" applyFont="1"/>
    <xf numFmtId="10" fontId="2" fillId="0" borderId="3" xfId="2" applyNumberFormat="1" applyFont="1" applyFill="1" applyBorder="1" applyAlignment="1">
      <alignment vertical="top" wrapText="1"/>
    </xf>
    <xf numFmtId="14" fontId="2" fillId="0" borderId="5" xfId="0" applyNumberFormat="1" applyFont="1" applyFill="1" applyBorder="1" applyAlignment="1">
      <alignment vertical="top" wrapText="1"/>
    </xf>
    <xf numFmtId="0" fontId="0" fillId="0" borderId="0" xfId="0" applyAlignment="1">
      <alignment wrapText="1"/>
    </xf>
    <xf numFmtId="10" fontId="2" fillId="0" borderId="1" xfId="2" quotePrefix="1" applyNumberFormat="1" applyFont="1" applyFill="1" applyBorder="1" applyAlignment="1">
      <alignment horizontal="right" vertical="top" wrapText="1"/>
    </xf>
    <xf numFmtId="0" fontId="0" fillId="0" borderId="0" xfId="0" applyFont="1"/>
    <xf numFmtId="0" fontId="6" fillId="0" borderId="0" xfId="0" applyFont="1"/>
    <xf numFmtId="44" fontId="2" fillId="0" borderId="1" xfId="0" applyNumberFormat="1" applyFont="1" applyFill="1" applyBorder="1" applyAlignment="1">
      <alignment vertical="top" wrapText="1"/>
    </xf>
    <xf numFmtId="43" fontId="2" fillId="0" borderId="2" xfId="1" applyFont="1" applyFill="1" applyBorder="1" applyAlignment="1">
      <alignment vertical="top" wrapText="1"/>
    </xf>
    <xf numFmtId="43" fontId="4" fillId="0" borderId="2" xfId="1" applyFont="1" applyFill="1" applyBorder="1" applyAlignment="1">
      <alignment vertical="top" wrapText="1"/>
    </xf>
    <xf numFmtId="0" fontId="7" fillId="0" borderId="6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3" fontId="7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4" fontId="2" fillId="0" borderId="3" xfId="0" applyNumberFormat="1" applyFont="1" applyFill="1" applyBorder="1" applyAlignment="1">
      <alignment vertical="top" wrapText="1"/>
    </xf>
    <xf numFmtId="44" fontId="2" fillId="0" borderId="4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14" fontId="2" fillId="0" borderId="0" xfId="0" applyNumberFormat="1" applyFont="1" applyFill="1" applyAlignment="1">
      <alignment vertical="top" wrapText="1"/>
    </xf>
    <xf numFmtId="43" fontId="8" fillId="0" borderId="2" xfId="1" applyFont="1" applyFill="1" applyBorder="1" applyAlignment="1">
      <alignment vertical="top" wrapText="1"/>
    </xf>
    <xf numFmtId="0" fontId="2" fillId="3" borderId="0" xfId="0" applyNumberFormat="1" applyFont="1" applyFill="1" applyAlignment="1">
      <alignment vertical="top" wrapText="1"/>
    </xf>
    <xf numFmtId="10" fontId="2" fillId="0" borderId="1" xfId="0" applyNumberFormat="1" applyFont="1" applyFill="1" applyBorder="1" applyAlignment="1">
      <alignment vertical="top" wrapText="1"/>
    </xf>
    <xf numFmtId="10" fontId="0" fillId="0" borderId="0" xfId="0" applyNumberFormat="1"/>
    <xf numFmtId="9" fontId="0" fillId="0" borderId="0" xfId="0" applyNumberFormat="1"/>
    <xf numFmtId="169" fontId="0" fillId="0" borderId="0" xfId="1" applyNumberFormat="1" applyFont="1"/>
    <xf numFmtId="170" fontId="0" fillId="0" borderId="0" xfId="0" applyNumberFormat="1"/>
    <xf numFmtId="10" fontId="2" fillId="0" borderId="4" xfId="2" applyNumberFormat="1" applyFont="1" applyFill="1" applyBorder="1" applyAlignment="1">
      <alignment vertical="top" wrapText="1"/>
    </xf>
  </cellXfs>
  <cellStyles count="4">
    <cellStyle name="Comma" xfId="1" builtinId="3"/>
    <cellStyle name="Currency" xfId="3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Z43"/>
  <sheetViews>
    <sheetView tabSelected="1" topLeftCell="H1" zoomScale="90" zoomScaleNormal="90" workbookViewId="0">
      <pane ySplit="2" topLeftCell="A4" activePane="bottomLeft" state="frozen"/>
      <selection pane="bottomLeft" activeCell="M14" sqref="M14"/>
    </sheetView>
  </sheetViews>
  <sheetFormatPr defaultColWidth="17.42578125" defaultRowHeight="15" x14ac:dyDescent="0.25"/>
  <cols>
    <col min="1" max="1" width="7.5703125" style="3" customWidth="1"/>
    <col min="2" max="2" width="37" style="3" customWidth="1"/>
    <col min="3" max="5" width="12.7109375" style="3" customWidth="1"/>
    <col min="6" max="6" width="15.28515625" style="3" customWidth="1"/>
    <col min="7" max="7" width="11.7109375" style="3" customWidth="1"/>
    <col min="8" max="8" width="17.42578125" style="3" customWidth="1"/>
    <col min="9" max="10" width="10.85546875" style="3" customWidth="1"/>
    <col min="11" max="11" width="13.85546875" style="3" bestFit="1" customWidth="1"/>
    <col min="12" max="12" width="14.7109375" style="3" customWidth="1"/>
    <col min="13" max="13" width="13.85546875" style="3" customWidth="1"/>
    <col min="14" max="14" width="13" style="3" customWidth="1"/>
    <col min="15" max="16" width="13.5703125" style="3" customWidth="1"/>
    <col min="17" max="17" width="17.42578125" style="3" customWidth="1"/>
    <col min="18" max="18" width="11.28515625" style="3" customWidth="1"/>
    <col min="19" max="19" width="14.42578125" style="3" customWidth="1"/>
    <col min="20" max="20" width="12.7109375" style="3" customWidth="1"/>
    <col min="21" max="21" width="10.7109375" style="3" customWidth="1"/>
    <col min="22" max="22" width="6.42578125" style="3" customWidth="1"/>
    <col min="23" max="23" width="43.28515625" style="3" customWidth="1"/>
    <col min="24" max="260" width="17.42578125" style="3" customWidth="1"/>
    <col min="261" max="16384" width="17.42578125" style="5"/>
  </cols>
  <sheetData>
    <row r="1" spans="2:23" x14ac:dyDescent="0.25">
      <c r="O1" s="3" t="s">
        <v>18</v>
      </c>
    </row>
    <row r="2" spans="2:23" ht="63.75" x14ac:dyDescent="0.25">
      <c r="B2" s="2" t="s">
        <v>0</v>
      </c>
      <c r="C2" s="2" t="s">
        <v>1</v>
      </c>
      <c r="D2" s="2" t="s">
        <v>20</v>
      </c>
      <c r="E2" s="2" t="s">
        <v>21</v>
      </c>
      <c r="F2" s="2" t="s">
        <v>2</v>
      </c>
      <c r="G2" s="2" t="s">
        <v>3</v>
      </c>
      <c r="H2" s="2" t="s">
        <v>4</v>
      </c>
      <c r="I2" s="2" t="s">
        <v>12</v>
      </c>
      <c r="J2" s="37" t="s">
        <v>16</v>
      </c>
      <c r="K2" s="40" t="s">
        <v>13</v>
      </c>
      <c r="L2" s="39" t="s">
        <v>14</v>
      </c>
      <c r="M2" s="2" t="s">
        <v>5</v>
      </c>
      <c r="N2" s="2" t="s">
        <v>15</v>
      </c>
      <c r="O2" s="2" t="s">
        <v>6</v>
      </c>
      <c r="P2" s="2" t="s">
        <v>17</v>
      </c>
      <c r="Q2" s="2" t="s">
        <v>11</v>
      </c>
      <c r="R2" s="2" t="s">
        <v>7</v>
      </c>
      <c r="S2" s="31" t="s">
        <v>8</v>
      </c>
      <c r="T2" s="2" t="s">
        <v>7</v>
      </c>
      <c r="U2" s="2" t="s">
        <v>9</v>
      </c>
      <c r="V2" s="2" t="s">
        <v>10</v>
      </c>
      <c r="W2" s="4"/>
    </row>
    <row r="3" spans="2:23" x14ac:dyDescent="0.25">
      <c r="B3" s="9"/>
      <c r="C3" s="6"/>
      <c r="D3" s="6"/>
      <c r="E3" s="6"/>
      <c r="F3" s="7"/>
      <c r="G3" s="8"/>
      <c r="H3" s="9"/>
      <c r="I3" s="9"/>
      <c r="J3" s="24"/>
      <c r="K3" s="41"/>
      <c r="L3" s="34"/>
      <c r="M3" s="9"/>
      <c r="N3" s="9"/>
      <c r="O3" s="6"/>
      <c r="P3" s="6"/>
      <c r="Q3" s="13"/>
      <c r="R3" s="24"/>
      <c r="S3" s="51"/>
      <c r="T3" s="28"/>
      <c r="U3" s="9"/>
      <c r="V3" s="9"/>
      <c r="W3" s="9"/>
    </row>
    <row r="4" spans="2:23" ht="14.25" customHeight="1" x14ac:dyDescent="0.25">
      <c r="B4" s="10" t="s">
        <v>23</v>
      </c>
      <c r="C4" s="6">
        <v>885000</v>
      </c>
      <c r="D4" s="6">
        <v>12390</v>
      </c>
      <c r="E4" s="6">
        <f>+D4*1.1</f>
        <v>13629.000000000002</v>
      </c>
      <c r="F4" s="23">
        <f>+E4/C4</f>
        <v>1.5400000000000002E-2</v>
      </c>
      <c r="G4" s="8">
        <f>F4*C4</f>
        <v>13629.000000000002</v>
      </c>
      <c r="H4" s="3">
        <f>2990+495+695</f>
        <v>4180</v>
      </c>
      <c r="I4" s="14">
        <f>2990+495</f>
        <v>3485</v>
      </c>
      <c r="J4" s="32">
        <v>1490</v>
      </c>
      <c r="K4" s="21">
        <f>G4+I4-J4</f>
        <v>15624</v>
      </c>
      <c r="L4" s="53" t="s">
        <v>22</v>
      </c>
      <c r="M4" s="54" t="s">
        <v>22</v>
      </c>
      <c r="N4" s="11">
        <v>44231</v>
      </c>
      <c r="O4" s="6">
        <v>88500</v>
      </c>
      <c r="P4" s="55" t="s">
        <v>22</v>
      </c>
      <c r="Q4" s="13">
        <v>15624</v>
      </c>
      <c r="R4" s="25">
        <v>44253</v>
      </c>
      <c r="S4" s="51">
        <v>72876</v>
      </c>
      <c r="T4" s="61">
        <v>44246</v>
      </c>
      <c r="U4" s="56" t="s">
        <v>22</v>
      </c>
      <c r="V4" s="9"/>
      <c r="W4" s="50" t="b">
        <f t="shared" ref="W4:W25" si="0">+O4=K4+S4</f>
        <v>1</v>
      </c>
    </row>
    <row r="5" spans="2:23" ht="15" customHeight="1" x14ac:dyDescent="0.25">
      <c r="B5" s="59" t="s">
        <v>24</v>
      </c>
      <c r="C5" s="6">
        <v>225000</v>
      </c>
      <c r="D5" s="6">
        <v>5625</v>
      </c>
      <c r="E5" s="6">
        <f t="shared" ref="E5:E28" si="1">+D5*1.1</f>
        <v>6187.5000000000009</v>
      </c>
      <c r="F5" s="23">
        <f t="shared" ref="F5:F6" si="2">+E5/C5</f>
        <v>2.7500000000000004E-2</v>
      </c>
      <c r="G5" s="8">
        <f>F5*C5</f>
        <v>6187.5000000000009</v>
      </c>
      <c r="H5" s="10">
        <v>1985</v>
      </c>
      <c r="I5" s="10">
        <f>1490+495</f>
        <v>1985</v>
      </c>
      <c r="J5" s="3">
        <v>1490</v>
      </c>
      <c r="K5" s="21">
        <f>G5+I5-J5</f>
        <v>6682.5000000000009</v>
      </c>
      <c r="L5" s="53"/>
      <c r="M5" s="54"/>
      <c r="N5" s="11">
        <v>44216</v>
      </c>
      <c r="O5" s="6">
        <v>10000</v>
      </c>
      <c r="P5" s="55" t="s">
        <v>22</v>
      </c>
      <c r="Q5" s="13">
        <v>6682.5</v>
      </c>
      <c r="R5" s="25">
        <v>44246</v>
      </c>
      <c r="S5" s="51">
        <v>3317.5</v>
      </c>
      <c r="T5" s="29">
        <v>44239</v>
      </c>
      <c r="U5" s="56" t="s">
        <v>22</v>
      </c>
      <c r="V5" s="9"/>
      <c r="W5" s="50" t="b">
        <f t="shared" si="0"/>
        <v>1</v>
      </c>
    </row>
    <row r="6" spans="2:23" ht="15" customHeight="1" x14ac:dyDescent="0.25">
      <c r="B6" s="59" t="s">
        <v>25</v>
      </c>
      <c r="C6" s="6">
        <v>605000</v>
      </c>
      <c r="D6" s="6">
        <v>8250</v>
      </c>
      <c r="E6" s="6">
        <f t="shared" si="1"/>
        <v>9075</v>
      </c>
      <c r="F6" s="23">
        <f t="shared" si="2"/>
        <v>1.4999999999999999E-2</v>
      </c>
      <c r="G6" s="8">
        <f>F6*C6</f>
        <v>9075</v>
      </c>
      <c r="H6" s="10">
        <f>2585+495</f>
        <v>3080</v>
      </c>
      <c r="I6" s="10">
        <f>195+350+1990+495</f>
        <v>3030</v>
      </c>
      <c r="J6" s="32">
        <v>1990</v>
      </c>
      <c r="K6" s="21">
        <f>G6+I6-J6</f>
        <v>10115</v>
      </c>
      <c r="L6" s="53" t="s">
        <v>22</v>
      </c>
      <c r="M6" s="54" t="s">
        <v>22</v>
      </c>
      <c r="N6" s="12">
        <v>44196</v>
      </c>
      <c r="O6" s="6">
        <v>15000</v>
      </c>
      <c r="P6" s="55" t="s">
        <v>22</v>
      </c>
      <c r="Q6" s="13">
        <v>10115</v>
      </c>
      <c r="R6" s="25">
        <v>44236</v>
      </c>
      <c r="S6" s="51">
        <v>4885</v>
      </c>
      <c r="T6" s="25">
        <v>44228</v>
      </c>
      <c r="U6" s="56" t="s">
        <v>22</v>
      </c>
      <c r="V6" s="9"/>
      <c r="W6" s="50" t="b">
        <f t="shared" si="0"/>
        <v>1</v>
      </c>
    </row>
    <row r="7" spans="2:23" x14ac:dyDescent="0.25">
      <c r="B7" s="59" t="s">
        <v>26</v>
      </c>
      <c r="C7" s="6">
        <v>165000</v>
      </c>
      <c r="D7" s="6">
        <v>4950</v>
      </c>
      <c r="E7" s="6">
        <f t="shared" si="1"/>
        <v>5445</v>
      </c>
      <c r="F7" s="23">
        <f t="shared" ref="F7:F28" si="3">+E7/C7</f>
        <v>3.3000000000000002E-2</v>
      </c>
      <c r="G7" s="8">
        <f t="shared" ref="G7:G25" si="4">F7*C7</f>
        <v>5445</v>
      </c>
      <c r="H7" s="8">
        <f>2475+495+871</f>
        <v>3841</v>
      </c>
      <c r="I7" s="8">
        <f>225+350+1900+495</f>
        <v>2970</v>
      </c>
      <c r="J7" s="57">
        <v>2970</v>
      </c>
      <c r="K7" s="21">
        <f>G7+I7-J7</f>
        <v>5445</v>
      </c>
      <c r="L7" s="53" t="s">
        <v>22</v>
      </c>
      <c r="M7" s="54" t="s">
        <v>22</v>
      </c>
      <c r="N7" s="12">
        <v>44172</v>
      </c>
      <c r="O7" s="6">
        <v>1000</v>
      </c>
      <c r="P7" s="55" t="s">
        <v>22</v>
      </c>
      <c r="Q7" s="13">
        <v>1000</v>
      </c>
      <c r="R7" s="25">
        <v>44210</v>
      </c>
      <c r="S7" s="51"/>
      <c r="T7" s="29"/>
      <c r="U7" s="56" t="s">
        <v>22</v>
      </c>
      <c r="V7" s="10"/>
      <c r="W7" s="50" t="b">
        <f t="shared" si="0"/>
        <v>0</v>
      </c>
    </row>
    <row r="8" spans="2:23" x14ac:dyDescent="0.25">
      <c r="B8" s="59" t="s">
        <v>27</v>
      </c>
      <c r="C8" s="6">
        <v>1200000</v>
      </c>
      <c r="D8" s="6">
        <v>15272.73</v>
      </c>
      <c r="E8" s="6">
        <f t="shared" si="1"/>
        <v>16800.003000000001</v>
      </c>
      <c r="F8" s="23">
        <f t="shared" si="3"/>
        <v>1.4000002500000001E-2</v>
      </c>
      <c r="G8" s="8">
        <f t="shared" si="4"/>
        <v>16800.003000000001</v>
      </c>
      <c r="H8" s="10">
        <f>4490+495+550</f>
        <v>5535</v>
      </c>
      <c r="I8" s="10">
        <f>4490+990+495</f>
        <v>5975</v>
      </c>
      <c r="J8" s="32">
        <v>2500</v>
      </c>
      <c r="K8" s="21">
        <f>G8+I8-J8</f>
        <v>20275.003000000001</v>
      </c>
      <c r="L8" s="53" t="s">
        <v>22</v>
      </c>
      <c r="M8" s="54" t="s">
        <v>22</v>
      </c>
      <c r="N8" s="11">
        <v>44159</v>
      </c>
      <c r="O8" s="6">
        <v>120000</v>
      </c>
      <c r="P8" s="55" t="s">
        <v>22</v>
      </c>
      <c r="Q8" s="13">
        <v>20275</v>
      </c>
      <c r="R8" s="26">
        <v>44204</v>
      </c>
      <c r="S8" s="51">
        <v>99725</v>
      </c>
      <c r="T8" s="26">
        <v>44187</v>
      </c>
      <c r="U8" s="56" t="s">
        <v>22</v>
      </c>
      <c r="V8" s="10"/>
      <c r="W8" s="50" t="b">
        <f t="shared" si="0"/>
        <v>0</v>
      </c>
    </row>
    <row r="9" spans="2:23" x14ac:dyDescent="0.25">
      <c r="B9" s="59" t="s">
        <v>39</v>
      </c>
      <c r="C9" s="6">
        <v>1050000</v>
      </c>
      <c r="D9" s="6">
        <v>14318.18</v>
      </c>
      <c r="E9" s="6">
        <f t="shared" si="1"/>
        <v>15749.998000000001</v>
      </c>
      <c r="F9" s="23">
        <f t="shared" si="3"/>
        <v>1.4999998095238097E-2</v>
      </c>
      <c r="G9" s="8">
        <f t="shared" si="4"/>
        <v>15749.998000000001</v>
      </c>
      <c r="H9" s="10">
        <f>3655+738</f>
        <v>4393</v>
      </c>
      <c r="I9" s="10">
        <f>3655+495</f>
        <v>4150</v>
      </c>
      <c r="J9" s="32">
        <v>1990</v>
      </c>
      <c r="K9" s="21">
        <f>G9+I9-J9</f>
        <v>17909.998</v>
      </c>
      <c r="L9" s="53" t="s">
        <v>22</v>
      </c>
      <c r="M9" s="54" t="s">
        <v>22</v>
      </c>
      <c r="N9" s="11">
        <v>44152</v>
      </c>
      <c r="O9" s="6">
        <v>50000</v>
      </c>
      <c r="P9" s="55" t="s">
        <v>22</v>
      </c>
      <c r="Q9" s="13">
        <v>17910</v>
      </c>
      <c r="R9" s="26">
        <v>44211</v>
      </c>
      <c r="S9" s="51">
        <v>32090</v>
      </c>
      <c r="T9" s="29">
        <v>44200</v>
      </c>
      <c r="U9" s="56" t="s">
        <v>22</v>
      </c>
      <c r="V9" s="9"/>
      <c r="W9" s="50" t="b">
        <f t="shared" si="0"/>
        <v>0</v>
      </c>
    </row>
    <row r="10" spans="2:23" ht="27.75" customHeight="1" x14ac:dyDescent="0.25">
      <c r="B10" s="59" t="s">
        <v>38</v>
      </c>
      <c r="C10" s="6">
        <v>775000</v>
      </c>
      <c r="D10" s="6">
        <v>17613.64</v>
      </c>
      <c r="E10" s="6">
        <f t="shared" si="1"/>
        <v>19375.004000000001</v>
      </c>
      <c r="F10" s="23">
        <f t="shared" si="3"/>
        <v>2.5000005161290324E-2</v>
      </c>
      <c r="G10" s="8">
        <f>F10*C10</f>
        <v>19375.004000000001</v>
      </c>
      <c r="H10" s="10">
        <f>3550+495+371</f>
        <v>4416</v>
      </c>
      <c r="I10" s="10">
        <f>225+350+245+1990+495</f>
        <v>3305</v>
      </c>
      <c r="J10" s="32">
        <v>1990</v>
      </c>
      <c r="K10" s="21">
        <f>G10+I10-J10</f>
        <v>20690.004000000001</v>
      </c>
      <c r="L10" s="53" t="s">
        <v>22</v>
      </c>
      <c r="M10" s="54" t="s">
        <v>22</v>
      </c>
      <c r="N10" s="11">
        <v>44118</v>
      </c>
      <c r="O10" s="6">
        <v>20000</v>
      </c>
      <c r="P10" s="55" t="s">
        <v>22</v>
      </c>
      <c r="Q10" s="13">
        <v>20000</v>
      </c>
      <c r="R10" s="26">
        <v>44152</v>
      </c>
      <c r="S10" s="51"/>
      <c r="T10" s="29"/>
      <c r="U10" s="56" t="s">
        <v>22</v>
      </c>
      <c r="V10" s="9" t="s">
        <v>22</v>
      </c>
      <c r="W10" s="50" t="b">
        <f t="shared" si="0"/>
        <v>0</v>
      </c>
    </row>
    <row r="11" spans="2:23" ht="20.25" customHeight="1" x14ac:dyDescent="0.25">
      <c r="B11" s="59" t="s">
        <v>28</v>
      </c>
      <c r="C11" s="6">
        <v>600000</v>
      </c>
      <c r="D11" s="6">
        <v>9818.18</v>
      </c>
      <c r="E11" s="6">
        <f t="shared" si="1"/>
        <v>10799.998000000001</v>
      </c>
      <c r="F11" s="23">
        <f t="shared" si="3"/>
        <v>1.7999996666666671E-2</v>
      </c>
      <c r="G11" s="8">
        <f t="shared" si="4"/>
        <v>10799.998000000001</v>
      </c>
      <c r="H11" s="10">
        <f>4290+495+695</f>
        <v>5480</v>
      </c>
      <c r="I11" s="10">
        <f>4290+495</f>
        <v>4785</v>
      </c>
      <c r="J11" s="32">
        <v>1990</v>
      </c>
      <c r="K11" s="21">
        <f>G11+I11-J11</f>
        <v>13594.998000000001</v>
      </c>
      <c r="L11" s="53" t="s">
        <v>22</v>
      </c>
      <c r="M11" s="54" t="s">
        <v>22</v>
      </c>
      <c r="N11" s="11">
        <v>44096</v>
      </c>
      <c r="O11" s="6">
        <v>10000</v>
      </c>
      <c r="P11" s="55" t="s">
        <v>22</v>
      </c>
      <c r="Q11" s="13">
        <v>10000</v>
      </c>
      <c r="R11" s="26">
        <v>44151</v>
      </c>
      <c r="S11" s="51"/>
      <c r="T11" s="29"/>
      <c r="U11" s="56" t="s">
        <v>22</v>
      </c>
      <c r="V11" s="9"/>
      <c r="W11" s="50" t="b">
        <f t="shared" si="0"/>
        <v>0</v>
      </c>
    </row>
    <row r="12" spans="2:23" ht="15.75" customHeight="1" x14ac:dyDescent="0.25">
      <c r="B12" s="59" t="s">
        <v>29</v>
      </c>
      <c r="C12" s="6">
        <v>1157500</v>
      </c>
      <c r="D12" s="6">
        <v>12627.27</v>
      </c>
      <c r="E12" s="6">
        <f t="shared" si="1"/>
        <v>13889.997000000001</v>
      </c>
      <c r="F12" s="23">
        <f t="shared" si="3"/>
        <v>1.1999997408207345E-2</v>
      </c>
      <c r="G12" s="8">
        <f t="shared" si="4"/>
        <v>13889.997000000001</v>
      </c>
      <c r="H12" s="10">
        <v>5000</v>
      </c>
      <c r="I12" s="10">
        <f>3990+300+145+100</f>
        <v>4535</v>
      </c>
      <c r="J12" s="32">
        <v>4389</v>
      </c>
      <c r="K12" s="21">
        <f>G12+I12-J12</f>
        <v>14035.997000000003</v>
      </c>
      <c r="L12" s="53" t="s">
        <v>22</v>
      </c>
      <c r="M12" s="54" t="s">
        <v>22</v>
      </c>
      <c r="N12" s="11">
        <v>44081</v>
      </c>
      <c r="O12" s="6">
        <v>10000</v>
      </c>
      <c r="P12" s="55" t="s">
        <v>22</v>
      </c>
      <c r="Q12" s="13">
        <v>10000</v>
      </c>
      <c r="R12" s="26">
        <v>44148</v>
      </c>
      <c r="S12" s="51"/>
      <c r="T12" s="29"/>
      <c r="U12" s="56" t="s">
        <v>22</v>
      </c>
      <c r="V12" s="9"/>
      <c r="W12" s="50" t="b">
        <f t="shared" si="0"/>
        <v>0</v>
      </c>
    </row>
    <row r="13" spans="2:23" x14ac:dyDescent="0.25">
      <c r="B13" s="59" t="s">
        <v>30</v>
      </c>
      <c r="C13" s="6">
        <v>1201000</v>
      </c>
      <c r="D13" s="6">
        <v>24020</v>
      </c>
      <c r="E13" s="6">
        <f t="shared" si="1"/>
        <v>26422.000000000004</v>
      </c>
      <c r="F13" s="23">
        <f t="shared" si="3"/>
        <v>2.2000000000000002E-2</v>
      </c>
      <c r="G13" s="8">
        <f t="shared" si="4"/>
        <v>26422.000000000004</v>
      </c>
      <c r="H13" s="10">
        <v>0</v>
      </c>
      <c r="I13" s="10">
        <v>0</v>
      </c>
      <c r="J13" s="32">
        <v>0</v>
      </c>
      <c r="K13" s="21">
        <f>G13+I13-J13</f>
        <v>26422.000000000004</v>
      </c>
      <c r="L13" s="53" t="s">
        <v>22</v>
      </c>
      <c r="M13" s="54" t="s">
        <v>22</v>
      </c>
      <c r="N13" s="11">
        <v>44081</v>
      </c>
      <c r="O13" s="6">
        <v>120100</v>
      </c>
      <c r="P13" s="55" t="s">
        <v>22</v>
      </c>
      <c r="Q13" s="13">
        <v>26422</v>
      </c>
      <c r="R13" s="26">
        <v>44113</v>
      </c>
      <c r="S13" s="51">
        <v>93678</v>
      </c>
      <c r="T13" s="29">
        <v>44098</v>
      </c>
      <c r="U13" s="56" t="s">
        <v>22</v>
      </c>
      <c r="V13" s="9"/>
      <c r="W13" s="50" t="b">
        <f t="shared" si="0"/>
        <v>1</v>
      </c>
    </row>
    <row r="14" spans="2:23" ht="14.25" customHeight="1" x14ac:dyDescent="0.25">
      <c r="B14" s="59" t="s">
        <v>37</v>
      </c>
      <c r="C14" s="6">
        <v>676000</v>
      </c>
      <c r="D14" s="6">
        <v>12540</v>
      </c>
      <c r="E14" s="6">
        <f t="shared" si="1"/>
        <v>13794.000000000002</v>
      </c>
      <c r="F14" s="23">
        <f t="shared" si="3"/>
        <v>2.0405325443786985E-2</v>
      </c>
      <c r="G14" s="8">
        <f>((1.5%*676000)+((C14-660000)*0.15))*1.1</f>
        <v>13794.000000000002</v>
      </c>
      <c r="H14" s="10">
        <f>1490+495+695</f>
        <v>2680</v>
      </c>
      <c r="I14" s="10">
        <f>1490+695+495</f>
        <v>2680</v>
      </c>
      <c r="J14" s="32">
        <v>1490</v>
      </c>
      <c r="K14" s="21">
        <f>G14+I14-J14</f>
        <v>14984</v>
      </c>
      <c r="L14" s="53" t="s">
        <v>22</v>
      </c>
      <c r="M14" s="54" t="s">
        <v>22</v>
      </c>
      <c r="N14" s="11">
        <v>44060</v>
      </c>
      <c r="O14" s="6">
        <v>67000</v>
      </c>
      <c r="P14" s="55" t="s">
        <v>22</v>
      </c>
      <c r="Q14" s="13">
        <v>14984</v>
      </c>
      <c r="R14" s="26">
        <v>44134</v>
      </c>
      <c r="S14" s="51">
        <v>52016</v>
      </c>
      <c r="T14" s="29">
        <v>44126</v>
      </c>
      <c r="U14" s="56" t="s">
        <v>22</v>
      </c>
      <c r="V14" s="9"/>
      <c r="W14" s="50" t="b">
        <f t="shared" si="0"/>
        <v>1</v>
      </c>
    </row>
    <row r="15" spans="2:23" ht="14.25" customHeight="1" x14ac:dyDescent="0.25">
      <c r="B15" s="59" t="s">
        <v>31</v>
      </c>
      <c r="C15" s="6">
        <v>785000</v>
      </c>
      <c r="D15" s="6">
        <v>10704.55</v>
      </c>
      <c r="E15" s="6">
        <f t="shared" si="1"/>
        <v>11775.005000000001</v>
      </c>
      <c r="F15" s="23">
        <f t="shared" si="3"/>
        <v>1.5000006369426753E-2</v>
      </c>
      <c r="G15" s="8">
        <f t="shared" si="4"/>
        <v>11775.005000000001</v>
      </c>
      <c r="H15" s="13">
        <f>1490+495</f>
        <v>1985</v>
      </c>
      <c r="I15" s="14">
        <f>1490+495</f>
        <v>1985</v>
      </c>
      <c r="J15" s="38"/>
      <c r="K15" s="21">
        <f>G15+I15-J15</f>
        <v>13760.005000000001</v>
      </c>
      <c r="L15" s="53" t="s">
        <v>22</v>
      </c>
      <c r="M15" s="54" t="s">
        <v>22</v>
      </c>
      <c r="N15" s="11">
        <v>44033</v>
      </c>
      <c r="O15" s="6">
        <v>10000</v>
      </c>
      <c r="P15" s="55" t="s">
        <v>22</v>
      </c>
      <c r="Q15" s="13">
        <v>10000</v>
      </c>
      <c r="R15" s="26">
        <v>44057</v>
      </c>
      <c r="S15" s="51"/>
      <c r="T15" s="29"/>
      <c r="U15" s="56" t="s">
        <v>22</v>
      </c>
      <c r="V15" s="9"/>
      <c r="W15" s="50" t="b">
        <f t="shared" si="0"/>
        <v>0</v>
      </c>
    </row>
    <row r="16" spans="2:23" x14ac:dyDescent="0.25">
      <c r="B16" s="59" t="s">
        <v>32</v>
      </c>
      <c r="C16" s="6">
        <v>300000</v>
      </c>
      <c r="D16" s="6">
        <v>5454.55</v>
      </c>
      <c r="E16" s="6">
        <f t="shared" si="1"/>
        <v>6000.005000000001</v>
      </c>
      <c r="F16" s="23">
        <f t="shared" si="3"/>
        <v>2.0000016666666669E-2</v>
      </c>
      <c r="G16" s="8">
        <f t="shared" si="4"/>
        <v>6000.005000000001</v>
      </c>
      <c r="H16" s="10">
        <f>1490+495</f>
        <v>1985</v>
      </c>
      <c r="I16" s="10">
        <f>1490+495</f>
        <v>1985</v>
      </c>
      <c r="J16" s="32">
        <v>1000</v>
      </c>
      <c r="K16" s="21">
        <f>G16+I16-J16</f>
        <v>6985.005000000001</v>
      </c>
      <c r="L16" s="53" t="s">
        <v>22</v>
      </c>
      <c r="M16" s="54" t="s">
        <v>22</v>
      </c>
      <c r="N16" s="11">
        <v>44004</v>
      </c>
      <c r="O16" s="6">
        <v>10000</v>
      </c>
      <c r="P16" s="55" t="s">
        <v>22</v>
      </c>
      <c r="Q16" s="13">
        <v>6985</v>
      </c>
      <c r="R16" s="26">
        <v>44046</v>
      </c>
      <c r="S16" s="51">
        <v>3015</v>
      </c>
      <c r="T16" s="29">
        <v>44040</v>
      </c>
      <c r="U16" s="56" t="s">
        <v>22</v>
      </c>
      <c r="V16" s="9"/>
      <c r="W16" s="50" t="b">
        <f t="shared" si="0"/>
        <v>0</v>
      </c>
    </row>
    <row r="17" spans="2:23" x14ac:dyDescent="0.25">
      <c r="B17" s="59" t="s">
        <v>33</v>
      </c>
      <c r="C17" s="6">
        <v>219000</v>
      </c>
      <c r="D17" s="6">
        <v>4450</v>
      </c>
      <c r="E17" s="6">
        <f t="shared" si="1"/>
        <v>4895</v>
      </c>
      <c r="F17" s="23">
        <f t="shared" si="3"/>
        <v>2.2351598173515983E-2</v>
      </c>
      <c r="G17" s="8">
        <f t="shared" si="4"/>
        <v>4895</v>
      </c>
      <c r="H17" s="10">
        <f>1490+495+695</f>
        <v>2680</v>
      </c>
      <c r="I17" s="10">
        <f>1490+495</f>
        <v>1985</v>
      </c>
      <c r="J17" s="32"/>
      <c r="K17" s="21">
        <f>G17+I17-J17</f>
        <v>6880</v>
      </c>
      <c r="L17" s="53" t="s">
        <v>22</v>
      </c>
      <c r="M17" s="54" t="s">
        <v>22</v>
      </c>
      <c r="N17" s="11">
        <v>43976</v>
      </c>
      <c r="O17" s="6">
        <v>5000</v>
      </c>
      <c r="P17" s="55" t="s">
        <v>22</v>
      </c>
      <c r="Q17" s="13">
        <v>5000</v>
      </c>
      <c r="R17" s="26">
        <v>44007</v>
      </c>
      <c r="S17" s="51"/>
      <c r="T17" s="29"/>
      <c r="U17" s="56" t="s">
        <v>22</v>
      </c>
      <c r="V17" s="9"/>
      <c r="W17" s="50" t="b">
        <f t="shared" si="0"/>
        <v>0</v>
      </c>
    </row>
    <row r="18" spans="2:23" x14ac:dyDescent="0.25">
      <c r="B18" s="9" t="s">
        <v>34</v>
      </c>
      <c r="C18" s="6">
        <v>285000</v>
      </c>
      <c r="D18" s="6">
        <v>6736</v>
      </c>
      <c r="E18" s="6">
        <f>+D18*1.1</f>
        <v>7409.6</v>
      </c>
      <c r="F18" s="23">
        <f t="shared" si="3"/>
        <v>2.5998596491228071E-2</v>
      </c>
      <c r="G18" s="8">
        <f t="shared" si="4"/>
        <v>7409.6</v>
      </c>
      <c r="H18" s="9">
        <f>2690+495</f>
        <v>3185</v>
      </c>
      <c r="I18" s="9">
        <f>2690+495</f>
        <v>3185</v>
      </c>
      <c r="J18" s="24">
        <v>1900</v>
      </c>
      <c r="K18" s="21">
        <f>G18+I18-J18</f>
        <v>8694.6</v>
      </c>
      <c r="L18" s="53" t="s">
        <v>22</v>
      </c>
      <c r="M18" s="54" t="s">
        <v>22</v>
      </c>
      <c r="N18" s="11">
        <v>43956</v>
      </c>
      <c r="O18" s="6">
        <v>5000</v>
      </c>
      <c r="P18" s="55" t="s">
        <v>22</v>
      </c>
      <c r="Q18" s="13">
        <v>5000</v>
      </c>
      <c r="R18" s="25">
        <v>44036</v>
      </c>
      <c r="S18" s="52"/>
      <c r="T18" s="29"/>
      <c r="U18" s="56" t="s">
        <v>22</v>
      </c>
      <c r="V18" s="9"/>
      <c r="W18" s="50" t="b">
        <f>+O18=K18+S18</f>
        <v>0</v>
      </c>
    </row>
    <row r="19" spans="2:23" x14ac:dyDescent="0.25">
      <c r="B19" s="60" t="s">
        <v>35</v>
      </c>
      <c r="C19" s="6">
        <v>450000</v>
      </c>
      <c r="D19" s="6">
        <v>8100</v>
      </c>
      <c r="E19" s="6">
        <f t="shared" si="1"/>
        <v>8910</v>
      </c>
      <c r="F19" s="23">
        <f t="shared" si="3"/>
        <v>1.9800000000000002E-2</v>
      </c>
      <c r="G19" s="8">
        <f t="shared" si="4"/>
        <v>8910</v>
      </c>
      <c r="H19" s="9">
        <f>495+3790</f>
        <v>4285</v>
      </c>
      <c r="I19" s="9"/>
      <c r="J19" s="38"/>
      <c r="K19" s="21">
        <f>G19+I19-J19</f>
        <v>8910</v>
      </c>
      <c r="L19" s="53" t="s">
        <v>22</v>
      </c>
      <c r="M19" s="54" t="s">
        <v>22</v>
      </c>
      <c r="N19" s="11">
        <v>43928</v>
      </c>
      <c r="O19" s="6">
        <v>5000</v>
      </c>
      <c r="P19" s="55" t="s">
        <v>22</v>
      </c>
      <c r="Q19" s="13">
        <v>5000</v>
      </c>
      <c r="R19" s="25">
        <v>43973</v>
      </c>
      <c r="S19" s="62"/>
      <c r="T19" s="29"/>
      <c r="U19" s="56" t="s">
        <v>22</v>
      </c>
      <c r="V19" s="9"/>
      <c r="W19" s="50" t="b">
        <f t="shared" si="0"/>
        <v>0</v>
      </c>
    </row>
    <row r="20" spans="2:23" ht="21.75" customHeight="1" x14ac:dyDescent="0.25">
      <c r="B20" s="9" t="s">
        <v>36</v>
      </c>
      <c r="C20" s="6">
        <v>510000</v>
      </c>
      <c r="D20" s="6">
        <v>8345.4500000000007</v>
      </c>
      <c r="E20" s="6">
        <f t="shared" si="1"/>
        <v>9179.9950000000008</v>
      </c>
      <c r="F20" s="23">
        <f t="shared" si="3"/>
        <v>1.7999990196078432E-2</v>
      </c>
      <c r="G20" s="8">
        <f t="shared" si="4"/>
        <v>9179.9950000000008</v>
      </c>
      <c r="H20" s="9">
        <f>2565+495+500+195</f>
        <v>3755</v>
      </c>
      <c r="I20" s="9">
        <f>225+350+495+1990</f>
        <v>3060</v>
      </c>
      <c r="J20" s="24">
        <v>2565</v>
      </c>
      <c r="K20" s="21">
        <f>G20+I20-J20</f>
        <v>9674.9950000000008</v>
      </c>
      <c r="L20" s="53" t="s">
        <v>22</v>
      </c>
      <c r="M20" s="54" t="s">
        <v>22</v>
      </c>
      <c r="N20" s="11">
        <v>43902</v>
      </c>
      <c r="O20" s="6">
        <v>10000</v>
      </c>
      <c r="P20" s="55" t="s">
        <v>22</v>
      </c>
      <c r="Q20" s="13">
        <v>9675</v>
      </c>
      <c r="R20" s="25">
        <v>43938</v>
      </c>
      <c r="S20" s="51">
        <v>325</v>
      </c>
      <c r="T20" s="29">
        <v>43930</v>
      </c>
      <c r="U20" s="56" t="s">
        <v>22</v>
      </c>
      <c r="V20" s="9"/>
      <c r="W20" s="50" t="b">
        <f t="shared" si="0"/>
        <v>0</v>
      </c>
    </row>
    <row r="21" spans="2:23" x14ac:dyDescent="0.25">
      <c r="B21" s="60"/>
      <c r="C21" s="6"/>
      <c r="D21" s="6"/>
      <c r="E21" s="6">
        <f t="shared" si="1"/>
        <v>0</v>
      </c>
      <c r="F21" s="23" t="e">
        <f t="shared" si="3"/>
        <v>#DIV/0!</v>
      </c>
      <c r="G21" s="8" t="e">
        <f t="shared" si="4"/>
        <v>#DIV/0!</v>
      </c>
      <c r="H21" s="9"/>
      <c r="I21" s="9"/>
      <c r="J21" s="24"/>
      <c r="K21" s="21" t="e">
        <f>G21+I21-J21</f>
        <v>#DIV/0!</v>
      </c>
      <c r="L21" s="53"/>
      <c r="M21" s="54"/>
      <c r="N21" s="11"/>
      <c r="O21" s="6"/>
      <c r="P21" s="55"/>
      <c r="Q21" s="13"/>
      <c r="R21" s="25"/>
      <c r="S21" s="51"/>
      <c r="T21" s="29"/>
      <c r="U21" s="56"/>
      <c r="V21" s="9"/>
      <c r="W21" s="50" t="e">
        <f t="shared" si="0"/>
        <v>#DIV/0!</v>
      </c>
    </row>
    <row r="22" spans="2:23" x14ac:dyDescent="0.25">
      <c r="B22" s="60"/>
      <c r="C22" s="6"/>
      <c r="D22" s="6"/>
      <c r="E22" s="6">
        <f t="shared" si="1"/>
        <v>0</v>
      </c>
      <c r="F22" s="23" t="e">
        <f t="shared" si="3"/>
        <v>#DIV/0!</v>
      </c>
      <c r="G22" s="8" t="e">
        <f t="shared" si="4"/>
        <v>#DIV/0!</v>
      </c>
      <c r="H22" s="9"/>
      <c r="I22" s="9"/>
      <c r="J22" s="24"/>
      <c r="K22" s="21" t="e">
        <f>G22+I22-J22</f>
        <v>#DIV/0!</v>
      </c>
      <c r="L22" s="53"/>
      <c r="M22" s="54"/>
      <c r="N22" s="11"/>
      <c r="O22" s="6"/>
      <c r="P22" s="55"/>
      <c r="Q22" s="13"/>
      <c r="R22" s="25"/>
      <c r="S22" s="51"/>
      <c r="T22" s="29"/>
      <c r="U22" s="56"/>
      <c r="V22" s="9"/>
      <c r="W22" s="50" t="e">
        <f t="shared" si="0"/>
        <v>#DIV/0!</v>
      </c>
    </row>
    <row r="23" spans="2:23" x14ac:dyDescent="0.25">
      <c r="B23" s="60"/>
      <c r="C23" s="6"/>
      <c r="D23" s="6"/>
      <c r="E23" s="6">
        <f t="shared" si="1"/>
        <v>0</v>
      </c>
      <c r="F23" s="23" t="e">
        <f t="shared" si="3"/>
        <v>#DIV/0!</v>
      </c>
      <c r="G23" s="8" t="e">
        <f t="shared" si="4"/>
        <v>#DIV/0!</v>
      </c>
      <c r="H23" s="9"/>
      <c r="I23" s="9"/>
      <c r="J23" s="24"/>
      <c r="K23" s="21" t="e">
        <f>G23+I23-J23</f>
        <v>#DIV/0!</v>
      </c>
      <c r="L23" s="53"/>
      <c r="M23" s="54"/>
      <c r="N23" s="11"/>
      <c r="O23" s="6"/>
      <c r="P23" s="55"/>
      <c r="Q23" s="13"/>
      <c r="R23" s="25"/>
      <c r="S23" s="51"/>
      <c r="T23" s="29"/>
      <c r="U23" s="56"/>
      <c r="V23" s="9"/>
      <c r="W23" s="50" t="e">
        <f t="shared" si="0"/>
        <v>#DIV/0!</v>
      </c>
    </row>
    <row r="24" spans="2:23" x14ac:dyDescent="0.25">
      <c r="B24" s="60"/>
      <c r="C24" s="6"/>
      <c r="D24" s="6"/>
      <c r="E24" s="6">
        <f t="shared" si="1"/>
        <v>0</v>
      </c>
      <c r="F24" s="23" t="e">
        <f t="shared" si="3"/>
        <v>#DIV/0!</v>
      </c>
      <c r="G24" s="8" t="e">
        <f t="shared" si="4"/>
        <v>#DIV/0!</v>
      </c>
      <c r="H24" s="9"/>
      <c r="I24" s="9"/>
      <c r="J24" s="24"/>
      <c r="K24" s="21" t="e">
        <f>G24+I24-J24</f>
        <v>#DIV/0!</v>
      </c>
      <c r="L24" s="53"/>
      <c r="M24" s="54"/>
      <c r="N24" s="11"/>
      <c r="O24" s="6"/>
      <c r="P24" s="55"/>
      <c r="Q24" s="13"/>
      <c r="R24" s="25"/>
      <c r="S24" s="51"/>
      <c r="T24" s="29"/>
      <c r="U24" s="56"/>
      <c r="V24" s="9"/>
      <c r="W24" s="50" t="e">
        <f t="shared" si="0"/>
        <v>#DIV/0!</v>
      </c>
    </row>
    <row r="25" spans="2:23" x14ac:dyDescent="0.25">
      <c r="B25" s="60"/>
      <c r="C25" s="6"/>
      <c r="D25" s="6"/>
      <c r="E25" s="6">
        <f t="shared" si="1"/>
        <v>0</v>
      </c>
      <c r="F25" s="23" t="e">
        <f t="shared" si="3"/>
        <v>#DIV/0!</v>
      </c>
      <c r="G25" s="8" t="e">
        <f t="shared" si="4"/>
        <v>#DIV/0!</v>
      </c>
      <c r="H25" s="9"/>
      <c r="I25" s="9"/>
      <c r="J25" s="24"/>
      <c r="K25" s="21" t="e">
        <f>G25+I25-J25</f>
        <v>#DIV/0!</v>
      </c>
      <c r="L25" s="53"/>
      <c r="M25" s="54"/>
      <c r="N25" s="11"/>
      <c r="O25" s="6"/>
      <c r="P25" s="55"/>
      <c r="Q25" s="13"/>
      <c r="R25" s="25"/>
      <c r="S25" s="13"/>
      <c r="T25" s="25"/>
      <c r="U25" s="56"/>
      <c r="V25" s="9"/>
      <c r="W25" s="50" t="e">
        <f t="shared" si="0"/>
        <v>#DIV/0!</v>
      </c>
    </row>
    <row r="26" spans="2:23" x14ac:dyDescent="0.25">
      <c r="B26" s="60"/>
      <c r="C26" s="6"/>
      <c r="D26" s="6"/>
      <c r="E26" s="6">
        <f t="shared" si="1"/>
        <v>0</v>
      </c>
      <c r="F26" s="23" t="e">
        <f t="shared" si="3"/>
        <v>#DIV/0!</v>
      </c>
      <c r="G26" s="8" t="e">
        <f t="shared" ref="G26:G28" si="5">C26*F26</f>
        <v>#DIV/0!</v>
      </c>
      <c r="H26" s="9"/>
      <c r="I26" s="9"/>
      <c r="J26" s="24"/>
      <c r="K26" s="21" t="e">
        <f>G26+I26-J26</f>
        <v>#DIV/0!</v>
      </c>
      <c r="L26" s="34"/>
      <c r="M26" s="1"/>
      <c r="N26" s="11"/>
      <c r="O26" s="6"/>
      <c r="P26" s="55"/>
      <c r="Q26" s="13"/>
      <c r="R26" s="25"/>
      <c r="S26" s="20"/>
      <c r="T26" s="29"/>
      <c r="U26" s="9"/>
      <c r="V26" s="9"/>
      <c r="W26" s="50" t="e">
        <f t="shared" ref="W26:W31" si="6">+O26=K26-S26</f>
        <v>#DIV/0!</v>
      </c>
    </row>
    <row r="27" spans="2:23" x14ac:dyDescent="0.25">
      <c r="B27" s="60"/>
      <c r="C27" s="6"/>
      <c r="D27" s="6"/>
      <c r="E27" s="6">
        <f t="shared" si="1"/>
        <v>0</v>
      </c>
      <c r="F27" s="23" t="e">
        <f t="shared" si="3"/>
        <v>#DIV/0!</v>
      </c>
      <c r="G27" s="8" t="e">
        <f t="shared" si="5"/>
        <v>#DIV/0!</v>
      </c>
      <c r="H27" s="9"/>
      <c r="I27" s="9"/>
      <c r="J27" s="24"/>
      <c r="K27" s="21" t="e">
        <f>G27+I27-J27</f>
        <v>#DIV/0!</v>
      </c>
      <c r="L27" s="34"/>
      <c r="M27" s="1"/>
      <c r="N27" s="11"/>
      <c r="O27" s="6"/>
      <c r="P27" s="55"/>
      <c r="Q27" s="13"/>
      <c r="R27" s="25"/>
      <c r="S27" s="20"/>
      <c r="T27" s="29"/>
      <c r="U27" s="9"/>
      <c r="V27" s="9"/>
      <c r="W27" s="50" t="e">
        <f t="shared" si="6"/>
        <v>#DIV/0!</v>
      </c>
    </row>
    <row r="28" spans="2:23" x14ac:dyDescent="0.25">
      <c r="B28" s="60"/>
      <c r="C28" s="6"/>
      <c r="D28" s="6"/>
      <c r="E28" s="6">
        <f t="shared" si="1"/>
        <v>0</v>
      </c>
      <c r="F28" s="23" t="e">
        <f t="shared" si="3"/>
        <v>#DIV/0!</v>
      </c>
      <c r="G28" s="8" t="e">
        <f t="shared" si="5"/>
        <v>#DIV/0!</v>
      </c>
      <c r="H28" s="9"/>
      <c r="I28" s="9"/>
      <c r="J28" s="24"/>
      <c r="K28" s="21" t="e">
        <f>G28+I28-J28</f>
        <v>#DIV/0!</v>
      </c>
      <c r="L28" s="34"/>
      <c r="M28" s="1"/>
      <c r="N28" s="11"/>
      <c r="O28" s="6"/>
      <c r="P28" s="6"/>
      <c r="Q28" s="13"/>
      <c r="R28" s="25"/>
      <c r="S28" s="20"/>
      <c r="T28" s="29"/>
      <c r="U28" s="9"/>
      <c r="V28" s="9"/>
      <c r="W28" s="50" t="e">
        <f t="shared" si="6"/>
        <v>#DIV/0!</v>
      </c>
    </row>
    <row r="29" spans="2:23" x14ac:dyDescent="0.25">
      <c r="B29" s="9"/>
      <c r="C29" s="9"/>
      <c r="D29" s="9"/>
      <c r="E29" s="9"/>
      <c r="F29" s="23"/>
      <c r="G29" s="8"/>
      <c r="H29" s="9"/>
      <c r="I29" s="9"/>
      <c r="J29" s="24"/>
      <c r="K29" s="21">
        <f>G29+I29-J29</f>
        <v>0</v>
      </c>
      <c r="L29" s="34"/>
      <c r="M29" s="1"/>
      <c r="N29" s="11"/>
      <c r="O29" s="6"/>
      <c r="P29" s="6"/>
      <c r="Q29" s="13"/>
      <c r="R29" s="25"/>
      <c r="S29" s="20"/>
      <c r="T29" s="29"/>
      <c r="U29" s="9"/>
      <c r="V29" s="9"/>
      <c r="W29" s="50" t="b">
        <f t="shared" si="6"/>
        <v>1</v>
      </c>
    </row>
    <row r="30" spans="2:23" x14ac:dyDescent="0.25">
      <c r="B30" s="9"/>
      <c r="C30" s="9"/>
      <c r="D30" s="9"/>
      <c r="E30" s="9"/>
      <c r="F30" s="47"/>
      <c r="G30" s="8"/>
      <c r="H30" s="9"/>
      <c r="I30" s="9"/>
      <c r="J30" s="24"/>
      <c r="K30" s="21">
        <f>G30+I30-J30</f>
        <v>0</v>
      </c>
      <c r="L30" s="34"/>
      <c r="M30" s="1"/>
      <c r="N30" s="11"/>
      <c r="O30" s="6"/>
      <c r="P30" s="6"/>
      <c r="Q30" s="13"/>
      <c r="R30" s="25"/>
      <c r="S30" s="20"/>
      <c r="T30" s="29"/>
      <c r="U30" s="9"/>
      <c r="V30" s="9"/>
      <c r="W30" s="50" t="b">
        <f t="shared" si="6"/>
        <v>1</v>
      </c>
    </row>
    <row r="31" spans="2:23" x14ac:dyDescent="0.25">
      <c r="B31" s="9"/>
      <c r="C31" s="9"/>
      <c r="D31" s="9"/>
      <c r="E31" s="9"/>
      <c r="F31" s="23"/>
      <c r="G31" s="8"/>
      <c r="K31" s="21">
        <f>G31+Sheet3!C2-Sheet3!D2</f>
        <v>-10889.9835</v>
      </c>
      <c r="L31" s="34"/>
      <c r="M31" s="1"/>
      <c r="N31" s="11"/>
      <c r="O31" s="6"/>
      <c r="P31" s="6"/>
      <c r="Q31" s="13"/>
      <c r="R31" s="25"/>
      <c r="S31" s="20"/>
      <c r="T31" s="29"/>
      <c r="U31" s="9"/>
      <c r="V31" s="9"/>
      <c r="W31" s="50"/>
    </row>
    <row r="32" spans="2:23" x14ac:dyDescent="0.25">
      <c r="B32" s="9"/>
      <c r="C32" s="9"/>
      <c r="D32" s="9"/>
      <c r="E32" s="9"/>
      <c r="F32" s="23"/>
      <c r="G32" s="8"/>
      <c r="K32" s="21">
        <f>G32+Sheet3!C3-Sheet3!D3</f>
        <v>-2639.67</v>
      </c>
      <c r="L32" s="35"/>
      <c r="M32" s="16"/>
      <c r="N32" s="17"/>
      <c r="O32" s="18"/>
      <c r="P32" s="18"/>
      <c r="Q32" s="19"/>
      <c r="R32" s="45"/>
      <c r="S32" s="42"/>
      <c r="T32" s="30"/>
      <c r="U32" s="15"/>
      <c r="V32" s="15"/>
      <c r="W32" s="58"/>
    </row>
    <row r="33" spans="2:23" x14ac:dyDescent="0.25">
      <c r="B33" s="9"/>
      <c r="C33" s="9"/>
      <c r="D33" s="24"/>
      <c r="E33" s="24"/>
      <c r="F33" s="44"/>
      <c r="G33" s="8"/>
      <c r="K33" s="21">
        <f>G33+Sheet3!C4-Sheet3!D4</f>
        <v>0</v>
      </c>
      <c r="L33" s="36"/>
      <c r="M33" s="20"/>
      <c r="N33" s="22"/>
      <c r="O33" s="20"/>
      <c r="P33" s="20"/>
      <c r="Q33" s="20"/>
      <c r="R33" s="22"/>
      <c r="S33" s="42"/>
      <c r="T33" s="20"/>
      <c r="U33" s="20"/>
      <c r="V33" s="20"/>
      <c r="W33" s="20"/>
    </row>
    <row r="34" spans="2:23" x14ac:dyDescent="0.25">
      <c r="B34" s="9"/>
      <c r="C34" s="9"/>
      <c r="D34" s="24"/>
      <c r="E34" s="24"/>
      <c r="F34" s="44"/>
      <c r="G34" s="8"/>
      <c r="K34" s="21">
        <f>G34+Sheet3!C5-Sheet3!D5</f>
        <v>0</v>
      </c>
      <c r="L34" s="36"/>
      <c r="M34" s="20"/>
      <c r="N34" s="22"/>
      <c r="O34" s="20"/>
      <c r="P34" s="20"/>
      <c r="Q34" s="20"/>
      <c r="R34" s="22"/>
      <c r="S34" s="20"/>
      <c r="T34" s="22"/>
      <c r="U34" s="20"/>
      <c r="V34" s="20"/>
      <c r="W34" s="20"/>
    </row>
    <row r="35" spans="2:23" x14ac:dyDescent="0.25">
      <c r="B35" s="9"/>
      <c r="C35" s="9"/>
      <c r="D35" s="24"/>
      <c r="E35" s="24"/>
      <c r="F35" s="44"/>
      <c r="G35" s="8"/>
      <c r="H35" s="20"/>
      <c r="I35" s="20"/>
      <c r="J35" s="33"/>
      <c r="K35" s="21">
        <f>G35+I35-J35</f>
        <v>0</v>
      </c>
      <c r="L35" s="36"/>
      <c r="M35" s="20"/>
      <c r="N35" s="22"/>
      <c r="O35" s="20"/>
      <c r="P35" s="20"/>
      <c r="Q35" s="20"/>
      <c r="R35" s="22"/>
      <c r="S35" s="20"/>
      <c r="T35" s="22"/>
      <c r="U35" s="20"/>
      <c r="V35" s="20"/>
      <c r="W35" s="20"/>
    </row>
    <row r="36" spans="2:23" x14ac:dyDescent="0.25">
      <c r="B36" s="9"/>
      <c r="C36" s="9"/>
      <c r="D36" s="24"/>
      <c r="E36" s="24"/>
      <c r="F36" s="44"/>
      <c r="G36" s="8"/>
      <c r="H36" s="20"/>
      <c r="I36" s="20"/>
      <c r="J36" s="33"/>
      <c r="K36" s="21">
        <f>G36+I36-J36</f>
        <v>0</v>
      </c>
      <c r="L36" s="36"/>
      <c r="M36" s="20"/>
      <c r="N36" s="22"/>
      <c r="O36" s="20"/>
      <c r="P36" s="20"/>
      <c r="Q36" s="20"/>
      <c r="R36" s="22"/>
      <c r="S36" s="20"/>
      <c r="T36" s="22"/>
      <c r="U36" s="20"/>
      <c r="V36" s="20"/>
      <c r="W36" s="20"/>
    </row>
    <row r="37" spans="2:23" x14ac:dyDescent="0.25">
      <c r="B37" s="9"/>
      <c r="C37" s="9"/>
      <c r="D37" s="24"/>
      <c r="E37" s="24"/>
      <c r="F37" s="44"/>
      <c r="G37" s="8"/>
      <c r="H37" s="20"/>
      <c r="I37" s="20"/>
      <c r="J37" s="33"/>
      <c r="K37" s="21">
        <f>G37+I37-J37</f>
        <v>0</v>
      </c>
      <c r="L37" s="36"/>
      <c r="M37" s="20"/>
      <c r="N37" s="22"/>
      <c r="O37" s="20"/>
      <c r="P37" s="20"/>
      <c r="Q37" s="20"/>
      <c r="R37" s="22"/>
      <c r="S37" s="20"/>
      <c r="T37" s="22"/>
      <c r="U37" s="20"/>
      <c r="V37" s="20"/>
      <c r="W37" s="20"/>
    </row>
    <row r="38" spans="2:23" x14ac:dyDescent="0.25">
      <c r="B38" s="9"/>
      <c r="C38" s="9"/>
      <c r="D38" s="24"/>
      <c r="E38" s="24"/>
      <c r="F38" s="44"/>
      <c r="G38" s="8"/>
      <c r="H38" s="20"/>
      <c r="I38" s="20"/>
      <c r="J38" s="20"/>
      <c r="K38" s="21">
        <f>G38+I38-J38</f>
        <v>0</v>
      </c>
      <c r="L38" s="20"/>
      <c r="M38" s="20"/>
      <c r="N38" s="22"/>
      <c r="O38" s="20"/>
      <c r="P38" s="20"/>
      <c r="Q38" s="20"/>
      <c r="R38" s="22"/>
      <c r="S38" s="20"/>
      <c r="T38" s="22"/>
      <c r="U38" s="20"/>
      <c r="V38" s="20"/>
      <c r="W38" s="20"/>
    </row>
    <row r="39" spans="2:23" x14ac:dyDescent="0.25">
      <c r="B39" s="9"/>
      <c r="C39" s="9"/>
      <c r="D39" s="24"/>
      <c r="E39" s="24"/>
      <c r="F39" s="44"/>
      <c r="G39" s="8"/>
      <c r="H39" s="20"/>
      <c r="I39" s="20"/>
      <c r="J39" s="20"/>
      <c r="K39" s="21">
        <f>G39+I39-J39</f>
        <v>0</v>
      </c>
      <c r="L39" s="20"/>
      <c r="M39" s="20"/>
      <c r="N39" s="22"/>
      <c r="O39" s="20"/>
      <c r="P39" s="20"/>
      <c r="Q39" s="20"/>
      <c r="R39" s="22"/>
      <c r="S39" s="20"/>
      <c r="T39" s="22"/>
      <c r="U39" s="20"/>
      <c r="V39" s="20"/>
      <c r="W39" s="20"/>
    </row>
    <row r="43" spans="2:23" x14ac:dyDescent="0.25">
      <c r="B43" s="63"/>
    </row>
  </sheetData>
  <pageMargins left="0.7" right="0.7" top="0.75" bottom="0.75" header="0.3" footer="0.3"/>
  <pageSetup paperSize="9" scale="3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zoomScaleNormal="100" workbookViewId="0">
      <selection activeCell="C7" sqref="C7:C14"/>
    </sheetView>
  </sheetViews>
  <sheetFormatPr defaultRowHeight="15" x14ac:dyDescent="0.25"/>
  <cols>
    <col min="1" max="1" width="34.5703125" customWidth="1"/>
    <col min="2" max="2" width="107.5703125" customWidth="1"/>
  </cols>
  <sheetData>
    <row r="1" spans="1:3" ht="18.75" x14ac:dyDescent="0.3">
      <c r="A1" s="43" t="s">
        <v>0</v>
      </c>
      <c r="B1" s="43" t="s">
        <v>19</v>
      </c>
    </row>
    <row r="2" spans="1:3" ht="19.5" customHeight="1" x14ac:dyDescent="0.25">
      <c r="A2" s="48"/>
      <c r="B2" s="48" t="b">
        <f>Sheet1!W4</f>
        <v>1</v>
      </c>
    </row>
    <row r="3" spans="1:3" ht="19.5" customHeight="1" x14ac:dyDescent="0.25">
      <c r="A3" s="48"/>
      <c r="B3" s="48" t="b">
        <f>Sheet1!W5</f>
        <v>1</v>
      </c>
    </row>
    <row r="4" spans="1:3" ht="19.5" customHeight="1" x14ac:dyDescent="0.25">
      <c r="B4" s="46" t="b">
        <f>Sheet1!W6</f>
        <v>1</v>
      </c>
    </row>
    <row r="5" spans="1:3" ht="19.5" customHeight="1" x14ac:dyDescent="0.25">
      <c r="B5" s="46" t="b">
        <f>Sheet1!W10</f>
        <v>0</v>
      </c>
    </row>
    <row r="6" spans="1:3" ht="19.5" customHeight="1" x14ac:dyDescent="0.25">
      <c r="B6" s="46" t="b">
        <f>Sheet1!W11</f>
        <v>0</v>
      </c>
    </row>
    <row r="7" spans="1:3" ht="31.5" customHeight="1" x14ac:dyDescent="0.25">
      <c r="B7" s="46" t="b">
        <f>Sheet1!W12</f>
        <v>0</v>
      </c>
      <c r="C7" s="49"/>
    </row>
    <row r="8" spans="1:3" ht="19.5" customHeight="1" x14ac:dyDescent="0.25">
      <c r="B8" s="46" t="b">
        <f>Sheet1!W13</f>
        <v>1</v>
      </c>
    </row>
    <row r="9" spans="1:3" ht="19.5" customHeight="1" x14ac:dyDescent="0.25">
      <c r="B9" s="46" t="b">
        <f>Sheet1!W14</f>
        <v>1</v>
      </c>
    </row>
    <row r="10" spans="1:3" ht="19.5" customHeight="1" x14ac:dyDescent="0.25">
      <c r="B10" s="46" t="b">
        <f>Sheet1!W20</f>
        <v>0</v>
      </c>
    </row>
    <row r="11" spans="1:3" ht="34.5" customHeight="1" x14ac:dyDescent="0.25">
      <c r="B11" s="46" t="e">
        <f>Sheet1!W21</f>
        <v>#DIV/0!</v>
      </c>
      <c r="C11" s="49"/>
    </row>
    <row r="12" spans="1:3" ht="34.5" customHeight="1" x14ac:dyDescent="0.25">
      <c r="B12" s="46" t="e">
        <f>Sheet1!W22</f>
        <v>#DIV/0!</v>
      </c>
    </row>
    <row r="13" spans="1:3" ht="34.5" customHeight="1" x14ac:dyDescent="0.25">
      <c r="B13" s="46" t="e">
        <f>Sheet1!W23</f>
        <v>#DIV/0!</v>
      </c>
      <c r="C13" s="49"/>
    </row>
    <row r="14" spans="1:3" ht="34.5" customHeight="1" x14ac:dyDescent="0.25">
      <c r="A14">
        <f>Sheet1!B38</f>
        <v>0</v>
      </c>
      <c r="B14" s="46">
        <f>Sheet1!W38</f>
        <v>0</v>
      </c>
    </row>
    <row r="15" spans="1:3" ht="34.5" customHeight="1" x14ac:dyDescent="0.25">
      <c r="B15" s="46"/>
    </row>
    <row r="16" spans="1:3" ht="34.5" customHeight="1" x14ac:dyDescent="0.25"/>
  </sheetData>
  <pageMargins left="0.7" right="0.7" top="0.75" bottom="0.75" header="0.3" footer="0.3"/>
  <pageSetup paperSize="9" scale="9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4"/>
  <sheetViews>
    <sheetView workbookViewId="0">
      <selection activeCell="F5" sqref="F5"/>
    </sheetView>
  </sheetViews>
  <sheetFormatPr defaultRowHeight="15" x14ac:dyDescent="0.25"/>
  <cols>
    <col min="4" max="4" width="12.5703125" bestFit="1" customWidth="1"/>
  </cols>
  <sheetData>
    <row r="1" spans="2:6" x14ac:dyDescent="0.25">
      <c r="B1" t="s">
        <v>1</v>
      </c>
    </row>
    <row r="2" spans="2:6" x14ac:dyDescent="0.25">
      <c r="B2" s="9">
        <v>660000</v>
      </c>
      <c r="C2" s="64">
        <f>1.5%*1.1</f>
        <v>1.6500000000000001E-2</v>
      </c>
      <c r="D2" s="24">
        <f>B2*C2</f>
        <v>10890</v>
      </c>
      <c r="F2">
        <f>C2*676000</f>
        <v>11154</v>
      </c>
    </row>
    <row r="3" spans="2:6" x14ac:dyDescent="0.25">
      <c r="B3" s="15">
        <f>676000-B2-1</f>
        <v>15999</v>
      </c>
      <c r="C3" s="69">
        <f>15%*1.1</f>
        <v>0.16500000000000001</v>
      </c>
      <c r="D3" s="27">
        <f>B3*C3</f>
        <v>2639.835</v>
      </c>
      <c r="F3">
        <f>B3*C3</f>
        <v>2639.835</v>
      </c>
    </row>
    <row r="4" spans="2:6" x14ac:dyDescent="0.25">
      <c r="B4" s="20"/>
      <c r="C4" s="20"/>
      <c r="D4" s="33"/>
      <c r="F4">
        <f>SUM(F2:F3)</f>
        <v>13793.834999999999</v>
      </c>
    </row>
    <row r="5" spans="2:6" x14ac:dyDescent="0.25">
      <c r="B5" s="20"/>
      <c r="C5" s="20"/>
      <c r="D5" s="33">
        <f>SUM(D4)</f>
        <v>0</v>
      </c>
    </row>
    <row r="9" spans="2:6" x14ac:dyDescent="0.25">
      <c r="B9">
        <v>660000</v>
      </c>
      <c r="C9" s="65">
        <v>1.4999999999999999E-2</v>
      </c>
      <c r="D9">
        <f>B9*C9</f>
        <v>9900</v>
      </c>
    </row>
    <row r="10" spans="2:6" x14ac:dyDescent="0.25">
      <c r="B10">
        <v>16000</v>
      </c>
      <c r="C10" s="66">
        <v>0.15</v>
      </c>
      <c r="D10">
        <f>B10*C10</f>
        <v>2400</v>
      </c>
    </row>
    <row r="11" spans="2:6" x14ac:dyDescent="0.25">
      <c r="D11" s="67">
        <f>SUM(D9:D10)</f>
        <v>12300</v>
      </c>
    </row>
    <row r="13" spans="2:6" x14ac:dyDescent="0.25">
      <c r="D13" s="68">
        <f>D11*1.1</f>
        <v>13530.000000000002</v>
      </c>
    </row>
    <row r="14" spans="2:6" x14ac:dyDescent="0.25">
      <c r="B14">
        <f>676000-660001</f>
        <v>15999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Yvette Carver</dc:creator>
  <cp:lastModifiedBy>Yvette Carver</cp:lastModifiedBy>
  <cp:lastPrinted>2020-05-19T00:16:46Z</cp:lastPrinted>
  <dcterms:created xsi:type="dcterms:W3CDTF">2016-04-05T01:09:03Z</dcterms:created>
  <dcterms:modified xsi:type="dcterms:W3CDTF">2021-04-30T05:55:02Z</dcterms:modified>
</cp:coreProperties>
</file>