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RIFFIN ACCOUNTANTS\Clients 2022\Tonini SF\"/>
    </mc:Choice>
  </mc:AlternateContent>
  <xr:revisionPtr revIDLastSave="0" documentId="13_ncr:1_{4D00D5DA-AB57-421B-B9B9-503539A1F38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2022" sheetId="6" r:id="rId1"/>
    <sheet name="2021" sheetId="5" r:id="rId2"/>
    <sheet name="2020" sheetId="4" r:id="rId3"/>
    <sheet name="2019" sheetId="3" r:id="rId4"/>
    <sheet name="2018" sheetId="2" r:id="rId5"/>
    <sheet name="2017FY" sheetId="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5" l="1"/>
  <c r="F34" i="6" l="1"/>
  <c r="U24" i="6"/>
  <c r="C32" i="6"/>
  <c r="E32" i="6" s="1"/>
  <c r="F32" i="6" s="1"/>
  <c r="G11" i="6"/>
  <c r="F30" i="5"/>
  <c r="F32" i="5"/>
  <c r="E21" i="6"/>
  <c r="T24" i="6"/>
  <c r="R24" i="6"/>
  <c r="H30" i="2"/>
  <c r="I28" i="2"/>
  <c r="I27" i="2"/>
  <c r="C21" i="2"/>
  <c r="B52" i="2" s="1"/>
  <c r="B54" i="2" s="1"/>
  <c r="G34" i="2"/>
  <c r="F18" i="6"/>
  <c r="C24" i="6"/>
  <c r="B35" i="6"/>
  <c r="C28" i="6"/>
  <c r="B12" i="6"/>
  <c r="B13" i="6" s="1"/>
  <c r="C18" i="6"/>
  <c r="I42" i="6"/>
  <c r="H42" i="6"/>
  <c r="B29" i="6" s="1"/>
  <c r="C29" i="6" s="1"/>
  <c r="J41" i="6"/>
  <c r="J40" i="6"/>
  <c r="B40" i="6"/>
  <c r="J39" i="6"/>
  <c r="B39" i="6"/>
  <c r="J38" i="6"/>
  <c r="B38" i="6"/>
  <c r="K35" i="6"/>
  <c r="K27" i="6"/>
  <c r="J27" i="6"/>
  <c r="C27" i="6"/>
  <c r="D23" i="6"/>
  <c r="B21" i="6"/>
  <c r="C20" i="6"/>
  <c r="C19" i="6"/>
  <c r="K12" i="6"/>
  <c r="I12" i="6"/>
  <c r="H12" i="6"/>
  <c r="F12" i="6"/>
  <c r="E11" i="6"/>
  <c r="J11" i="6" s="1"/>
  <c r="E10" i="6"/>
  <c r="G10" i="6" s="1"/>
  <c r="J10" i="6" s="1"/>
  <c r="E9" i="6"/>
  <c r="G9" i="6" s="1"/>
  <c r="J9" i="6" s="1"/>
  <c r="E8" i="6"/>
  <c r="C30" i="5"/>
  <c r="E30" i="5" s="1"/>
  <c r="H39" i="5"/>
  <c r="B25" i="5" s="1"/>
  <c r="J27" i="2"/>
  <c r="I31" i="2" s="1"/>
  <c r="I32" i="2" s="1"/>
  <c r="B33" i="4"/>
  <c r="G12" i="5"/>
  <c r="C20" i="5"/>
  <c r="B28" i="5"/>
  <c r="B24" i="5"/>
  <c r="E9" i="5"/>
  <c r="G9" i="5" s="1"/>
  <c r="J9" i="5" s="1"/>
  <c r="B21" i="5"/>
  <c r="B12" i="5"/>
  <c r="B13" i="5" s="1"/>
  <c r="I39" i="5"/>
  <c r="J38" i="5"/>
  <c r="J37" i="5"/>
  <c r="B37" i="5"/>
  <c r="J36" i="5"/>
  <c r="B36" i="5"/>
  <c r="J35" i="5"/>
  <c r="B35" i="5"/>
  <c r="K33" i="5"/>
  <c r="K27" i="5"/>
  <c r="J27" i="5"/>
  <c r="C27" i="5"/>
  <c r="D23" i="5"/>
  <c r="C19" i="5"/>
  <c r="E19" i="5" s="1"/>
  <c r="K12" i="5"/>
  <c r="I12" i="5"/>
  <c r="H12" i="5"/>
  <c r="F12" i="5"/>
  <c r="E11" i="5"/>
  <c r="G11" i="5" s="1"/>
  <c r="E10" i="5"/>
  <c r="G10" i="5" s="1"/>
  <c r="J10" i="5" s="1"/>
  <c r="E8" i="5"/>
  <c r="B12" i="2"/>
  <c r="B34" i="4"/>
  <c r="B35" i="4" s="1"/>
  <c r="E24" i="1"/>
  <c r="B13" i="3"/>
  <c r="B12" i="3"/>
  <c r="B25" i="3"/>
  <c r="C26" i="4"/>
  <c r="C27" i="4"/>
  <c r="H36" i="4"/>
  <c r="B25" i="4" s="1"/>
  <c r="I36" i="4"/>
  <c r="J35" i="4"/>
  <c r="J34" i="4"/>
  <c r="J33" i="4"/>
  <c r="J32" i="4"/>
  <c r="K31" i="4"/>
  <c r="J27" i="4"/>
  <c r="J26" i="4"/>
  <c r="J25" i="4"/>
  <c r="J24" i="4"/>
  <c r="D71" i="2"/>
  <c r="B71" i="2"/>
  <c r="C71" i="2"/>
  <c r="B25" i="2"/>
  <c r="E62" i="2"/>
  <c r="E70" i="2"/>
  <c r="E66" i="2"/>
  <c r="B21" i="2"/>
  <c r="B21" i="4"/>
  <c r="B32" i="4"/>
  <c r="E12" i="4"/>
  <c r="E18" i="6" l="1"/>
  <c r="E20" i="6"/>
  <c r="K41" i="6"/>
  <c r="J42" i="6"/>
  <c r="C21" i="6"/>
  <c r="E19" i="6"/>
  <c r="E12" i="6"/>
  <c r="G8" i="6"/>
  <c r="G12" i="6" s="1"/>
  <c r="J39" i="5"/>
  <c r="E20" i="5"/>
  <c r="E18" i="5"/>
  <c r="E21" i="5" s="1"/>
  <c r="K38" i="5"/>
  <c r="C21" i="5"/>
  <c r="E12" i="5"/>
  <c r="B33" i="5"/>
  <c r="J11" i="5"/>
  <c r="G8" i="5"/>
  <c r="J8" i="5" s="1"/>
  <c r="K27" i="4"/>
  <c r="K35" i="4"/>
  <c r="J36" i="4"/>
  <c r="B36" i="6" l="1"/>
  <c r="B41" i="6" s="1"/>
  <c r="J8" i="6"/>
  <c r="J12" i="6" s="1"/>
  <c r="J12" i="5"/>
  <c r="E9" i="4"/>
  <c r="G9" i="4" s="1"/>
  <c r="J9" i="4" s="1"/>
  <c r="E10" i="4"/>
  <c r="G10" i="4" s="1"/>
  <c r="J10" i="4" s="1"/>
  <c r="E8" i="4"/>
  <c r="G8" i="4" s="1"/>
  <c r="J8" i="4" s="1"/>
  <c r="E11" i="4"/>
  <c r="C25" i="4"/>
  <c r="C24" i="4"/>
  <c r="D23" i="4"/>
  <c r="C23" i="4"/>
  <c r="C20" i="4"/>
  <c r="E20" i="4" s="1"/>
  <c r="C19" i="4"/>
  <c r="E19" i="4" s="1"/>
  <c r="C18" i="4"/>
  <c r="E18" i="4" s="1"/>
  <c r="B13" i="4"/>
  <c r="K12" i="4"/>
  <c r="I12" i="4"/>
  <c r="H12" i="4"/>
  <c r="F12" i="4"/>
  <c r="B12" i="4"/>
  <c r="F34" i="2"/>
  <c r="F27" i="2"/>
  <c r="C27" i="2"/>
  <c r="F12" i="2"/>
  <c r="F25" i="1"/>
  <c r="G32" i="1"/>
  <c r="B32" i="1"/>
  <c r="N27" i="2"/>
  <c r="E21" i="3"/>
  <c r="F12" i="3"/>
  <c r="B24" i="3"/>
  <c r="C24" i="3" s="1"/>
  <c r="E11" i="3"/>
  <c r="E12" i="3" s="1"/>
  <c r="C23" i="3"/>
  <c r="B21" i="3"/>
  <c r="C20" i="3"/>
  <c r="C19" i="3"/>
  <c r="E19" i="3" s="1"/>
  <c r="C18" i="3"/>
  <c r="C21" i="3" s="1"/>
  <c r="B32" i="3" s="1"/>
  <c r="K12" i="3"/>
  <c r="I12" i="3"/>
  <c r="H12" i="3"/>
  <c r="G10" i="3"/>
  <c r="J10" i="3" s="1"/>
  <c r="G9" i="3"/>
  <c r="J9" i="3" s="1"/>
  <c r="J8" i="3"/>
  <c r="G8" i="3"/>
  <c r="E18" i="1"/>
  <c r="B55" i="2"/>
  <c r="D70" i="2"/>
  <c r="D66" i="2"/>
  <c r="D59" i="2"/>
  <c r="D65" i="2"/>
  <c r="D69" i="2"/>
  <c r="D61" i="2"/>
  <c r="D68" i="2"/>
  <c r="D64" i="2"/>
  <c r="D60" i="2"/>
  <c r="D62" i="2"/>
  <c r="D67" i="2"/>
  <c r="D63" i="2"/>
  <c r="C18" i="2"/>
  <c r="K27" i="2"/>
  <c r="B33" i="2" s="1"/>
  <c r="C33" i="2" s="1"/>
  <c r="B32" i="2"/>
  <c r="C32" i="2" s="1"/>
  <c r="B50" i="2"/>
  <c r="C25" i="2" s="1"/>
  <c r="C26" i="2"/>
  <c r="D48" i="2"/>
  <c r="D47" i="2"/>
  <c r="D46" i="2"/>
  <c r="D45" i="2"/>
  <c r="D38" i="2"/>
  <c r="D39" i="2"/>
  <c r="D40" i="2"/>
  <c r="D41" i="2"/>
  <c r="D42" i="2"/>
  <c r="D43" i="2"/>
  <c r="D44" i="2"/>
  <c r="D37" i="2"/>
  <c r="H29" i="2"/>
  <c r="B30" i="2" s="1"/>
  <c r="C24" i="2"/>
  <c r="C23" i="2"/>
  <c r="C20" i="2"/>
  <c r="C19" i="2"/>
  <c r="E19" i="2" s="1"/>
  <c r="K12" i="2"/>
  <c r="I12" i="2"/>
  <c r="H12" i="2"/>
  <c r="E12" i="2"/>
  <c r="G11" i="2"/>
  <c r="J11" i="2" s="1"/>
  <c r="G10" i="2"/>
  <c r="J10" i="2" s="1"/>
  <c r="G9" i="2"/>
  <c r="J9" i="2" s="1"/>
  <c r="G8" i="2"/>
  <c r="J8" i="2" s="1"/>
  <c r="B28" i="1"/>
  <c r="C28" i="1" s="1"/>
  <c r="B29" i="1"/>
  <c r="C29" i="1" s="1"/>
  <c r="F32" i="1"/>
  <c r="B31" i="1"/>
  <c r="C31" i="1" s="1"/>
  <c r="B30" i="1"/>
  <c r="C30" i="1" s="1"/>
  <c r="B20" i="1"/>
  <c r="C24" i="1"/>
  <c r="F12" i="1"/>
  <c r="C25" i="1" s="1"/>
  <c r="C23" i="1"/>
  <c r="B22" i="1"/>
  <c r="C22" i="1" s="1"/>
  <c r="C17" i="1"/>
  <c r="C20" i="1" s="1"/>
  <c r="C18" i="1"/>
  <c r="C19" i="1"/>
  <c r="G11" i="1"/>
  <c r="J11" i="1" s="1"/>
  <c r="G10" i="1"/>
  <c r="J10" i="1" s="1"/>
  <c r="G9" i="1"/>
  <c r="J9" i="1" s="1"/>
  <c r="K12" i="1"/>
  <c r="I12" i="1"/>
  <c r="H12" i="1"/>
  <c r="B12" i="1"/>
  <c r="E12" i="1"/>
  <c r="L27" i="2" l="1"/>
  <c r="D25" i="4"/>
  <c r="C28" i="4"/>
  <c r="C21" i="4"/>
  <c r="E21" i="4"/>
  <c r="G11" i="4"/>
  <c r="B31" i="4" s="1"/>
  <c r="J12" i="2"/>
  <c r="D20" i="1"/>
  <c r="D21" i="1" s="1"/>
  <c r="D22" i="1" s="1"/>
  <c r="E17" i="1" s="1"/>
  <c r="G20" i="1"/>
  <c r="H57" i="2"/>
  <c r="H58" i="2" s="1"/>
  <c r="C25" i="3"/>
  <c r="C26" i="3" s="1"/>
  <c r="G11" i="3"/>
  <c r="D50" i="2"/>
  <c r="D23" i="3"/>
  <c r="B31" i="2"/>
  <c r="B34" i="2" s="1"/>
  <c r="H34" i="2"/>
  <c r="K28" i="2"/>
  <c r="J28" i="2"/>
  <c r="C30" i="2"/>
  <c r="B53" i="2"/>
  <c r="C32" i="1"/>
  <c r="G8" i="1"/>
  <c r="D25" i="3" l="1"/>
  <c r="J11" i="4"/>
  <c r="J12" i="4" s="1"/>
  <c r="J11" i="3"/>
  <c r="J12" i="3" s="1"/>
  <c r="B31" i="3"/>
  <c r="B35" i="3" s="1"/>
  <c r="B56" i="2"/>
  <c r="E19" i="1"/>
  <c r="E20" i="1" s="1"/>
  <c r="E20" i="3"/>
  <c r="E18" i="3"/>
  <c r="C31" i="2"/>
  <c r="C34" i="2" s="1"/>
  <c r="L28" i="2"/>
  <c r="D21" i="2"/>
  <c r="D22" i="2" s="1"/>
  <c r="D23" i="2" s="1"/>
  <c r="E18" i="2" s="1"/>
  <c r="J8" i="1"/>
  <c r="J12" i="1" s="1"/>
  <c r="E20" i="2" l="1"/>
  <c r="E21" i="2" s="1"/>
</calcChain>
</file>

<file path=xl/sharedStrings.xml><?xml version="1.0" encoding="utf-8"?>
<sst xmlns="http://schemas.openxmlformats.org/spreadsheetml/2006/main" count="290" uniqueCount="63">
  <si>
    <t xml:space="preserve">ABN </t>
  </si>
  <si>
    <t>TFN</t>
  </si>
  <si>
    <t xml:space="preserve">Total </t>
  </si>
  <si>
    <t>GST</t>
  </si>
  <si>
    <t>Net</t>
  </si>
  <si>
    <t>PAYGW</t>
  </si>
  <si>
    <t>PAYGInst</t>
  </si>
  <si>
    <t>Total</t>
  </si>
  <si>
    <t xml:space="preserve">Gross </t>
  </si>
  <si>
    <t>FBT Instalments</t>
  </si>
  <si>
    <t>Supplies</t>
  </si>
  <si>
    <t>Purchases</t>
  </si>
  <si>
    <t>Payable</t>
  </si>
  <si>
    <t>Credits</t>
  </si>
  <si>
    <t>Wages</t>
  </si>
  <si>
    <t>Qtr ending</t>
  </si>
  <si>
    <t>G1</t>
  </si>
  <si>
    <t>G10</t>
  </si>
  <si>
    <t>G11</t>
  </si>
  <si>
    <t>1A</t>
  </si>
  <si>
    <t>1B</t>
  </si>
  <si>
    <t>5A</t>
  </si>
  <si>
    <t>W1</t>
  </si>
  <si>
    <t>Tonini Pension Fund</t>
  </si>
  <si>
    <t>280/1</t>
  </si>
  <si>
    <t>280/2</t>
  </si>
  <si>
    <t>280/3</t>
  </si>
  <si>
    <t>Accounting fee</t>
  </si>
  <si>
    <t>Property expenses</t>
  </si>
  <si>
    <t>Legal Fee</t>
  </si>
  <si>
    <t>Q1</t>
  </si>
  <si>
    <t>Q2</t>
  </si>
  <si>
    <t>Q3</t>
  </si>
  <si>
    <t>Q4</t>
  </si>
  <si>
    <t>GST Payable</t>
  </si>
  <si>
    <t>Strata Levies</t>
  </si>
  <si>
    <t>Ross Street</t>
  </si>
  <si>
    <t>Silverwater</t>
  </si>
  <si>
    <t>Padstow shutter</t>
  </si>
  <si>
    <t>Padstow plumber</t>
  </si>
  <si>
    <t>Mail direction</t>
  </si>
  <si>
    <t>Audit fee</t>
  </si>
  <si>
    <t>Net GST</t>
  </si>
  <si>
    <t>Aust post</t>
  </si>
  <si>
    <t>2018 Discrepancy</t>
  </si>
  <si>
    <t>2017 Discrepancy</t>
  </si>
  <si>
    <t>2019 Discrepancy</t>
  </si>
  <si>
    <t>Insurance</t>
  </si>
  <si>
    <t>Plumbing</t>
  </si>
  <si>
    <t>Padstow floating floor</t>
  </si>
  <si>
    <t>Post redirection</t>
  </si>
  <si>
    <t>2021 Discrepancy</t>
  </si>
  <si>
    <t>Renovation cost</t>
  </si>
  <si>
    <t>Legal cost</t>
  </si>
  <si>
    <t>CGU claims no GST</t>
  </si>
  <si>
    <t>2022 Discrepancy</t>
  </si>
  <si>
    <t>Repair costs</t>
  </si>
  <si>
    <t>Padstow</t>
  </si>
  <si>
    <t>Gross Rent</t>
  </si>
  <si>
    <t xml:space="preserve">GST </t>
  </si>
  <si>
    <t>Outgoing</t>
  </si>
  <si>
    <t>Report 1</t>
  </si>
  <si>
    <t>Report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</si>
</sst>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164" fontId="4" fillId="0" borderId="0" xfId="3" applyFont="1" applyAlignment="1">
      <alignment horizontal="center"/>
    </xf>
    <xf numFmtId="17" fontId="4" fillId="0" borderId="0" xfId="2" applyNumberFormat="1" applyFont="1"/>
    <xf numFmtId="165" fontId="4" fillId="0" borderId="0" xfId="1" applyNumberFormat="1" applyFont="1"/>
    <xf numFmtId="165" fontId="4" fillId="2" borderId="0" xfId="1" applyNumberFormat="1" applyFont="1" applyFill="1"/>
    <xf numFmtId="165" fontId="4" fillId="0" borderId="0" xfId="1" applyNumberFormat="1" applyFont="1" applyFill="1"/>
    <xf numFmtId="165" fontId="0" fillId="0" borderId="0" xfId="0" applyNumberFormat="1"/>
    <xf numFmtId="15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4" fontId="0" fillId="0" borderId="0" xfId="0" applyNumberFormat="1"/>
    <xf numFmtId="17" fontId="0" fillId="0" borderId="0" xfId="0" applyNumberFormat="1"/>
    <xf numFmtId="0" fontId="0" fillId="3" borderId="0" xfId="0" applyFill="1"/>
    <xf numFmtId="164" fontId="0" fillId="0" borderId="0" xfId="1" applyFont="1"/>
    <xf numFmtId="0" fontId="0" fillId="4" borderId="0" xfId="0" applyFill="1"/>
    <xf numFmtId="14" fontId="0" fillId="0" borderId="0" xfId="0" applyNumberFormat="1"/>
    <xf numFmtId="0" fontId="0" fillId="5" borderId="0" xfId="0" applyFill="1"/>
    <xf numFmtId="165" fontId="0" fillId="5" borderId="0" xfId="0" applyNumberFormat="1" applyFill="1"/>
    <xf numFmtId="43" fontId="0" fillId="0" borderId="0" xfId="0" applyNumberFormat="1"/>
  </cellXfs>
  <cellStyles count="4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698AB-398C-47F7-B36B-A0C91DB83F06}">
  <dimension ref="A1:U46"/>
  <sheetViews>
    <sheetView tabSelected="1" topLeftCell="A13" workbookViewId="0">
      <selection activeCell="D46" sqref="D46"/>
    </sheetView>
  </sheetViews>
  <sheetFormatPr defaultRowHeight="15" x14ac:dyDescent="0.25"/>
  <cols>
    <col min="1" max="1" width="13.140625" customWidth="1"/>
    <col min="2" max="2" width="12.7109375" customWidth="1"/>
    <col min="3" max="3" width="14.42578125" customWidth="1"/>
    <col min="5" max="5" width="14.5703125" customWidth="1"/>
    <col min="6" max="6" width="11.85546875" customWidth="1"/>
    <col min="21" max="21" width="9.5703125" bestFit="1" customWidth="1"/>
  </cols>
  <sheetData>
    <row r="1" spans="1:12" x14ac:dyDescent="0.25">
      <c r="A1" t="s">
        <v>23</v>
      </c>
    </row>
    <row r="2" spans="1:12" x14ac:dyDescent="0.25">
      <c r="A2" s="11">
        <v>44742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44440</v>
      </c>
      <c r="B8" s="7">
        <v>14763</v>
      </c>
      <c r="C8" s="7"/>
      <c r="D8" s="7"/>
      <c r="E8" s="8">
        <f t="shared" ref="E8" si="0">B8/11</f>
        <v>1342.090909090909</v>
      </c>
      <c r="F8" s="8">
        <v>584</v>
      </c>
      <c r="G8" s="9">
        <f>E8-F8</f>
        <v>758.09090909090901</v>
      </c>
      <c r="H8" s="8"/>
      <c r="I8" s="8">
        <v>1063</v>
      </c>
      <c r="J8" s="7">
        <f>+G8+H8+I8+L8</f>
        <v>1821.090909090909</v>
      </c>
      <c r="K8" s="8"/>
    </row>
    <row r="9" spans="1:12" x14ac:dyDescent="0.25">
      <c r="A9" s="6">
        <v>44531</v>
      </c>
      <c r="B9" s="7">
        <v>21354</v>
      </c>
      <c r="C9" s="7"/>
      <c r="D9" s="7"/>
      <c r="E9" s="8">
        <f>B9/11-0</f>
        <v>1941.2727272727273</v>
      </c>
      <c r="F9" s="8">
        <v>1742</v>
      </c>
      <c r="G9" s="9">
        <f>E9-F9</f>
        <v>199.27272727272725</v>
      </c>
      <c r="H9" s="8"/>
      <c r="I9" s="8">
        <v>1063</v>
      </c>
      <c r="J9" s="7">
        <f>+G9+H9+I9+L9</f>
        <v>1262.2727272727273</v>
      </c>
      <c r="K9" s="8"/>
    </row>
    <row r="10" spans="1:12" x14ac:dyDescent="0.25">
      <c r="A10" s="6">
        <v>44621</v>
      </c>
      <c r="B10" s="7">
        <v>29373</v>
      </c>
      <c r="C10" s="7"/>
      <c r="D10" s="7"/>
      <c r="E10" s="8">
        <f>B10/11-1</f>
        <v>2669.2727272727275</v>
      </c>
      <c r="F10" s="8">
        <v>293</v>
      </c>
      <c r="G10" s="9">
        <f>E10-F10</f>
        <v>2376.2727272727275</v>
      </c>
      <c r="H10" s="8"/>
      <c r="I10" s="8">
        <v>1063</v>
      </c>
      <c r="J10" s="7">
        <f>+G10+H10+I10+L10</f>
        <v>3439.2727272727275</v>
      </c>
      <c r="K10" s="8"/>
    </row>
    <row r="11" spans="1:12" x14ac:dyDescent="0.25">
      <c r="A11" s="6">
        <v>44713</v>
      </c>
      <c r="B11" s="7">
        <v>29373</v>
      </c>
      <c r="C11" s="7"/>
      <c r="D11" s="7"/>
      <c r="E11" s="8">
        <f>B11/11</f>
        <v>2670.2727272727275</v>
      </c>
      <c r="F11" s="8">
        <v>565</v>
      </c>
      <c r="G11" s="9">
        <f>E11-F11</f>
        <v>2105.2727272727275</v>
      </c>
      <c r="H11" s="8"/>
      <c r="I11" s="8">
        <v>375</v>
      </c>
      <c r="J11" s="7">
        <f>+G11+H11+I11+L11</f>
        <v>2480.2727272727275</v>
      </c>
      <c r="K11" s="8"/>
    </row>
    <row r="12" spans="1:12" x14ac:dyDescent="0.25">
      <c r="A12" s="2"/>
      <c r="B12" s="7">
        <f>SUM(B8:B11)</f>
        <v>94863</v>
      </c>
      <c r="C12" s="7"/>
      <c r="D12" s="7"/>
      <c r="E12" s="7">
        <f>SUM(E8:E11)</f>
        <v>8622.9090909090919</v>
      </c>
      <c r="F12" s="7">
        <f>SUM(F8:F11)</f>
        <v>3184</v>
      </c>
      <c r="G12" s="7">
        <f>SUM(G8:G11)</f>
        <v>5438.9090909090919</v>
      </c>
      <c r="H12" s="7">
        <f>SUM(H8:H11)</f>
        <v>0</v>
      </c>
      <c r="I12" s="7">
        <f>SUM(I7:I11)</f>
        <v>3564</v>
      </c>
      <c r="J12" s="7">
        <f>SUM(J8:J11)</f>
        <v>9002.9090909090919</v>
      </c>
      <c r="K12" s="7">
        <f>SUM(K8:K11)</f>
        <v>0</v>
      </c>
    </row>
    <row r="13" spans="1:12" x14ac:dyDescent="0.25">
      <c r="A13" s="2"/>
      <c r="B13" s="7">
        <f>B12/11</f>
        <v>8623.9090909090901</v>
      </c>
      <c r="C13" s="7"/>
      <c r="D13" s="7"/>
      <c r="E13" s="7"/>
      <c r="F13" s="7"/>
      <c r="G13" s="7"/>
      <c r="H13" s="7"/>
      <c r="I13" s="7"/>
      <c r="J13" s="7"/>
      <c r="K13" s="7"/>
    </row>
    <row r="16" spans="1:12" x14ac:dyDescent="0.25">
      <c r="B16" s="20">
        <v>44742</v>
      </c>
      <c r="C16" s="10"/>
    </row>
    <row r="17" spans="1:21" x14ac:dyDescent="0.25">
      <c r="H17" s="16"/>
      <c r="I17" s="16"/>
      <c r="J17" s="16"/>
      <c r="K17" s="16"/>
    </row>
    <row r="18" spans="1:21" x14ac:dyDescent="0.25">
      <c r="A18" t="s">
        <v>24</v>
      </c>
      <c r="B18" s="18">
        <v>42221.65</v>
      </c>
      <c r="C18" s="18">
        <f>B18/11</f>
        <v>3838.3318181818181</v>
      </c>
      <c r="D18" s="18"/>
      <c r="E18" s="18">
        <f>C18-D23</f>
        <v>3838.3318181818181</v>
      </c>
      <c r="F18" s="23">
        <f>E18-900</f>
        <v>2938.3318181818181</v>
      </c>
      <c r="K18" t="s">
        <v>57</v>
      </c>
      <c r="M18" t="s">
        <v>61</v>
      </c>
      <c r="N18" t="s">
        <v>62</v>
      </c>
      <c r="Q18" t="s">
        <v>37</v>
      </c>
      <c r="R18" t="s">
        <v>62</v>
      </c>
      <c r="T18" t="s">
        <v>2</v>
      </c>
    </row>
    <row r="19" spans="1:21" x14ac:dyDescent="0.25">
      <c r="B19" s="18"/>
      <c r="C19" s="18">
        <f t="shared" ref="C19" si="1">B19/11</f>
        <v>0</v>
      </c>
      <c r="D19" s="18"/>
      <c r="E19" s="18">
        <f>C19</f>
        <v>0</v>
      </c>
      <c r="K19" t="s">
        <v>58</v>
      </c>
      <c r="M19">
        <v>20000</v>
      </c>
      <c r="N19">
        <v>16000</v>
      </c>
    </row>
    <row r="20" spans="1:21" x14ac:dyDescent="0.25">
      <c r="A20" t="s">
        <v>26</v>
      </c>
      <c r="B20" s="18">
        <v>60169.43</v>
      </c>
      <c r="C20" s="18">
        <f>B20/11</f>
        <v>5469.9481818181821</v>
      </c>
      <c r="D20" s="18"/>
      <c r="E20" s="18">
        <f>C20-D23</f>
        <v>5469.9481818181821</v>
      </c>
      <c r="K20" t="s">
        <v>59</v>
      </c>
      <c r="M20">
        <v>2000</v>
      </c>
      <c r="N20">
        <v>1600</v>
      </c>
    </row>
    <row r="21" spans="1:21" x14ac:dyDescent="0.25">
      <c r="B21" s="18">
        <f>SUM(B18:B20)</f>
        <v>102391.08</v>
      </c>
      <c r="C21" s="18">
        <f>SUM(C18:C20)</f>
        <v>9308.2800000000007</v>
      </c>
      <c r="D21" s="18"/>
      <c r="E21" s="18">
        <f>SUM(E18:E20)-900</f>
        <v>8408.2800000000007</v>
      </c>
      <c r="K21" t="s">
        <v>60</v>
      </c>
      <c r="M21">
        <v>2500</v>
      </c>
      <c r="N21">
        <v>2000</v>
      </c>
    </row>
    <row r="22" spans="1:21" x14ac:dyDescent="0.25">
      <c r="D22" s="13"/>
      <c r="K22" t="s">
        <v>59</v>
      </c>
      <c r="M22">
        <v>250</v>
      </c>
      <c r="N22">
        <v>200</v>
      </c>
    </row>
    <row r="23" spans="1:21" x14ac:dyDescent="0.25">
      <c r="A23" t="s">
        <v>27</v>
      </c>
      <c r="B23">
        <v>2772</v>
      </c>
      <c r="C23">
        <v>215</v>
      </c>
      <c r="D23" s="13">
        <f>D22/2</f>
        <v>0</v>
      </c>
    </row>
    <row r="24" spans="1:21" x14ac:dyDescent="0.25">
      <c r="A24" t="s">
        <v>56</v>
      </c>
      <c r="B24" s="13">
        <v>1660</v>
      </c>
      <c r="C24" s="18">
        <f>B24/11</f>
        <v>150.90909090909091</v>
      </c>
      <c r="D24" s="13"/>
      <c r="G24" s="20"/>
      <c r="J24" s="18"/>
      <c r="K24" t="s">
        <v>42</v>
      </c>
      <c r="M24">
        <v>1428</v>
      </c>
      <c r="N24">
        <v>1725</v>
      </c>
      <c r="Q24">
        <v>3635</v>
      </c>
      <c r="R24">
        <f>458.65*4</f>
        <v>1834.6</v>
      </c>
      <c r="T24">
        <f>SUM(M23:R24)</f>
        <v>8622.6</v>
      </c>
      <c r="U24" s="23">
        <f>T24-C32</f>
        <v>7324.130909090909</v>
      </c>
    </row>
    <row r="25" spans="1:21" x14ac:dyDescent="0.25">
      <c r="A25" t="s">
        <v>28</v>
      </c>
      <c r="C25" s="14"/>
      <c r="D25" s="13"/>
      <c r="G25" s="20"/>
      <c r="J25" s="18"/>
    </row>
    <row r="26" spans="1:21" x14ac:dyDescent="0.25">
      <c r="A26" t="s">
        <v>41</v>
      </c>
      <c r="B26">
        <v>495</v>
      </c>
      <c r="C26" s="14">
        <v>45</v>
      </c>
      <c r="D26" s="13"/>
      <c r="G26" s="20"/>
      <c r="J26" s="18"/>
    </row>
    <row r="27" spans="1:21" x14ac:dyDescent="0.25">
      <c r="A27" t="s">
        <v>47</v>
      </c>
      <c r="B27">
        <v>0</v>
      </c>
      <c r="C27" s="14">
        <f t="shared" ref="C27" si="2">B27/11</f>
        <v>0</v>
      </c>
      <c r="F27" s="10"/>
      <c r="G27" s="20"/>
      <c r="J27" s="18">
        <f t="shared" ref="J27:J41" si="3">H27/11</f>
        <v>0</v>
      </c>
      <c r="K27" s="13">
        <f>SUM(J24:J26)</f>
        <v>0</v>
      </c>
    </row>
    <row r="28" spans="1:21" x14ac:dyDescent="0.25">
      <c r="A28" t="s">
        <v>53</v>
      </c>
      <c r="B28">
        <v>2431.69</v>
      </c>
      <c r="C28" s="14">
        <f>B28/11</f>
        <v>221.06272727272727</v>
      </c>
      <c r="F28" s="10"/>
      <c r="G28" s="20"/>
      <c r="J28" s="18"/>
      <c r="K28" s="13"/>
    </row>
    <row r="29" spans="1:21" x14ac:dyDescent="0.25">
      <c r="A29" t="s">
        <v>35</v>
      </c>
      <c r="B29">
        <f>H42</f>
        <v>7331.4699999999993</v>
      </c>
      <c r="C29" s="14">
        <f>B29/11</f>
        <v>666.49727272727262</v>
      </c>
      <c r="F29" s="10"/>
      <c r="G29" s="20"/>
      <c r="J29" s="18"/>
      <c r="K29" s="13"/>
    </row>
    <row r="30" spans="1:21" x14ac:dyDescent="0.25">
      <c r="C30" s="14"/>
      <c r="F30" s="10"/>
      <c r="G30" s="20"/>
      <c r="J30" s="18"/>
      <c r="K30" s="13"/>
    </row>
    <row r="31" spans="1:21" x14ac:dyDescent="0.25">
      <c r="C31" s="14"/>
      <c r="F31" s="10"/>
      <c r="G31" s="20"/>
      <c r="J31" s="18"/>
      <c r="K31" s="13"/>
    </row>
    <row r="32" spans="1:21" x14ac:dyDescent="0.25">
      <c r="C32" s="18">
        <f>SUM(C23:C31)</f>
        <v>1298.4690909090909</v>
      </c>
      <c r="E32" s="13">
        <f>-C32</f>
        <v>-1298.4690909090909</v>
      </c>
      <c r="F32" s="13">
        <f>E21+E32</f>
        <v>7109.8109090909093</v>
      </c>
      <c r="G32" s="20"/>
      <c r="J32" s="18"/>
    </row>
    <row r="33" spans="1:11" x14ac:dyDescent="0.25">
      <c r="G33" s="20"/>
      <c r="J33" s="18"/>
    </row>
    <row r="34" spans="1:11" x14ac:dyDescent="0.25">
      <c r="B34" s="15"/>
      <c r="C34" s="12"/>
      <c r="F34" s="13">
        <f>F32-G12+(T24-E21)</f>
        <v>1885.2218181818171</v>
      </c>
      <c r="G34" s="20"/>
      <c r="J34" s="18"/>
    </row>
    <row r="35" spans="1:11" x14ac:dyDescent="0.25">
      <c r="A35" s="16">
        <v>44713</v>
      </c>
      <c r="B35" s="10">
        <f>G11</f>
        <v>2105.2727272727275</v>
      </c>
      <c r="C35" s="12"/>
      <c r="G35" s="20"/>
      <c r="J35" s="18"/>
      <c r="K35" s="13">
        <f>SUM(J32:J35)</f>
        <v>0</v>
      </c>
    </row>
    <row r="36" spans="1:11" x14ac:dyDescent="0.25">
      <c r="A36" s="16" t="s">
        <v>55</v>
      </c>
      <c r="B36" s="10">
        <f>F34</f>
        <v>1885.2218181818171</v>
      </c>
      <c r="C36" s="12"/>
      <c r="G36" s="20"/>
      <c r="J36" s="18"/>
      <c r="K36" s="13"/>
    </row>
    <row r="37" spans="1:11" x14ac:dyDescent="0.25">
      <c r="A37" s="16" t="s">
        <v>51</v>
      </c>
      <c r="B37" s="10">
        <v>1088</v>
      </c>
      <c r="C37" s="12"/>
      <c r="G37" s="20"/>
      <c r="J37" s="18"/>
      <c r="K37" s="13"/>
    </row>
    <row r="38" spans="1:11" x14ac:dyDescent="0.25">
      <c r="A38" s="16" t="s">
        <v>46</v>
      </c>
      <c r="B38" s="10">
        <f>'2019'!B32</f>
        <v>91.378181818181474</v>
      </c>
      <c r="C38" s="12"/>
      <c r="G38" s="20">
        <v>44441</v>
      </c>
      <c r="H38">
        <v>1800.17</v>
      </c>
      <c r="I38" t="s">
        <v>37</v>
      </c>
      <c r="J38" s="18">
        <f t="shared" si="3"/>
        <v>163.65181818181819</v>
      </c>
    </row>
    <row r="39" spans="1:11" x14ac:dyDescent="0.25">
      <c r="A39" t="s">
        <v>44</v>
      </c>
      <c r="B39">
        <f>2316-358</f>
        <v>1958</v>
      </c>
      <c r="C39" s="12"/>
      <c r="G39" s="20">
        <v>44533</v>
      </c>
      <c r="H39">
        <v>1800</v>
      </c>
      <c r="I39" t="s">
        <v>37</v>
      </c>
      <c r="J39" s="18">
        <f t="shared" si="3"/>
        <v>163.63636363636363</v>
      </c>
    </row>
    <row r="40" spans="1:11" x14ac:dyDescent="0.25">
      <c r="A40" t="s">
        <v>45</v>
      </c>
      <c r="B40">
        <f>1627-408-582</f>
        <v>637</v>
      </c>
      <c r="C40" s="12"/>
      <c r="G40" s="20">
        <v>44623</v>
      </c>
      <c r="H40">
        <v>1865.65</v>
      </c>
      <c r="I40" t="s">
        <v>37</v>
      </c>
      <c r="J40" s="18">
        <f t="shared" si="3"/>
        <v>169.60454545454547</v>
      </c>
    </row>
    <row r="41" spans="1:11" x14ac:dyDescent="0.25">
      <c r="A41" t="s">
        <v>2</v>
      </c>
      <c r="B41" s="10">
        <f>SUM(B35:B40)</f>
        <v>7764.8727272727265</v>
      </c>
      <c r="C41" s="12"/>
      <c r="G41" s="20">
        <v>44714</v>
      </c>
      <c r="H41">
        <v>1865.65</v>
      </c>
      <c r="I41" t="s">
        <v>37</v>
      </c>
      <c r="J41" s="18">
        <f t="shared" si="3"/>
        <v>169.60454545454547</v>
      </c>
      <c r="K41" s="13">
        <f>SUM(J38:J41)</f>
        <v>666.49727272727273</v>
      </c>
    </row>
    <row r="42" spans="1:11" x14ac:dyDescent="0.25">
      <c r="B42" s="13"/>
      <c r="H42">
        <f>SUM(H24:H41)</f>
        <v>7331.4699999999993</v>
      </c>
      <c r="I42">
        <f t="shared" ref="I42" si="4">SUM(I24:I41)</f>
        <v>0</v>
      </c>
      <c r="J42" s="13">
        <f>SUM(J24:J41)</f>
        <v>666.49727272727273</v>
      </c>
    </row>
    <row r="44" spans="1:11" x14ac:dyDescent="0.25">
      <c r="A44" s="20"/>
      <c r="D44" s="18"/>
    </row>
    <row r="45" spans="1:11" x14ac:dyDescent="0.25">
      <c r="A45" s="20"/>
      <c r="D45" s="18"/>
    </row>
    <row r="46" spans="1:11" x14ac:dyDescent="0.25">
      <c r="A46" s="20"/>
      <c r="D46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1580E-040B-4A6D-AA0C-CE36754B5BBF}">
  <dimension ref="A1:L74"/>
  <sheetViews>
    <sheetView zoomScaleNormal="100" workbookViewId="0">
      <selection activeCell="B39" sqref="B39"/>
    </sheetView>
  </sheetViews>
  <sheetFormatPr defaultRowHeight="15" x14ac:dyDescent="0.25"/>
  <cols>
    <col min="1" max="1" width="19.28515625" bestFit="1" customWidth="1"/>
    <col min="2" max="2" width="15.140625" customWidth="1"/>
    <col min="3" max="3" width="18" customWidth="1"/>
    <col min="4" max="4" width="13.5703125" customWidth="1"/>
    <col min="5" max="6" width="13.28515625" customWidth="1"/>
    <col min="7" max="7" width="12.7109375" customWidth="1"/>
    <col min="8" max="8" width="10.42578125" customWidth="1"/>
    <col min="9" max="9" width="21" customWidth="1"/>
    <col min="10" max="10" width="10.85546875" customWidth="1"/>
    <col min="11" max="11" width="12.28515625" customWidth="1"/>
    <col min="12" max="12" width="10.7109375" customWidth="1"/>
  </cols>
  <sheetData>
    <row r="1" spans="1:12" x14ac:dyDescent="0.25">
      <c r="A1" t="s">
        <v>23</v>
      </c>
    </row>
    <row r="2" spans="1:12" x14ac:dyDescent="0.25">
      <c r="A2" s="11">
        <v>44377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44075</v>
      </c>
      <c r="B8" s="7">
        <v>12895</v>
      </c>
      <c r="C8" s="7"/>
      <c r="D8" s="7"/>
      <c r="E8" s="8">
        <f t="shared" ref="E8" si="0">B8/11</f>
        <v>1172.2727272727273</v>
      </c>
      <c r="F8" s="8">
        <v>781</v>
      </c>
      <c r="G8" s="9">
        <f>E8-F8</f>
        <v>391.27272727272725</v>
      </c>
      <c r="H8" s="8"/>
      <c r="I8" s="8"/>
      <c r="J8" s="7">
        <f>+G8+H8+I8+L8</f>
        <v>391.27272727272725</v>
      </c>
      <c r="K8" s="8"/>
    </row>
    <row r="9" spans="1:12" x14ac:dyDescent="0.25">
      <c r="A9" s="6">
        <v>44166</v>
      </c>
      <c r="B9" s="7">
        <v>12917</v>
      </c>
      <c r="C9" s="7"/>
      <c r="D9" s="7"/>
      <c r="E9" s="8">
        <f>B9/11-0</f>
        <v>1174.2727272727273</v>
      </c>
      <c r="F9" s="8">
        <v>5123</v>
      </c>
      <c r="G9" s="9">
        <f>E9-F9</f>
        <v>-3948.727272727273</v>
      </c>
      <c r="H9" s="8"/>
      <c r="I9" s="8"/>
      <c r="J9" s="7">
        <f>+G9+H9+I9+L9</f>
        <v>-3948.727272727273</v>
      </c>
      <c r="K9" s="8"/>
    </row>
    <row r="10" spans="1:12" x14ac:dyDescent="0.25">
      <c r="A10" s="6">
        <v>44256</v>
      </c>
      <c r="B10" s="7">
        <v>12560</v>
      </c>
      <c r="C10" s="7"/>
      <c r="D10" s="7"/>
      <c r="E10" s="8">
        <f>B10/11-1</f>
        <v>1140.8181818181818</v>
      </c>
      <c r="F10" s="8">
        <v>87</v>
      </c>
      <c r="G10" s="9">
        <f>E10-F10</f>
        <v>1053.8181818181818</v>
      </c>
      <c r="H10" s="8"/>
      <c r="I10" s="8"/>
      <c r="J10" s="7">
        <f>+G10+H10+I10+L10</f>
        <v>1053.8181818181818</v>
      </c>
      <c r="K10" s="8"/>
    </row>
    <row r="11" spans="1:12" x14ac:dyDescent="0.25">
      <c r="A11" s="6">
        <v>44348</v>
      </c>
      <c r="B11" s="7"/>
      <c r="C11" s="7"/>
      <c r="D11" s="7"/>
      <c r="E11" s="8">
        <f>B11/11</f>
        <v>0</v>
      </c>
      <c r="F11" s="8">
        <v>0</v>
      </c>
      <c r="G11" s="9">
        <f>E11-F11</f>
        <v>0</v>
      </c>
      <c r="H11" s="8"/>
      <c r="I11" s="8">
        <v>1063</v>
      </c>
      <c r="J11" s="7">
        <f>+G11+H11+I11+L11</f>
        <v>1063</v>
      </c>
      <c r="K11" s="8"/>
    </row>
    <row r="12" spans="1:12" x14ac:dyDescent="0.25">
      <c r="A12" s="2"/>
      <c r="B12" s="7">
        <f>SUM(B8:B11)</f>
        <v>38372</v>
      </c>
      <c r="C12" s="7"/>
      <c r="D12" s="7"/>
      <c r="E12" s="7">
        <f>SUM(E8:E11)</f>
        <v>3487.363636363636</v>
      </c>
      <c r="F12" s="7">
        <f>SUM(F8:F11)</f>
        <v>5991</v>
      </c>
      <c r="G12" s="7">
        <f>SUM(G8:G11)</f>
        <v>-2503.636363636364</v>
      </c>
      <c r="H12" s="7">
        <f>SUM(H8:H11)</f>
        <v>0</v>
      </c>
      <c r="I12" s="7">
        <f>SUM(I7:I11)</f>
        <v>1063</v>
      </c>
      <c r="J12" s="7">
        <f>SUM(J8:J11)</f>
        <v>-1440.636363636364</v>
      </c>
      <c r="K12" s="7">
        <f>SUM(K8:K11)</f>
        <v>0</v>
      </c>
    </row>
    <row r="13" spans="1:12" x14ac:dyDescent="0.25">
      <c r="A13" s="2"/>
      <c r="B13" s="7">
        <f>B12/11</f>
        <v>3488.3636363636365</v>
      </c>
      <c r="C13" s="7"/>
      <c r="D13" s="7"/>
      <c r="E13" s="7"/>
      <c r="F13" s="7"/>
      <c r="G13" s="7"/>
      <c r="H13" s="7"/>
      <c r="I13" s="7"/>
      <c r="J13" s="7"/>
      <c r="K13" s="7"/>
    </row>
    <row r="16" spans="1:12" x14ac:dyDescent="0.25">
      <c r="B16" s="20">
        <v>44377</v>
      </c>
      <c r="C16" s="10"/>
    </row>
    <row r="17" spans="1:12" x14ac:dyDescent="0.25">
      <c r="H17" s="16"/>
      <c r="I17" s="16"/>
      <c r="J17" s="16"/>
      <c r="K17" s="16"/>
    </row>
    <row r="18" spans="1:12" x14ac:dyDescent="0.25">
      <c r="A18" t="s">
        <v>24</v>
      </c>
      <c r="B18" s="18">
        <v>35775</v>
      </c>
      <c r="C18" s="18">
        <v>0</v>
      </c>
      <c r="D18" s="18"/>
      <c r="E18" s="18">
        <f>C18-D23</f>
        <v>0</v>
      </c>
      <c r="F18" t="s">
        <v>54</v>
      </c>
    </row>
    <row r="19" spans="1:12" x14ac:dyDescent="0.25">
      <c r="B19" s="18"/>
      <c r="C19" s="18">
        <f t="shared" ref="C19" si="1">B19/11</f>
        <v>0</v>
      </c>
      <c r="D19" s="18"/>
      <c r="E19" s="18">
        <f>C19</f>
        <v>0</v>
      </c>
    </row>
    <row r="20" spans="1:12" x14ac:dyDescent="0.25">
      <c r="A20" t="s">
        <v>26</v>
      </c>
      <c r="B20" s="18">
        <v>47013.45</v>
      </c>
      <c r="C20" s="18">
        <f>B20/11</f>
        <v>4273.95</v>
      </c>
      <c r="D20" s="18"/>
      <c r="E20" s="18">
        <f>C20-D23</f>
        <v>4273.95</v>
      </c>
    </row>
    <row r="21" spans="1:12" x14ac:dyDescent="0.25">
      <c r="B21" s="18">
        <f>SUM(B18:B20)</f>
        <v>82788.45</v>
      </c>
      <c r="C21" s="18">
        <f>SUM(C18:C20)</f>
        <v>4273.95</v>
      </c>
      <c r="D21" s="18"/>
      <c r="E21" s="18">
        <f>SUM(E18:E20)</f>
        <v>4273.95</v>
      </c>
    </row>
    <row r="22" spans="1:12" x14ac:dyDescent="0.25">
      <c r="D22" s="13"/>
    </row>
    <row r="23" spans="1:12" x14ac:dyDescent="0.25">
      <c r="A23" t="s">
        <v>27</v>
      </c>
      <c r="B23">
        <v>2150</v>
      </c>
      <c r="C23">
        <v>215</v>
      </c>
      <c r="D23" s="13">
        <f>D22/2</f>
        <v>0</v>
      </c>
    </row>
    <row r="24" spans="1:12" x14ac:dyDescent="0.25">
      <c r="A24" t="s">
        <v>52</v>
      </c>
      <c r="B24" s="13">
        <f>C24*10</f>
        <v>45327.9</v>
      </c>
      <c r="C24" s="18">
        <v>4532.79</v>
      </c>
      <c r="D24" s="13"/>
      <c r="G24" s="20"/>
      <c r="J24" s="18"/>
    </row>
    <row r="25" spans="1:12" x14ac:dyDescent="0.25">
      <c r="A25" t="s">
        <v>28</v>
      </c>
      <c r="B25">
        <f>H39</f>
        <v>6959.74</v>
      </c>
      <c r="C25" s="14">
        <v>632.70000000000005</v>
      </c>
      <c r="D25" s="13"/>
      <c r="G25" s="20"/>
      <c r="J25" s="18"/>
    </row>
    <row r="26" spans="1:12" x14ac:dyDescent="0.25">
      <c r="A26" t="s">
        <v>41</v>
      </c>
      <c r="B26">
        <v>450</v>
      </c>
      <c r="C26" s="14">
        <v>45</v>
      </c>
      <c r="D26" s="13"/>
      <c r="G26" s="20"/>
      <c r="J26" s="18"/>
    </row>
    <row r="27" spans="1:12" x14ac:dyDescent="0.25">
      <c r="A27" t="s">
        <v>47</v>
      </c>
      <c r="B27">
        <v>0</v>
      </c>
      <c r="C27" s="14">
        <f t="shared" ref="C27" si="2">B27/11</f>
        <v>0</v>
      </c>
      <c r="F27" s="10"/>
      <c r="G27" s="20"/>
      <c r="J27" s="18">
        <f t="shared" ref="J27:J38" si="3">H27/11</f>
        <v>0</v>
      </c>
      <c r="K27" s="13">
        <f>SUM(J24:J26)</f>
        <v>0</v>
      </c>
    </row>
    <row r="28" spans="1:12" x14ac:dyDescent="0.25">
      <c r="A28" t="s">
        <v>53</v>
      </c>
      <c r="B28">
        <f>C28*10</f>
        <v>2637.5</v>
      </c>
      <c r="C28" s="14">
        <v>263.75</v>
      </c>
      <c r="F28" s="10"/>
      <c r="G28" s="20"/>
      <c r="J28" s="18"/>
      <c r="K28" s="13"/>
    </row>
    <row r="29" spans="1:12" x14ac:dyDescent="0.25">
      <c r="C29" s="14"/>
      <c r="F29" s="10"/>
      <c r="G29" s="20"/>
      <c r="J29" s="18"/>
      <c r="K29" s="13"/>
    </row>
    <row r="30" spans="1:12" x14ac:dyDescent="0.25">
      <c r="C30" s="18">
        <f>SUM(C23:C28)</f>
        <v>5689.24</v>
      </c>
      <c r="E30" s="13">
        <f>-C30</f>
        <v>-5689.24</v>
      </c>
      <c r="F30" s="13">
        <f>E21+E30</f>
        <v>-1415.29</v>
      </c>
      <c r="G30" s="20"/>
      <c r="J30" s="18"/>
      <c r="L30" s="10"/>
    </row>
    <row r="31" spans="1:12" x14ac:dyDescent="0.25">
      <c r="G31" s="20"/>
      <c r="J31" s="18"/>
    </row>
    <row r="32" spans="1:12" x14ac:dyDescent="0.25">
      <c r="B32" s="15"/>
      <c r="C32" s="12"/>
      <c r="F32" s="13">
        <f>F30-G12</f>
        <v>1088.346363636364</v>
      </c>
      <c r="G32" s="20"/>
      <c r="J32" s="18"/>
    </row>
    <row r="33" spans="1:11" x14ac:dyDescent="0.25">
      <c r="A33" s="16">
        <v>44348</v>
      </c>
      <c r="B33" s="10">
        <f>G11</f>
        <v>0</v>
      </c>
      <c r="C33" s="12"/>
      <c r="G33" s="20"/>
      <c r="J33" s="18"/>
      <c r="K33" s="13">
        <f>SUM(J30:J33)</f>
        <v>0</v>
      </c>
    </row>
    <row r="34" spans="1:11" x14ac:dyDescent="0.25">
      <c r="A34" s="16" t="s">
        <v>51</v>
      </c>
      <c r="B34" s="10">
        <v>1088</v>
      </c>
      <c r="C34" s="12"/>
      <c r="G34" s="20"/>
      <c r="J34" s="18"/>
      <c r="K34" s="13"/>
    </row>
    <row r="35" spans="1:11" x14ac:dyDescent="0.25">
      <c r="A35" s="16" t="s">
        <v>46</v>
      </c>
      <c r="B35" s="10">
        <f>'2019'!B32</f>
        <v>91.378181818181474</v>
      </c>
      <c r="C35" s="12"/>
      <c r="G35" s="20">
        <v>44088</v>
      </c>
      <c r="H35">
        <v>1669</v>
      </c>
      <c r="I35" t="s">
        <v>37</v>
      </c>
      <c r="J35" s="18">
        <f t="shared" si="3"/>
        <v>151.72727272727272</v>
      </c>
    </row>
    <row r="36" spans="1:11" x14ac:dyDescent="0.25">
      <c r="A36" t="s">
        <v>44</v>
      </c>
      <c r="B36">
        <f>2316-358</f>
        <v>1958</v>
      </c>
      <c r="C36" s="12"/>
      <c r="G36" s="20">
        <v>44179</v>
      </c>
      <c r="H36">
        <v>1669</v>
      </c>
      <c r="I36" t="s">
        <v>37</v>
      </c>
      <c r="J36" s="18">
        <f t="shared" si="3"/>
        <v>151.72727272727272</v>
      </c>
    </row>
    <row r="37" spans="1:11" x14ac:dyDescent="0.25">
      <c r="A37" t="s">
        <v>45</v>
      </c>
      <c r="B37">
        <f>1627-408-582</f>
        <v>637</v>
      </c>
      <c r="C37" s="12"/>
      <c r="G37" s="20">
        <v>44300</v>
      </c>
      <c r="H37">
        <v>1800</v>
      </c>
      <c r="I37" t="s">
        <v>37</v>
      </c>
      <c r="J37" s="18">
        <f t="shared" si="3"/>
        <v>163.63636363636363</v>
      </c>
    </row>
    <row r="38" spans="1:11" x14ac:dyDescent="0.25">
      <c r="A38" t="s">
        <v>2</v>
      </c>
      <c r="B38" s="10">
        <f>SUM(B33:B37)</f>
        <v>3774.3781818181815</v>
      </c>
      <c r="C38" s="12"/>
      <c r="G38" s="20">
        <v>44335</v>
      </c>
      <c r="H38">
        <v>1821.74</v>
      </c>
      <c r="I38" t="s">
        <v>37</v>
      </c>
      <c r="J38" s="18">
        <f t="shared" si="3"/>
        <v>165.61272727272728</v>
      </c>
      <c r="K38" s="13">
        <f>SUM(J35:J38)</f>
        <v>632.70363636363641</v>
      </c>
    </row>
    <row r="39" spans="1:11" x14ac:dyDescent="0.25">
      <c r="B39" s="13"/>
      <c r="H39">
        <f>SUM(H24:H38)</f>
        <v>6959.74</v>
      </c>
      <c r="I39">
        <f t="shared" ref="I39" si="4">SUM(I24:I38)</f>
        <v>0</v>
      </c>
      <c r="J39" s="13">
        <f>SUM(J24:J38)</f>
        <v>632.70363636363641</v>
      </c>
    </row>
    <row r="41" spans="1:11" x14ac:dyDescent="0.25">
      <c r="A41" s="20"/>
      <c r="D41" s="18"/>
    </row>
    <row r="42" spans="1:11" x14ac:dyDescent="0.25">
      <c r="A42" s="20"/>
      <c r="D42" s="18"/>
    </row>
    <row r="43" spans="1:11" x14ac:dyDescent="0.25">
      <c r="A43" s="20"/>
      <c r="D43" s="18"/>
    </row>
    <row r="44" spans="1:11" x14ac:dyDescent="0.25">
      <c r="A44" s="20"/>
      <c r="D44" s="18"/>
    </row>
    <row r="45" spans="1:11" x14ac:dyDescent="0.25">
      <c r="A45" s="20"/>
      <c r="D45" s="18"/>
    </row>
    <row r="46" spans="1:11" x14ac:dyDescent="0.25">
      <c r="A46" s="20"/>
      <c r="D46" s="18"/>
    </row>
    <row r="47" spans="1:11" x14ac:dyDescent="0.25">
      <c r="A47" s="20"/>
      <c r="D47" s="18"/>
    </row>
    <row r="48" spans="1:11" x14ac:dyDescent="0.25">
      <c r="A48" s="20"/>
      <c r="D48" s="18"/>
    </row>
    <row r="49" spans="1:5" x14ac:dyDescent="0.25">
      <c r="A49" s="20"/>
      <c r="D49" s="18"/>
    </row>
    <row r="50" spans="1:5" x14ac:dyDescent="0.25">
      <c r="A50" s="20"/>
      <c r="D50" s="18"/>
    </row>
    <row r="51" spans="1:5" x14ac:dyDescent="0.25">
      <c r="A51" s="20"/>
      <c r="D51" s="18"/>
    </row>
    <row r="52" spans="1:5" x14ac:dyDescent="0.25">
      <c r="A52" s="20"/>
      <c r="D52" s="18"/>
    </row>
    <row r="53" spans="1:5" x14ac:dyDescent="0.25">
      <c r="A53" s="20"/>
    </row>
    <row r="54" spans="1:5" x14ac:dyDescent="0.25">
      <c r="D54" s="13"/>
      <c r="E54" s="13"/>
    </row>
    <row r="56" spans="1:5" x14ac:dyDescent="0.25">
      <c r="B56" s="13"/>
    </row>
    <row r="57" spans="1:5" x14ac:dyDescent="0.25">
      <c r="B57" s="10"/>
    </row>
    <row r="58" spans="1:5" x14ac:dyDescent="0.25">
      <c r="B58" s="13"/>
    </row>
    <row r="59" spans="1:5" x14ac:dyDescent="0.25">
      <c r="A59" s="16"/>
      <c r="B59" s="10"/>
    </row>
    <row r="60" spans="1:5" x14ac:dyDescent="0.25">
      <c r="B60" s="13"/>
    </row>
    <row r="63" spans="1:5" x14ac:dyDescent="0.25">
      <c r="A63" s="20"/>
      <c r="D63" s="18"/>
    </row>
    <row r="64" spans="1:5" x14ac:dyDescent="0.25">
      <c r="A64" s="20"/>
      <c r="D64" s="18"/>
    </row>
    <row r="65" spans="1:5" x14ac:dyDescent="0.25">
      <c r="A65" s="20"/>
      <c r="D65" s="18"/>
    </row>
    <row r="66" spans="1:5" x14ac:dyDescent="0.25">
      <c r="A66" s="20"/>
      <c r="D66" s="18"/>
      <c r="E66" s="13"/>
    </row>
    <row r="67" spans="1:5" x14ac:dyDescent="0.25">
      <c r="A67" s="20"/>
      <c r="D67" s="18"/>
    </row>
    <row r="68" spans="1:5" x14ac:dyDescent="0.25">
      <c r="A68" s="20"/>
      <c r="D68" s="18"/>
    </row>
    <row r="69" spans="1:5" x14ac:dyDescent="0.25">
      <c r="A69" s="20"/>
      <c r="D69" s="18"/>
    </row>
    <row r="70" spans="1:5" x14ac:dyDescent="0.25">
      <c r="A70" s="20"/>
      <c r="D70" s="18"/>
      <c r="E70" s="13"/>
    </row>
    <row r="71" spans="1:5" x14ac:dyDescent="0.25">
      <c r="A71" s="20"/>
      <c r="D71" s="18"/>
    </row>
    <row r="72" spans="1:5" x14ac:dyDescent="0.25">
      <c r="A72" s="20"/>
      <c r="D72" s="18"/>
    </row>
    <row r="73" spans="1:5" x14ac:dyDescent="0.25">
      <c r="A73" s="20"/>
      <c r="D73" s="18"/>
    </row>
    <row r="74" spans="1:5" x14ac:dyDescent="0.25">
      <c r="A74" s="20"/>
      <c r="D74" s="18"/>
      <c r="E74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36E1-34E8-4596-8C47-B754C511F0C1}">
  <dimension ref="A1:L71"/>
  <sheetViews>
    <sheetView topLeftCell="A4" zoomScaleNormal="100" workbookViewId="0">
      <selection activeCell="C38" sqref="C38"/>
    </sheetView>
  </sheetViews>
  <sheetFormatPr defaultRowHeight="15" x14ac:dyDescent="0.25"/>
  <cols>
    <col min="1" max="1" width="19.28515625" bestFit="1" customWidth="1"/>
    <col min="2" max="2" width="15.140625" customWidth="1"/>
    <col min="3" max="3" width="18" customWidth="1"/>
    <col min="4" max="4" width="13.5703125" customWidth="1"/>
    <col min="5" max="6" width="13.28515625" customWidth="1"/>
    <col min="7" max="7" width="12.7109375" customWidth="1"/>
    <col min="8" max="8" width="10.42578125" customWidth="1"/>
    <col min="9" max="9" width="21" customWidth="1"/>
    <col min="10" max="10" width="10.85546875" customWidth="1"/>
    <col min="11" max="11" width="12.28515625" customWidth="1"/>
    <col min="12" max="12" width="10.7109375" customWidth="1"/>
  </cols>
  <sheetData>
    <row r="1" spans="1:12" x14ac:dyDescent="0.25">
      <c r="A1" t="s">
        <v>23</v>
      </c>
    </row>
    <row r="2" spans="1:12" x14ac:dyDescent="0.25">
      <c r="A2" s="11">
        <v>44012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43709</v>
      </c>
      <c r="B8" s="7">
        <v>19962</v>
      </c>
      <c r="C8" s="7"/>
      <c r="D8" s="7"/>
      <c r="E8" s="8">
        <f t="shared" ref="E8" si="0">B8/11</f>
        <v>1814.7272727272727</v>
      </c>
      <c r="F8" s="8">
        <v>1012</v>
      </c>
      <c r="G8" s="9">
        <f>E8-F8</f>
        <v>802.72727272727275</v>
      </c>
      <c r="H8" s="8"/>
      <c r="I8" s="8"/>
      <c r="J8" s="7">
        <f>+G8+H8+I8+L8</f>
        <v>802.72727272727275</v>
      </c>
      <c r="K8" s="8"/>
    </row>
    <row r="9" spans="1:12" x14ac:dyDescent="0.25">
      <c r="A9" s="6">
        <v>43800</v>
      </c>
      <c r="B9" s="7">
        <v>30136</v>
      </c>
      <c r="C9" s="7"/>
      <c r="D9" s="7"/>
      <c r="E9" s="8">
        <f>B9/11-1</f>
        <v>2738.6363636363635</v>
      </c>
      <c r="F9" s="8">
        <v>560</v>
      </c>
      <c r="G9" s="9">
        <f>E9-F9</f>
        <v>2178.6363636363635</v>
      </c>
      <c r="H9" s="8"/>
      <c r="I9" s="8"/>
      <c r="J9" s="7">
        <f>+G9+H9+I9+L9</f>
        <v>2178.6363636363635</v>
      </c>
      <c r="K9" s="8"/>
    </row>
    <row r="10" spans="1:12" x14ac:dyDescent="0.25">
      <c r="A10" s="6">
        <v>43891</v>
      </c>
      <c r="B10" s="7">
        <v>29894</v>
      </c>
      <c r="C10" s="7"/>
      <c r="D10" s="7"/>
      <c r="E10" s="8">
        <f>B10/11-1</f>
        <v>2716.6363636363635</v>
      </c>
      <c r="F10" s="8">
        <v>521</v>
      </c>
      <c r="G10" s="9">
        <f>E10-F10</f>
        <v>2195.6363636363635</v>
      </c>
      <c r="H10" s="8"/>
      <c r="I10" s="8"/>
      <c r="J10" s="7">
        <f>+G10+H10+I10+L10</f>
        <v>2195.6363636363635</v>
      </c>
      <c r="K10" s="8"/>
    </row>
    <row r="11" spans="1:12" x14ac:dyDescent="0.25">
      <c r="A11" s="6">
        <v>43983</v>
      </c>
      <c r="B11" s="7">
        <v>36857</v>
      </c>
      <c r="C11" s="7"/>
      <c r="D11" s="7"/>
      <c r="E11" s="8">
        <f>B11/11</f>
        <v>3350.6363636363635</v>
      </c>
      <c r="F11" s="8">
        <v>416</v>
      </c>
      <c r="G11" s="9">
        <f>E11-F11</f>
        <v>2934.6363636363635</v>
      </c>
      <c r="H11" s="8"/>
      <c r="I11" s="8"/>
      <c r="J11" s="7">
        <f>+G11+H11+I11+L11</f>
        <v>2934.6363636363635</v>
      </c>
      <c r="K11" s="8"/>
    </row>
    <row r="12" spans="1:12" x14ac:dyDescent="0.25">
      <c r="A12" s="2"/>
      <c r="B12" s="7">
        <f>SUM(B8:B11)</f>
        <v>116849</v>
      </c>
      <c r="C12" s="7"/>
      <c r="D12" s="7"/>
      <c r="E12" s="7">
        <f>SUM(E8:E11)</f>
        <v>10620.636363636364</v>
      </c>
      <c r="F12" s="7">
        <f>SUM(F8:F11)</f>
        <v>2509</v>
      </c>
      <c r="G12" s="7"/>
      <c r="H12" s="7">
        <f>SUM(H8:H11)</f>
        <v>0</v>
      </c>
      <c r="I12" s="7">
        <f>SUM(I7:I11)</f>
        <v>0</v>
      </c>
      <c r="J12" s="7">
        <f>SUM(J8:J11)</f>
        <v>8111.636363636364</v>
      </c>
      <c r="K12" s="7">
        <f>SUM(K8:K11)</f>
        <v>0</v>
      </c>
    </row>
    <row r="13" spans="1:12" x14ac:dyDescent="0.25">
      <c r="A13" s="2"/>
      <c r="B13" s="7">
        <f>B12/11</f>
        <v>10622.636363636364</v>
      </c>
      <c r="C13" s="7"/>
      <c r="D13" s="7"/>
      <c r="E13" s="7"/>
      <c r="F13" s="7"/>
      <c r="G13" s="7"/>
      <c r="H13" s="7"/>
      <c r="I13" s="7"/>
      <c r="J13" s="7"/>
      <c r="K13" s="7"/>
    </row>
    <row r="16" spans="1:12" x14ac:dyDescent="0.25">
      <c r="B16" s="20">
        <v>44012</v>
      </c>
      <c r="C16" s="10"/>
    </row>
    <row r="17" spans="1:12" x14ac:dyDescent="0.25">
      <c r="H17" s="16"/>
      <c r="I17" s="16"/>
      <c r="J17" s="16"/>
      <c r="K17" s="16"/>
    </row>
    <row r="18" spans="1:12" x14ac:dyDescent="0.25">
      <c r="A18" t="s">
        <v>24</v>
      </c>
      <c r="B18" s="18">
        <v>69850.34</v>
      </c>
      <c r="C18" s="18">
        <f>B18/11</f>
        <v>6350.0309090909086</v>
      </c>
      <c r="D18" s="18"/>
      <c r="E18" s="18">
        <f>C18-D23</f>
        <v>6350.0309090909086</v>
      </c>
    </row>
    <row r="19" spans="1:12" x14ac:dyDescent="0.25">
      <c r="B19" s="18"/>
      <c r="C19" s="18">
        <f t="shared" ref="C19:C20" si="1">B19/11</f>
        <v>0</v>
      </c>
      <c r="D19" s="18"/>
      <c r="E19" s="18">
        <f>C19</f>
        <v>0</v>
      </c>
    </row>
    <row r="20" spans="1:12" x14ac:dyDescent="0.25">
      <c r="A20" t="s">
        <v>26</v>
      </c>
      <c r="B20" s="18">
        <v>41246.93</v>
      </c>
      <c r="C20" s="18">
        <f t="shared" si="1"/>
        <v>3749.7209090909091</v>
      </c>
      <c r="D20" s="18"/>
      <c r="E20" s="18">
        <f>C20-D23</f>
        <v>3749.7209090909091</v>
      </c>
    </row>
    <row r="21" spans="1:12" x14ac:dyDescent="0.25">
      <c r="B21" s="18">
        <f>SUM(B18:B20)</f>
        <v>111097.26999999999</v>
      </c>
      <c r="C21" s="18">
        <f>SUM(C18:C20)</f>
        <v>10099.751818181818</v>
      </c>
      <c r="D21" s="18"/>
      <c r="E21" s="18">
        <f>SUM(E18:E20)</f>
        <v>10099.751818181818</v>
      </c>
    </row>
    <row r="22" spans="1:12" x14ac:dyDescent="0.25">
      <c r="D22" s="13"/>
    </row>
    <row r="23" spans="1:12" x14ac:dyDescent="0.25">
      <c r="A23" t="s">
        <v>27</v>
      </c>
      <c r="B23">
        <v>5236</v>
      </c>
      <c r="C23">
        <f>B23/11</f>
        <v>476</v>
      </c>
      <c r="D23" s="13">
        <f>D22/2</f>
        <v>0</v>
      </c>
      <c r="G23" t="s">
        <v>35</v>
      </c>
      <c r="J23" t="s">
        <v>3</v>
      </c>
    </row>
    <row r="24" spans="1:12" x14ac:dyDescent="0.25">
      <c r="A24" t="s">
        <v>43</v>
      </c>
      <c r="B24">
        <v>0</v>
      </c>
      <c r="C24" s="18">
        <f>B24/11</f>
        <v>0</v>
      </c>
      <c r="D24" s="13"/>
      <c r="G24" s="20">
        <v>43753</v>
      </c>
      <c r="H24">
        <v>160</v>
      </c>
      <c r="I24" t="s">
        <v>48</v>
      </c>
      <c r="J24" s="18">
        <f t="shared" ref="J24:J35" si="2">H24/11</f>
        <v>14.545454545454545</v>
      </c>
    </row>
    <row r="25" spans="1:12" x14ac:dyDescent="0.25">
      <c r="A25" t="s">
        <v>28</v>
      </c>
      <c r="B25">
        <f>H36</f>
        <v>11023.45</v>
      </c>
      <c r="C25" s="14">
        <f>B25/11</f>
        <v>1002.1318181818183</v>
      </c>
      <c r="D25" s="13">
        <f>C25/3</f>
        <v>334.04393939393941</v>
      </c>
      <c r="G25" s="20">
        <v>43875</v>
      </c>
      <c r="H25">
        <v>4015</v>
      </c>
      <c r="I25" t="s">
        <v>49</v>
      </c>
      <c r="J25" s="18">
        <f t="shared" si="2"/>
        <v>365</v>
      </c>
    </row>
    <row r="26" spans="1:12" x14ac:dyDescent="0.25">
      <c r="A26" t="s">
        <v>41</v>
      </c>
      <c r="B26">
        <v>990</v>
      </c>
      <c r="C26" s="14">
        <f t="shared" ref="C26:C27" si="3">B26/11</f>
        <v>90</v>
      </c>
      <c r="D26" s="13"/>
      <c r="G26" s="20">
        <v>43692</v>
      </c>
      <c r="H26">
        <v>285.45</v>
      </c>
      <c r="I26" t="s">
        <v>50</v>
      </c>
      <c r="J26" s="18">
        <f t="shared" si="2"/>
        <v>25.95</v>
      </c>
    </row>
    <row r="27" spans="1:12" x14ac:dyDescent="0.25">
      <c r="A27" t="s">
        <v>47</v>
      </c>
      <c r="B27">
        <v>4330</v>
      </c>
      <c r="C27" s="14">
        <f t="shared" si="3"/>
        <v>393.63636363636363</v>
      </c>
      <c r="F27" s="10"/>
      <c r="G27" s="20"/>
      <c r="J27" s="18">
        <f t="shared" si="2"/>
        <v>0</v>
      </c>
      <c r="K27" s="13">
        <f>SUM(J24:J26)</f>
        <v>405.49545454545455</v>
      </c>
    </row>
    <row r="28" spans="1:12" x14ac:dyDescent="0.25">
      <c r="C28" s="18">
        <f>SUM(C23:C27)</f>
        <v>1961.7681818181818</v>
      </c>
      <c r="G28" s="20"/>
      <c r="J28" s="18"/>
      <c r="L28" s="10"/>
    </row>
    <row r="29" spans="1:12" x14ac:dyDescent="0.25">
      <c r="G29" s="20"/>
      <c r="J29" s="18"/>
    </row>
    <row r="30" spans="1:12" x14ac:dyDescent="0.25">
      <c r="B30" s="15"/>
      <c r="C30" s="12"/>
      <c r="G30" s="20"/>
      <c r="J30" s="18"/>
    </row>
    <row r="31" spans="1:12" x14ac:dyDescent="0.25">
      <c r="A31" s="16">
        <v>43983</v>
      </c>
      <c r="B31" s="10">
        <f>G11</f>
        <v>2934.6363636363635</v>
      </c>
      <c r="C31" s="12"/>
      <c r="G31" s="20"/>
      <c r="J31" s="18"/>
      <c r="K31" s="13">
        <f>SUM(J28:J31)</f>
        <v>0</v>
      </c>
    </row>
    <row r="32" spans="1:12" x14ac:dyDescent="0.25">
      <c r="A32" s="16" t="s">
        <v>46</v>
      </c>
      <c r="B32" s="10">
        <f>'2019'!B32</f>
        <v>91.378181818181474</v>
      </c>
      <c r="C32" s="12"/>
      <c r="G32" s="20">
        <v>43698</v>
      </c>
      <c r="H32">
        <v>1612.5</v>
      </c>
      <c r="I32" t="s">
        <v>37</v>
      </c>
      <c r="J32" s="18">
        <f t="shared" si="2"/>
        <v>146.59090909090909</v>
      </c>
    </row>
    <row r="33" spans="1:11" x14ac:dyDescent="0.25">
      <c r="A33" t="s">
        <v>44</v>
      </c>
      <c r="B33">
        <f>2316-358</f>
        <v>1958</v>
      </c>
      <c r="C33" s="12"/>
      <c r="G33" s="20">
        <v>43808</v>
      </c>
      <c r="H33">
        <v>1612.5</v>
      </c>
      <c r="I33" t="s">
        <v>37</v>
      </c>
      <c r="J33" s="18">
        <f t="shared" si="2"/>
        <v>146.59090909090909</v>
      </c>
    </row>
    <row r="34" spans="1:11" x14ac:dyDescent="0.25">
      <c r="A34" t="s">
        <v>45</v>
      </c>
      <c r="B34">
        <f>1627-408-582</f>
        <v>637</v>
      </c>
      <c r="C34" s="12"/>
      <c r="G34" s="20">
        <v>43900</v>
      </c>
      <c r="H34">
        <v>1669</v>
      </c>
      <c r="I34" t="s">
        <v>37</v>
      </c>
      <c r="J34" s="18">
        <f t="shared" si="2"/>
        <v>151.72727272727272</v>
      </c>
    </row>
    <row r="35" spans="1:11" x14ac:dyDescent="0.25">
      <c r="A35" t="s">
        <v>2</v>
      </c>
      <c r="B35" s="10">
        <f>SUM(B31:B34)</f>
        <v>5621.0145454545454</v>
      </c>
      <c r="C35" s="12"/>
      <c r="G35" s="20">
        <v>43991</v>
      </c>
      <c r="H35">
        <v>1669</v>
      </c>
      <c r="I35" t="s">
        <v>37</v>
      </c>
      <c r="J35" s="18">
        <f t="shared" si="2"/>
        <v>151.72727272727272</v>
      </c>
      <c r="K35" s="13">
        <f>SUM(J32:J35)</f>
        <v>596.63636363636363</v>
      </c>
    </row>
    <row r="36" spans="1:11" x14ac:dyDescent="0.25">
      <c r="B36" s="13"/>
      <c r="H36">
        <f>SUM(H24:H35)</f>
        <v>11023.45</v>
      </c>
      <c r="I36">
        <f t="shared" ref="I36" si="4">SUM(I24:I35)</f>
        <v>0</v>
      </c>
      <c r="J36" s="13">
        <f>SUM(J24:J35)</f>
        <v>1002.1318181818183</v>
      </c>
    </row>
    <row r="38" spans="1:11" x14ac:dyDescent="0.25">
      <c r="A38" s="20"/>
      <c r="D38" s="18"/>
    </row>
    <row r="39" spans="1:11" x14ac:dyDescent="0.25">
      <c r="A39" s="20"/>
      <c r="D39" s="18"/>
    </row>
    <row r="40" spans="1:11" x14ac:dyDescent="0.25">
      <c r="A40" s="20"/>
      <c r="D40" s="18"/>
    </row>
    <row r="41" spans="1:11" x14ac:dyDescent="0.25">
      <c r="A41" s="20"/>
      <c r="D41" s="18"/>
    </row>
    <row r="42" spans="1:11" x14ac:dyDescent="0.25">
      <c r="A42" s="20"/>
      <c r="D42" s="18"/>
    </row>
    <row r="43" spans="1:11" x14ac:dyDescent="0.25">
      <c r="A43" s="20"/>
      <c r="D43" s="18"/>
    </row>
    <row r="44" spans="1:11" x14ac:dyDescent="0.25">
      <c r="A44" s="20"/>
      <c r="D44" s="18"/>
    </row>
    <row r="45" spans="1:11" x14ac:dyDescent="0.25">
      <c r="A45" s="20"/>
      <c r="D45" s="18"/>
    </row>
    <row r="46" spans="1:11" x14ac:dyDescent="0.25">
      <c r="A46" s="20"/>
      <c r="D46" s="18"/>
    </row>
    <row r="47" spans="1:11" x14ac:dyDescent="0.25">
      <c r="A47" s="20"/>
      <c r="D47" s="18"/>
    </row>
    <row r="48" spans="1:11" x14ac:dyDescent="0.25">
      <c r="A48" s="20"/>
      <c r="D48" s="18"/>
    </row>
    <row r="49" spans="1:5" x14ac:dyDescent="0.25">
      <c r="A49" s="20"/>
      <c r="D49" s="18"/>
    </row>
    <row r="50" spans="1:5" x14ac:dyDescent="0.25">
      <c r="A50" s="20"/>
    </row>
    <row r="51" spans="1:5" x14ac:dyDescent="0.25">
      <c r="D51" s="13"/>
      <c r="E51" s="13"/>
    </row>
    <row r="53" spans="1:5" x14ac:dyDescent="0.25">
      <c r="B53" s="13"/>
    </row>
    <row r="54" spans="1:5" x14ac:dyDescent="0.25">
      <c r="B54" s="10"/>
    </row>
    <row r="55" spans="1:5" x14ac:dyDescent="0.25">
      <c r="B55" s="13"/>
    </row>
    <row r="56" spans="1:5" x14ac:dyDescent="0.25">
      <c r="A56" s="16"/>
      <c r="B56" s="10"/>
    </row>
    <row r="57" spans="1:5" x14ac:dyDescent="0.25">
      <c r="B57" s="13"/>
    </row>
    <row r="60" spans="1:5" x14ac:dyDescent="0.25">
      <c r="A60" s="20"/>
      <c r="D60" s="18"/>
    </row>
    <row r="61" spans="1:5" x14ac:dyDescent="0.25">
      <c r="A61" s="20"/>
      <c r="D61" s="18"/>
    </row>
    <row r="62" spans="1:5" x14ac:dyDescent="0.25">
      <c r="A62" s="20"/>
      <c r="D62" s="18"/>
    </row>
    <row r="63" spans="1:5" x14ac:dyDescent="0.25">
      <c r="A63" s="20"/>
      <c r="D63" s="18"/>
      <c r="E63" s="13"/>
    </row>
    <row r="64" spans="1:5" x14ac:dyDescent="0.25">
      <c r="A64" s="20"/>
      <c r="D64" s="18"/>
    </row>
    <row r="65" spans="1:5" x14ac:dyDescent="0.25">
      <c r="A65" s="20"/>
      <c r="D65" s="18"/>
    </row>
    <row r="66" spans="1:5" x14ac:dyDescent="0.25">
      <c r="A66" s="20"/>
      <c r="D66" s="18"/>
    </row>
    <row r="67" spans="1:5" x14ac:dyDescent="0.25">
      <c r="A67" s="20"/>
      <c r="D67" s="18"/>
      <c r="E67" s="13"/>
    </row>
    <row r="68" spans="1:5" x14ac:dyDescent="0.25">
      <c r="A68" s="20"/>
      <c r="D68" s="18"/>
    </row>
    <row r="69" spans="1:5" x14ac:dyDescent="0.25">
      <c r="A69" s="20"/>
      <c r="D69" s="18"/>
    </row>
    <row r="70" spans="1:5" x14ac:dyDescent="0.25">
      <c r="A70" s="20"/>
      <c r="D70" s="18"/>
    </row>
    <row r="71" spans="1:5" x14ac:dyDescent="0.25">
      <c r="A71" s="20"/>
      <c r="D71" s="18"/>
      <c r="E71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zoomScaleNormal="100" workbookViewId="0">
      <selection activeCell="C36" sqref="C36"/>
    </sheetView>
  </sheetViews>
  <sheetFormatPr defaultRowHeight="15" x14ac:dyDescent="0.25"/>
  <cols>
    <col min="1" max="1" width="19.28515625" bestFit="1" customWidth="1"/>
    <col min="2" max="2" width="15.140625" customWidth="1"/>
    <col min="3" max="3" width="18" customWidth="1"/>
    <col min="4" max="4" width="13.5703125" customWidth="1"/>
    <col min="5" max="6" width="13.28515625" customWidth="1"/>
    <col min="7" max="7" width="12.7109375" customWidth="1"/>
    <col min="8" max="9" width="10.42578125" customWidth="1"/>
    <col min="10" max="10" width="10.85546875" customWidth="1"/>
    <col min="11" max="11" width="12.28515625" customWidth="1"/>
    <col min="12" max="12" width="10.7109375" customWidth="1"/>
  </cols>
  <sheetData>
    <row r="1" spans="1:12" x14ac:dyDescent="0.25">
      <c r="A1" t="s">
        <v>23</v>
      </c>
    </row>
    <row r="2" spans="1:12" x14ac:dyDescent="0.25">
      <c r="A2" s="11">
        <v>43646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43344</v>
      </c>
      <c r="B8" s="7">
        <v>35330</v>
      </c>
      <c r="C8" s="7"/>
      <c r="D8" s="7"/>
      <c r="E8" s="8">
        <v>3121</v>
      </c>
      <c r="F8" s="8">
        <v>240</v>
      </c>
      <c r="G8" s="9">
        <f>E8-F8</f>
        <v>2881</v>
      </c>
      <c r="H8" s="8"/>
      <c r="I8" s="8"/>
      <c r="J8" s="7">
        <f>+G8+H8+I8+L8</f>
        <v>2881</v>
      </c>
      <c r="K8" s="8"/>
    </row>
    <row r="9" spans="1:12" x14ac:dyDescent="0.25">
      <c r="A9" s="6">
        <v>43435</v>
      </c>
      <c r="B9" s="7">
        <v>33982</v>
      </c>
      <c r="C9" s="7"/>
      <c r="D9" s="7"/>
      <c r="E9" s="8">
        <v>3089</v>
      </c>
      <c r="F9" s="8">
        <v>679</v>
      </c>
      <c r="G9" s="9">
        <f>E9-F9</f>
        <v>2410</v>
      </c>
      <c r="H9" s="8"/>
      <c r="I9" s="8"/>
      <c r="J9" s="7">
        <f>+G9+H9+I9+L9</f>
        <v>2410</v>
      </c>
      <c r="K9" s="8"/>
    </row>
    <row r="10" spans="1:12" x14ac:dyDescent="0.25">
      <c r="A10" s="6">
        <v>43525</v>
      </c>
      <c r="B10" s="7">
        <v>35060</v>
      </c>
      <c r="C10" s="7"/>
      <c r="D10" s="7"/>
      <c r="E10" s="8">
        <v>3187</v>
      </c>
      <c r="F10" s="8">
        <v>356</v>
      </c>
      <c r="G10" s="9">
        <f>E10-F10</f>
        <v>2831</v>
      </c>
      <c r="H10" s="8"/>
      <c r="I10" s="8"/>
      <c r="J10" s="7">
        <f>+G10+H10+I10+L10</f>
        <v>2831</v>
      </c>
      <c r="K10" s="8"/>
    </row>
    <row r="11" spans="1:12" x14ac:dyDescent="0.25">
      <c r="A11" s="6">
        <v>43617</v>
      </c>
      <c r="B11" s="7">
        <v>29142</v>
      </c>
      <c r="C11" s="7"/>
      <c r="D11" s="7"/>
      <c r="E11" s="8">
        <f>B11/11</f>
        <v>2649.2727272727275</v>
      </c>
      <c r="F11" s="8">
        <v>181</v>
      </c>
      <c r="G11" s="9">
        <f>E11-F11</f>
        <v>2468.2727272727275</v>
      </c>
      <c r="H11" s="8"/>
      <c r="I11" s="8"/>
      <c r="J11" s="7">
        <f>+G11+H11+I11+L11</f>
        <v>2468.2727272727275</v>
      </c>
      <c r="K11" s="8"/>
    </row>
    <row r="12" spans="1:12" x14ac:dyDescent="0.25">
      <c r="A12" s="2"/>
      <c r="B12" s="7">
        <f>SUM(B8:B11)</f>
        <v>133514</v>
      </c>
      <c r="C12" s="7"/>
      <c r="D12" s="7"/>
      <c r="E12" s="7">
        <f>SUM(E8:E11)</f>
        <v>12046.272727272728</v>
      </c>
      <c r="F12" s="7">
        <f>SUM(F8:F11)</f>
        <v>1456</v>
      </c>
      <c r="G12" s="7"/>
      <c r="H12" s="7">
        <f>SUM(H8:H11)</f>
        <v>0</v>
      </c>
      <c r="I12" s="7">
        <f>SUM(I7:I11)</f>
        <v>0</v>
      </c>
      <c r="J12" s="7">
        <f>SUM(J8:J11)</f>
        <v>10590.272727272728</v>
      </c>
      <c r="K12" s="7">
        <f>SUM(K8:K11)</f>
        <v>0</v>
      </c>
    </row>
    <row r="13" spans="1:12" x14ac:dyDescent="0.25">
      <c r="A13" s="2"/>
      <c r="B13" s="7">
        <f>B12/11</f>
        <v>12137.636363636364</v>
      </c>
      <c r="C13" s="7"/>
      <c r="D13" s="7"/>
      <c r="E13" s="7"/>
      <c r="F13" s="7"/>
      <c r="G13" s="7"/>
      <c r="H13" s="7"/>
      <c r="I13" s="7"/>
      <c r="J13" s="7"/>
      <c r="K13" s="7"/>
    </row>
    <row r="16" spans="1:12" x14ac:dyDescent="0.25">
      <c r="B16" s="20">
        <v>43646</v>
      </c>
      <c r="C16" s="10"/>
    </row>
    <row r="17" spans="1:12" x14ac:dyDescent="0.25">
      <c r="H17" s="16"/>
      <c r="I17" s="16"/>
      <c r="J17" s="16"/>
      <c r="K17" s="16"/>
    </row>
    <row r="18" spans="1:12" x14ac:dyDescent="0.25">
      <c r="A18" t="s">
        <v>24</v>
      </c>
      <c r="B18" s="18">
        <v>69223.240000000005</v>
      </c>
      <c r="C18" s="18">
        <f>B18/11</f>
        <v>6293.0218181818191</v>
      </c>
      <c r="D18" s="18"/>
      <c r="E18" s="18">
        <f>C18-D23</f>
        <v>6293.0218181818191</v>
      </c>
    </row>
    <row r="19" spans="1:12" x14ac:dyDescent="0.25">
      <c r="A19" t="s">
        <v>25</v>
      </c>
      <c r="B19" s="18">
        <v>9650</v>
      </c>
      <c r="C19" s="18">
        <f t="shared" ref="C19:C20" si="0">B19/11</f>
        <v>877.27272727272725</v>
      </c>
      <c r="D19" s="18"/>
      <c r="E19" s="18">
        <f>C19</f>
        <v>877.27272727272725</v>
      </c>
    </row>
    <row r="20" spans="1:12" x14ac:dyDescent="0.25">
      <c r="A20" t="s">
        <v>26</v>
      </c>
      <c r="B20" s="18">
        <v>54640.92</v>
      </c>
      <c r="C20" s="18">
        <f t="shared" si="0"/>
        <v>4967.3563636363633</v>
      </c>
      <c r="D20" s="18"/>
      <c r="E20" s="18">
        <f>C20-D23</f>
        <v>4967.3563636363633</v>
      </c>
    </row>
    <row r="21" spans="1:12" x14ac:dyDescent="0.25">
      <c r="B21" s="18">
        <f>SUM(B18:B20)</f>
        <v>133514.16</v>
      </c>
      <c r="C21" s="18">
        <f>SUM(C18:C20)</f>
        <v>12137.650909090909</v>
      </c>
      <c r="D21" s="18"/>
      <c r="E21" s="18">
        <f>SUM(E18:E20)</f>
        <v>12137.650909090909</v>
      </c>
    </row>
    <row r="22" spans="1:12" x14ac:dyDescent="0.25">
      <c r="D22" s="13"/>
    </row>
    <row r="23" spans="1:12" x14ac:dyDescent="0.25">
      <c r="A23" t="s">
        <v>27</v>
      </c>
      <c r="B23">
        <v>2211</v>
      </c>
      <c r="C23">
        <f>B23/11</f>
        <v>201</v>
      </c>
      <c r="D23" s="13">
        <f>D22/2</f>
        <v>0</v>
      </c>
    </row>
    <row r="24" spans="1:12" x14ac:dyDescent="0.25">
      <c r="A24" t="s">
        <v>43</v>
      </c>
      <c r="B24">
        <f>1303.65-53</f>
        <v>1250.6500000000001</v>
      </c>
      <c r="C24" s="18">
        <f>B24/11</f>
        <v>113.69545454545455</v>
      </c>
      <c r="D24" s="13"/>
    </row>
    <row r="25" spans="1:12" x14ac:dyDescent="0.25">
      <c r="A25" t="s">
        <v>28</v>
      </c>
      <c r="B25">
        <f>'2018'!B50-1199</f>
        <v>12556.529999999999</v>
      </c>
      <c r="C25" s="14">
        <f>B25/11</f>
        <v>1141.5027272727273</v>
      </c>
      <c r="D25" s="13">
        <f>C25/3</f>
        <v>380.50090909090909</v>
      </c>
    </row>
    <row r="26" spans="1:12" x14ac:dyDescent="0.25">
      <c r="A26" t="s">
        <v>41</v>
      </c>
      <c r="B26">
        <v>0</v>
      </c>
      <c r="C26" s="14">
        <f>SUM(C23:C25)</f>
        <v>1456.1981818181819</v>
      </c>
      <c r="D26" s="13"/>
    </row>
    <row r="27" spans="1:12" x14ac:dyDescent="0.25">
      <c r="C27" s="10"/>
      <c r="F27" s="10"/>
    </row>
    <row r="28" spans="1:12" x14ac:dyDescent="0.25">
      <c r="L28" s="10"/>
    </row>
    <row r="30" spans="1:12" x14ac:dyDescent="0.25">
      <c r="B30" s="15"/>
      <c r="C30" s="12"/>
    </row>
    <row r="31" spans="1:12" x14ac:dyDescent="0.25">
      <c r="A31" s="16">
        <v>43617</v>
      </c>
      <c r="B31" s="10">
        <f>G11</f>
        <v>2468.2727272727275</v>
      </c>
      <c r="C31" s="12"/>
      <c r="I31" s="10"/>
    </row>
    <row r="32" spans="1:12" x14ac:dyDescent="0.25">
      <c r="A32" s="16" t="s">
        <v>46</v>
      </c>
      <c r="B32" s="10">
        <f>C21-E12</f>
        <v>91.378181818181474</v>
      </c>
      <c r="C32" s="12"/>
      <c r="I32" s="10"/>
    </row>
    <row r="33" spans="1:9" x14ac:dyDescent="0.25">
      <c r="A33" t="s">
        <v>44</v>
      </c>
      <c r="B33">
        <v>2316</v>
      </c>
      <c r="C33" s="12"/>
      <c r="I33" s="10"/>
    </row>
    <row r="34" spans="1:9" x14ac:dyDescent="0.25">
      <c r="A34" t="s">
        <v>45</v>
      </c>
      <c r="B34">
        <v>1627</v>
      </c>
      <c r="C34" s="12"/>
    </row>
    <row r="35" spans="1:9" x14ac:dyDescent="0.25">
      <c r="A35" t="s">
        <v>2</v>
      </c>
      <c r="B35" s="10">
        <f>SUM(B31:B34)</f>
        <v>6502.6509090909094</v>
      </c>
      <c r="C35" s="12"/>
      <c r="G35" s="10"/>
    </row>
    <row r="36" spans="1:9" x14ac:dyDescent="0.25">
      <c r="B36" s="13"/>
    </row>
    <row r="38" spans="1:9" x14ac:dyDescent="0.25">
      <c r="A38" s="20"/>
      <c r="D38" s="18"/>
    </row>
    <row r="39" spans="1:9" x14ac:dyDescent="0.25">
      <c r="A39" s="20"/>
      <c r="D39" s="18"/>
    </row>
    <row r="40" spans="1:9" x14ac:dyDescent="0.25">
      <c r="A40" s="20"/>
      <c r="D40" s="18"/>
    </row>
    <row r="41" spans="1:9" x14ac:dyDescent="0.25">
      <c r="A41" s="20"/>
      <c r="D41" s="18"/>
    </row>
    <row r="42" spans="1:9" x14ac:dyDescent="0.25">
      <c r="A42" s="20"/>
      <c r="D42" s="18"/>
    </row>
    <row r="43" spans="1:9" x14ac:dyDescent="0.25">
      <c r="A43" s="20"/>
      <c r="D43" s="18"/>
    </row>
    <row r="44" spans="1:9" x14ac:dyDescent="0.25">
      <c r="A44" s="20"/>
      <c r="D44" s="18"/>
    </row>
    <row r="45" spans="1:9" x14ac:dyDescent="0.25">
      <c r="A45" s="20"/>
      <c r="D45" s="18"/>
    </row>
    <row r="46" spans="1:9" x14ac:dyDescent="0.25">
      <c r="A46" s="20"/>
      <c r="D46" s="18"/>
    </row>
    <row r="47" spans="1:9" x14ac:dyDescent="0.25">
      <c r="A47" s="20"/>
      <c r="D47" s="18"/>
    </row>
    <row r="48" spans="1:9" x14ac:dyDescent="0.25">
      <c r="A48" s="20"/>
      <c r="D48" s="18"/>
    </row>
    <row r="49" spans="1:5" x14ac:dyDescent="0.25">
      <c r="A49" s="20"/>
      <c r="D49" s="18"/>
    </row>
    <row r="50" spans="1:5" x14ac:dyDescent="0.25">
      <c r="A50" s="20"/>
    </row>
    <row r="51" spans="1:5" x14ac:dyDescent="0.25">
      <c r="D51" s="13"/>
      <c r="E51" s="13"/>
    </row>
    <row r="53" spans="1:5" x14ac:dyDescent="0.25">
      <c r="B53" s="13"/>
    </row>
    <row r="54" spans="1:5" x14ac:dyDescent="0.25">
      <c r="B54" s="10"/>
    </row>
    <row r="55" spans="1:5" x14ac:dyDescent="0.25">
      <c r="B55" s="13"/>
    </row>
    <row r="56" spans="1:5" x14ac:dyDescent="0.25">
      <c r="A56" s="16"/>
      <c r="B56" s="10"/>
    </row>
    <row r="57" spans="1:5" x14ac:dyDescent="0.25">
      <c r="B57" s="13"/>
    </row>
    <row r="60" spans="1:5" x14ac:dyDescent="0.25">
      <c r="A60" s="20"/>
      <c r="D60" s="18"/>
    </row>
    <row r="61" spans="1:5" x14ac:dyDescent="0.25">
      <c r="A61" s="20"/>
      <c r="D61" s="18"/>
    </row>
    <row r="62" spans="1:5" x14ac:dyDescent="0.25">
      <c r="A62" s="20"/>
      <c r="D62" s="18"/>
    </row>
    <row r="63" spans="1:5" x14ac:dyDescent="0.25">
      <c r="A63" s="20"/>
      <c r="D63" s="18"/>
      <c r="E63" s="13"/>
    </row>
    <row r="64" spans="1:5" x14ac:dyDescent="0.25">
      <c r="A64" s="20"/>
      <c r="D64" s="18"/>
    </row>
    <row r="65" spans="1:5" x14ac:dyDescent="0.25">
      <c r="A65" s="20"/>
      <c r="D65" s="18"/>
    </row>
    <row r="66" spans="1:5" x14ac:dyDescent="0.25">
      <c r="A66" s="20"/>
      <c r="D66" s="18"/>
    </row>
    <row r="67" spans="1:5" x14ac:dyDescent="0.25">
      <c r="A67" s="20"/>
      <c r="D67" s="18"/>
      <c r="E67" s="13"/>
    </row>
    <row r="68" spans="1:5" x14ac:dyDescent="0.25">
      <c r="A68" s="20"/>
      <c r="D68" s="18"/>
    </row>
    <row r="69" spans="1:5" x14ac:dyDescent="0.25">
      <c r="A69" s="20"/>
      <c r="D69" s="18"/>
    </row>
    <row r="70" spans="1:5" x14ac:dyDescent="0.25">
      <c r="A70" s="20"/>
      <c r="D70" s="18"/>
    </row>
    <row r="71" spans="1:5" x14ac:dyDescent="0.25">
      <c r="A71" s="20"/>
      <c r="D71" s="18"/>
      <c r="E71" s="1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1"/>
  <sheetViews>
    <sheetView zoomScaleNormal="100" workbookViewId="0">
      <selection activeCell="H30" sqref="H30"/>
    </sheetView>
  </sheetViews>
  <sheetFormatPr defaultRowHeight="15" x14ac:dyDescent="0.25"/>
  <cols>
    <col min="1" max="1" width="19.28515625" bestFit="1" customWidth="1"/>
    <col min="2" max="2" width="15.140625" customWidth="1"/>
    <col min="3" max="3" width="18" customWidth="1"/>
    <col min="4" max="4" width="13.5703125" customWidth="1"/>
    <col min="5" max="6" width="13.28515625" customWidth="1"/>
    <col min="7" max="7" width="12.7109375" customWidth="1"/>
    <col min="8" max="9" width="10.42578125" customWidth="1"/>
    <col min="10" max="10" width="10.85546875" customWidth="1"/>
    <col min="11" max="11" width="12.28515625" customWidth="1"/>
    <col min="12" max="12" width="10.7109375" customWidth="1"/>
  </cols>
  <sheetData>
    <row r="1" spans="1:12" x14ac:dyDescent="0.25">
      <c r="A1" t="s">
        <v>23</v>
      </c>
    </row>
    <row r="2" spans="1:12" x14ac:dyDescent="0.25">
      <c r="A2" s="11">
        <v>43281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42979</v>
      </c>
      <c r="B8" s="7">
        <v>34536</v>
      </c>
      <c r="C8" s="7"/>
      <c r="D8" s="7"/>
      <c r="E8" s="8">
        <v>3139</v>
      </c>
      <c r="F8" s="8">
        <v>823</v>
      </c>
      <c r="G8" s="9">
        <f>E8-F8</f>
        <v>2316</v>
      </c>
      <c r="H8" s="8"/>
      <c r="I8" s="8"/>
      <c r="J8" s="7">
        <f>+G8+H8+I8+L8</f>
        <v>2316</v>
      </c>
      <c r="K8" s="8"/>
    </row>
    <row r="9" spans="1:12" x14ac:dyDescent="0.25">
      <c r="A9" s="6">
        <v>43070</v>
      </c>
      <c r="B9" s="7">
        <v>26658</v>
      </c>
      <c r="C9" s="7"/>
      <c r="D9" s="7"/>
      <c r="E9" s="8">
        <v>2378</v>
      </c>
      <c r="F9" s="8">
        <v>1101</v>
      </c>
      <c r="G9" s="9">
        <f>E9-F9</f>
        <v>1277</v>
      </c>
      <c r="H9" s="8"/>
      <c r="I9" s="8"/>
      <c r="J9" s="7">
        <f>+G9+H9+I9+L9</f>
        <v>1277</v>
      </c>
      <c r="K9" s="8"/>
    </row>
    <row r="10" spans="1:12" x14ac:dyDescent="0.25">
      <c r="A10" s="6">
        <v>43160</v>
      </c>
      <c r="B10" s="7">
        <v>31016</v>
      </c>
      <c r="C10" s="7"/>
      <c r="D10" s="7"/>
      <c r="E10" s="8">
        <v>3366</v>
      </c>
      <c r="F10" s="8">
        <v>321</v>
      </c>
      <c r="G10" s="9">
        <f>E10-F10</f>
        <v>3045</v>
      </c>
      <c r="H10" s="8"/>
      <c r="I10" s="8"/>
      <c r="J10" s="7">
        <f>+G10+H10+I10+L10</f>
        <v>3045</v>
      </c>
      <c r="K10" s="8"/>
    </row>
    <row r="11" spans="1:12" x14ac:dyDescent="0.25">
      <c r="A11" s="6">
        <v>43252</v>
      </c>
      <c r="B11" s="7">
        <v>33196</v>
      </c>
      <c r="C11" s="7"/>
      <c r="D11" s="7"/>
      <c r="E11" s="8">
        <v>2926</v>
      </c>
      <c r="F11" s="8">
        <v>481</v>
      </c>
      <c r="G11" s="9">
        <f>E11-F11</f>
        <v>2445</v>
      </c>
      <c r="H11" s="8"/>
      <c r="I11" s="8"/>
      <c r="J11" s="7">
        <f>+G11+H11+I11+L11</f>
        <v>2445</v>
      </c>
      <c r="K11" s="8"/>
    </row>
    <row r="12" spans="1:12" x14ac:dyDescent="0.25">
      <c r="A12" s="2"/>
      <c r="B12" s="7">
        <f>SUM(B8:B11)</f>
        <v>125406</v>
      </c>
      <c r="C12" s="7"/>
      <c r="D12" s="7"/>
      <c r="E12" s="7">
        <f>SUM(E8:E11)</f>
        <v>11809</v>
      </c>
      <c r="F12" s="7">
        <f>SUM(F8:F11)</f>
        <v>2726</v>
      </c>
      <c r="G12" s="7"/>
      <c r="H12" s="7">
        <f>SUM(H8:H11)</f>
        <v>0</v>
      </c>
      <c r="I12" s="7">
        <f>SUM(I7:I11)</f>
        <v>0</v>
      </c>
      <c r="J12" s="7">
        <f>SUM(J8:J11)</f>
        <v>9083</v>
      </c>
      <c r="K12" s="7">
        <f>SUM(K8:K11)</f>
        <v>0</v>
      </c>
    </row>
    <row r="13" spans="1:12" x14ac:dyDescent="0.25">
      <c r="A13" s="2"/>
      <c r="B13" s="7"/>
      <c r="C13" s="7"/>
      <c r="D13" s="7"/>
      <c r="E13" s="7"/>
      <c r="F13" s="7"/>
      <c r="G13" s="7"/>
      <c r="H13" s="7"/>
      <c r="I13" s="7"/>
      <c r="J13" s="7"/>
      <c r="K13" s="7"/>
    </row>
    <row r="15" spans="1:12" x14ac:dyDescent="0.25">
      <c r="H15">
        <v>26947</v>
      </c>
    </row>
    <row r="16" spans="1:12" x14ac:dyDescent="0.25">
      <c r="B16" s="20">
        <v>43281</v>
      </c>
      <c r="C16" s="10"/>
    </row>
    <row r="17" spans="1:14" x14ac:dyDescent="0.25">
      <c r="H17" s="16">
        <v>42979</v>
      </c>
      <c r="I17" s="16">
        <v>43070</v>
      </c>
      <c r="J17" s="16">
        <v>43160</v>
      </c>
      <c r="K17" s="16">
        <v>43252</v>
      </c>
    </row>
    <row r="18" spans="1:14" x14ac:dyDescent="0.25">
      <c r="A18" t="s">
        <v>24</v>
      </c>
      <c r="B18" s="18">
        <v>62244.36</v>
      </c>
      <c r="C18" s="18">
        <f>B18/11</f>
        <v>5658.5781818181822</v>
      </c>
      <c r="D18" s="18"/>
      <c r="E18" s="18">
        <f>C18-D23</f>
        <v>5189.3250000000007</v>
      </c>
      <c r="H18" s="19">
        <v>2895</v>
      </c>
      <c r="I18">
        <v>2319.7199999999998</v>
      </c>
      <c r="J18">
        <v>5934</v>
      </c>
      <c r="K18">
        <v>5934</v>
      </c>
      <c r="N18">
        <v>5934</v>
      </c>
    </row>
    <row r="19" spans="1:14" x14ac:dyDescent="0.25">
      <c r="A19" t="s">
        <v>25</v>
      </c>
      <c r="B19" s="18">
        <v>28090.6</v>
      </c>
      <c r="C19" s="18">
        <f t="shared" ref="C19:C20" si="0">B19/11</f>
        <v>2553.6909090909089</v>
      </c>
      <c r="D19" s="18"/>
      <c r="E19" s="18">
        <f>C19</f>
        <v>2553.6909090909089</v>
      </c>
      <c r="H19" s="19">
        <v>2312</v>
      </c>
      <c r="I19">
        <v>4588.4799999999996</v>
      </c>
      <c r="J19">
        <v>2319</v>
      </c>
      <c r="K19">
        <v>2412.5</v>
      </c>
      <c r="N19">
        <v>2319</v>
      </c>
    </row>
    <row r="20" spans="1:14" x14ac:dyDescent="0.25">
      <c r="A20" t="s">
        <v>26</v>
      </c>
      <c r="B20" s="18">
        <v>55387.61</v>
      </c>
      <c r="C20" s="18">
        <f t="shared" si="0"/>
        <v>5035.2372727272732</v>
      </c>
      <c r="D20" s="18"/>
      <c r="E20" s="18">
        <f>C20-D23</f>
        <v>4565.9840909090917</v>
      </c>
      <c r="H20" s="19">
        <v>2806</v>
      </c>
      <c r="I20">
        <v>2319.7199999999998</v>
      </c>
      <c r="J20">
        <v>4588</v>
      </c>
      <c r="K20">
        <v>4593.6499999999996</v>
      </c>
      <c r="N20">
        <v>4588</v>
      </c>
    </row>
    <row r="21" spans="1:14" x14ac:dyDescent="0.25">
      <c r="B21" s="18">
        <f>SUM(B18:B20)</f>
        <v>145722.57</v>
      </c>
      <c r="C21" s="18">
        <f>SUM(C18:C20)</f>
        <v>13247.506363636363</v>
      </c>
      <c r="D21" s="18">
        <f>C21-E12</f>
        <v>1438.5063636363629</v>
      </c>
      <c r="E21" s="18">
        <f>SUM(E18:E20)</f>
        <v>12309</v>
      </c>
      <c r="H21" s="19">
        <v>4588</v>
      </c>
      <c r="I21">
        <v>4588.4799999999996</v>
      </c>
      <c r="J21">
        <v>5934</v>
      </c>
      <c r="K21">
        <v>2412.5</v>
      </c>
      <c r="N21">
        <v>5934</v>
      </c>
    </row>
    <row r="22" spans="1:14" x14ac:dyDescent="0.25">
      <c r="D22" s="13">
        <f>D21-500</f>
        <v>938.50636363636295</v>
      </c>
      <c r="H22" s="19">
        <v>2440</v>
      </c>
      <c r="I22">
        <v>5934</v>
      </c>
      <c r="J22">
        <v>2319</v>
      </c>
      <c r="K22">
        <v>4748.82</v>
      </c>
      <c r="N22">
        <v>2319</v>
      </c>
    </row>
    <row r="23" spans="1:14" x14ac:dyDescent="0.25">
      <c r="A23" t="s">
        <v>27</v>
      </c>
      <c r="B23">
        <v>1738</v>
      </c>
      <c r="C23">
        <f>B23/11</f>
        <v>158</v>
      </c>
      <c r="D23" s="13">
        <f>D22/2</f>
        <v>469.25318181818147</v>
      </c>
      <c r="H23" s="19">
        <v>2312</v>
      </c>
      <c r="I23">
        <v>2319.7199999999998</v>
      </c>
      <c r="J23">
        <v>4589</v>
      </c>
      <c r="K23">
        <v>2412.5</v>
      </c>
      <c r="N23">
        <v>4588</v>
      </c>
    </row>
    <row r="24" spans="1:14" x14ac:dyDescent="0.25">
      <c r="A24" t="s">
        <v>29</v>
      </c>
      <c r="B24">
        <v>4392.2</v>
      </c>
      <c r="C24" s="18">
        <f>B24/11</f>
        <v>399.29090909090905</v>
      </c>
      <c r="D24" s="13"/>
      <c r="H24" s="19">
        <v>2935</v>
      </c>
      <c r="I24">
        <v>4588.4799999999996</v>
      </c>
      <c r="J24">
        <v>5934</v>
      </c>
      <c r="K24">
        <v>5934</v>
      </c>
      <c r="N24">
        <v>5934</v>
      </c>
    </row>
    <row r="25" spans="1:14" x14ac:dyDescent="0.25">
      <c r="A25" t="s">
        <v>28</v>
      </c>
      <c r="B25">
        <f>B50</f>
        <v>13755.529999999999</v>
      </c>
      <c r="C25" s="14">
        <f>B25/11</f>
        <v>1250.5027272727273</v>
      </c>
      <c r="D25" s="13"/>
      <c r="H25" s="19">
        <v>4588</v>
      </c>
      <c r="J25">
        <v>2319</v>
      </c>
      <c r="K25">
        <v>4748.82</v>
      </c>
      <c r="N25">
        <v>2319</v>
      </c>
    </row>
    <row r="26" spans="1:14" x14ac:dyDescent="0.25">
      <c r="A26" t="s">
        <v>41</v>
      </c>
      <c r="B26">
        <v>440</v>
      </c>
      <c r="C26" s="14">
        <f>B26/11</f>
        <v>40</v>
      </c>
      <c r="D26" s="13"/>
      <c r="H26" s="19">
        <v>2311</v>
      </c>
      <c r="J26">
        <v>4588</v>
      </c>
      <c r="N26">
        <v>4588</v>
      </c>
    </row>
    <row r="27" spans="1:14" x14ac:dyDescent="0.25">
      <c r="C27" s="10">
        <f>SUM(C23:C26)</f>
        <v>1847.7936363636363</v>
      </c>
      <c r="F27" s="10">
        <f>F12-C27</f>
        <v>878.20636363636368</v>
      </c>
      <c r="H27" s="19">
        <v>2760</v>
      </c>
      <c r="I27" s="17">
        <f>SUM(I18:I26)</f>
        <v>26658.6</v>
      </c>
      <c r="J27" s="17">
        <f>SUM(J18:J26)</f>
        <v>38524</v>
      </c>
      <c r="K27" s="17">
        <f>SUM(K18:K26)</f>
        <v>33196.79</v>
      </c>
      <c r="L27">
        <f>I28+J28+K28+H30</f>
        <v>12083.126363636362</v>
      </c>
      <c r="N27">
        <f>SUM(N18:N26)</f>
        <v>38523</v>
      </c>
    </row>
    <row r="28" spans="1:14" x14ac:dyDescent="0.25">
      <c r="H28" s="19">
        <v>4588</v>
      </c>
      <c r="I28" s="17">
        <f>I27/11</f>
        <v>2423.5090909090909</v>
      </c>
      <c r="J28" s="17">
        <f>J27/11</f>
        <v>3502.181818181818</v>
      </c>
      <c r="K28" s="17">
        <f>K27/11</f>
        <v>3017.89</v>
      </c>
      <c r="L28" s="10">
        <f>L27-E12</f>
        <v>274.12636363636193</v>
      </c>
    </row>
    <row r="29" spans="1:14" x14ac:dyDescent="0.25">
      <c r="C29" t="s">
        <v>34</v>
      </c>
      <c r="H29" s="19">
        <f>SUM(H18:H28)</f>
        <v>34535</v>
      </c>
      <c r="J29" s="17"/>
    </row>
    <row r="30" spans="1:14" x14ac:dyDescent="0.25">
      <c r="A30" t="s">
        <v>30</v>
      </c>
      <c r="B30" s="15">
        <f>H29</f>
        <v>34535</v>
      </c>
      <c r="C30" s="12">
        <f>B30/11</f>
        <v>3139.5454545454545</v>
      </c>
      <c r="F30">
        <v>203</v>
      </c>
      <c r="H30" s="19">
        <f>H29/11</f>
        <v>3139.5454545454545</v>
      </c>
      <c r="I30" s="21">
        <v>12803.66</v>
      </c>
    </row>
    <row r="31" spans="1:14" x14ac:dyDescent="0.25">
      <c r="A31" t="s">
        <v>31</v>
      </c>
      <c r="B31" s="15">
        <f>I27</f>
        <v>26658.6</v>
      </c>
      <c r="C31" s="12">
        <f>B31/11</f>
        <v>2423.5090909090909</v>
      </c>
      <c r="F31">
        <v>35</v>
      </c>
      <c r="I31" s="22">
        <f>J27-B11</f>
        <v>5328</v>
      </c>
    </row>
    <row r="32" spans="1:14" x14ac:dyDescent="0.25">
      <c r="A32" t="s">
        <v>32</v>
      </c>
      <c r="B32" s="15">
        <f>J27</f>
        <v>38524</v>
      </c>
      <c r="C32" s="12">
        <f>B32/11</f>
        <v>3502.181818181818</v>
      </c>
      <c r="F32">
        <v>186</v>
      </c>
      <c r="I32" s="22">
        <f>I31+I30</f>
        <v>18131.66</v>
      </c>
    </row>
    <row r="33" spans="1:8" x14ac:dyDescent="0.25">
      <c r="A33" t="s">
        <v>33</v>
      </c>
      <c r="B33" s="15">
        <f>K27</f>
        <v>33196.79</v>
      </c>
      <c r="C33" s="12">
        <f>B33/11</f>
        <v>3017.89</v>
      </c>
    </row>
    <row r="34" spans="1:8" x14ac:dyDescent="0.25">
      <c r="B34" s="15">
        <f>SUM(B30:B33)</f>
        <v>132914.39000000001</v>
      </c>
      <c r="C34" s="12">
        <f>SUM(C30:C33)</f>
        <v>12083.126363636362</v>
      </c>
      <c r="F34">
        <f>SUM(F30:F33)</f>
        <v>424</v>
      </c>
      <c r="G34" s="10">
        <f>F8+F9+F10-F34</f>
        <v>1821</v>
      </c>
      <c r="H34">
        <f>H29+I27+J27+K27</f>
        <v>132914.39000000001</v>
      </c>
    </row>
    <row r="35" spans="1:8" x14ac:dyDescent="0.25">
      <c r="B35" s="13"/>
    </row>
    <row r="36" spans="1:8" x14ac:dyDescent="0.25">
      <c r="A36" t="s">
        <v>35</v>
      </c>
      <c r="D36" t="s">
        <v>3</v>
      </c>
    </row>
    <row r="37" spans="1:8" x14ac:dyDescent="0.25">
      <c r="A37" s="20">
        <v>42956</v>
      </c>
      <c r="B37">
        <v>1250.33</v>
      </c>
      <c r="C37" t="s">
        <v>36</v>
      </c>
      <c r="D37" s="18">
        <f>B37/11</f>
        <v>113.66636363636363</v>
      </c>
    </row>
    <row r="38" spans="1:8" x14ac:dyDescent="0.25">
      <c r="A38" s="20">
        <v>42989</v>
      </c>
      <c r="B38">
        <v>1303.1500000000001</v>
      </c>
      <c r="C38" t="s">
        <v>37</v>
      </c>
      <c r="D38" s="18">
        <f t="shared" ref="D38:D48" si="1">B38/11</f>
        <v>118.46818181818183</v>
      </c>
    </row>
    <row r="39" spans="1:8" x14ac:dyDescent="0.25">
      <c r="A39" s="20">
        <v>42934</v>
      </c>
      <c r="B39">
        <v>2585</v>
      </c>
      <c r="C39" t="s">
        <v>38</v>
      </c>
      <c r="D39" s="18">
        <f t="shared" si="1"/>
        <v>235</v>
      </c>
    </row>
    <row r="40" spans="1:8" x14ac:dyDescent="0.25">
      <c r="A40" s="20">
        <v>42919</v>
      </c>
      <c r="B40">
        <v>440</v>
      </c>
      <c r="C40" t="s">
        <v>39</v>
      </c>
      <c r="D40" s="18">
        <f t="shared" si="1"/>
        <v>40</v>
      </c>
    </row>
    <row r="41" spans="1:8" x14ac:dyDescent="0.25">
      <c r="A41" s="20">
        <v>43023</v>
      </c>
      <c r="B41">
        <v>1236.0999999999999</v>
      </c>
      <c r="C41" t="s">
        <v>36</v>
      </c>
      <c r="D41" s="18">
        <f t="shared" si="1"/>
        <v>112.37272727272726</v>
      </c>
    </row>
    <row r="42" spans="1:8" x14ac:dyDescent="0.25">
      <c r="A42" s="20">
        <v>43081</v>
      </c>
      <c r="B42">
        <v>1303.1500000000001</v>
      </c>
      <c r="C42" t="s">
        <v>37</v>
      </c>
      <c r="D42" s="18">
        <f t="shared" si="1"/>
        <v>118.46818181818183</v>
      </c>
    </row>
    <row r="43" spans="1:8" x14ac:dyDescent="0.25">
      <c r="A43" s="20">
        <v>43066</v>
      </c>
      <c r="B43">
        <v>220</v>
      </c>
      <c r="C43" t="s">
        <v>39</v>
      </c>
      <c r="D43" s="18">
        <f t="shared" si="1"/>
        <v>20</v>
      </c>
    </row>
    <row r="44" spans="1:8" x14ac:dyDescent="0.25">
      <c r="A44" s="20">
        <v>43157</v>
      </c>
      <c r="B44">
        <v>1340.65</v>
      </c>
      <c r="C44" t="s">
        <v>37</v>
      </c>
      <c r="D44" s="18">
        <f t="shared" si="1"/>
        <v>121.87727272727274</v>
      </c>
    </row>
    <row r="45" spans="1:8" x14ac:dyDescent="0.25">
      <c r="A45" s="20">
        <v>43111</v>
      </c>
      <c r="B45">
        <v>1236.0999999999999</v>
      </c>
      <c r="C45" t="s">
        <v>36</v>
      </c>
      <c r="D45" s="18">
        <f t="shared" si="1"/>
        <v>112.37272727272726</v>
      </c>
    </row>
    <row r="46" spans="1:8" x14ac:dyDescent="0.25">
      <c r="A46" s="20">
        <v>43134</v>
      </c>
      <c r="B46">
        <v>264.3</v>
      </c>
      <c r="C46" t="s">
        <v>40</v>
      </c>
      <c r="D46" s="18">
        <f t="shared" si="1"/>
        <v>24.027272727272727</v>
      </c>
    </row>
    <row r="47" spans="1:8" x14ac:dyDescent="0.25">
      <c r="A47" s="20">
        <v>43203</v>
      </c>
      <c r="B47">
        <v>1236.0999999999999</v>
      </c>
      <c r="C47" t="s">
        <v>36</v>
      </c>
      <c r="D47" s="18">
        <f t="shared" si="1"/>
        <v>112.37272727272726</v>
      </c>
    </row>
    <row r="48" spans="1:8" x14ac:dyDescent="0.25">
      <c r="A48" s="20">
        <v>43258</v>
      </c>
      <c r="B48">
        <v>1340.65</v>
      </c>
      <c r="C48" t="s">
        <v>37</v>
      </c>
      <c r="D48" s="18">
        <f t="shared" si="1"/>
        <v>121.87727272727274</v>
      </c>
    </row>
    <row r="49" spans="1:8" x14ac:dyDescent="0.25">
      <c r="A49" s="20"/>
    </row>
    <row r="50" spans="1:8" x14ac:dyDescent="0.25">
      <c r="B50">
        <f>SUM(B37:B49)</f>
        <v>13755.529999999999</v>
      </c>
      <c r="D50" s="13">
        <f>SUM(D37:D49)</f>
        <v>1250.5027272727273</v>
      </c>
      <c r="E50" s="13"/>
    </row>
    <row r="52" spans="1:8" x14ac:dyDescent="0.25">
      <c r="A52" t="s">
        <v>42</v>
      </c>
      <c r="B52" s="13">
        <f>C21-C27</f>
        <v>11399.712727272727</v>
      </c>
    </row>
    <row r="53" spans="1:8" x14ac:dyDescent="0.25">
      <c r="B53" s="10">
        <f>J12</f>
        <v>9083</v>
      </c>
    </row>
    <row r="54" spans="1:8" x14ac:dyDescent="0.25">
      <c r="B54" s="13">
        <f>B52-B53</f>
        <v>2316.7127272727266</v>
      </c>
    </row>
    <row r="55" spans="1:8" x14ac:dyDescent="0.25">
      <c r="A55" s="16">
        <v>43252</v>
      </c>
      <c r="B55" s="10">
        <f>G11</f>
        <v>2445</v>
      </c>
      <c r="G55" s="16">
        <v>43252</v>
      </c>
      <c r="H55">
        <v>2445</v>
      </c>
    </row>
    <row r="56" spans="1:8" x14ac:dyDescent="0.25">
      <c r="A56" t="s">
        <v>3</v>
      </c>
      <c r="B56" s="13">
        <f>B55+B54</f>
        <v>4761.7127272727266</v>
      </c>
      <c r="G56" t="s">
        <v>44</v>
      </c>
      <c r="H56">
        <v>2316</v>
      </c>
    </row>
    <row r="57" spans="1:8" x14ac:dyDescent="0.25">
      <c r="G57" t="s">
        <v>45</v>
      </c>
      <c r="H57">
        <f>4692-'2017FY'!G11</f>
        <v>1627</v>
      </c>
    </row>
    <row r="58" spans="1:8" x14ac:dyDescent="0.25">
      <c r="A58" t="s">
        <v>35</v>
      </c>
      <c r="D58" t="s">
        <v>3</v>
      </c>
      <c r="G58" t="s">
        <v>2</v>
      </c>
      <c r="H58">
        <f>SUM(H55:H57)</f>
        <v>6388</v>
      </c>
    </row>
    <row r="59" spans="1:8" x14ac:dyDescent="0.25">
      <c r="A59" s="20">
        <v>43134</v>
      </c>
      <c r="B59">
        <v>264.3</v>
      </c>
      <c r="C59" t="s">
        <v>40</v>
      </c>
      <c r="D59" s="18">
        <f t="shared" ref="D59:D70" si="2">B59/11</f>
        <v>24.027272727272727</v>
      </c>
    </row>
    <row r="60" spans="1:8" x14ac:dyDescent="0.25">
      <c r="A60" s="20">
        <v>42919</v>
      </c>
      <c r="B60">
        <v>440</v>
      </c>
      <c r="C60" t="s">
        <v>39</v>
      </c>
      <c r="D60" s="18">
        <f t="shared" si="2"/>
        <v>40</v>
      </c>
    </row>
    <row r="61" spans="1:8" x14ac:dyDescent="0.25">
      <c r="A61" s="20">
        <v>43066</v>
      </c>
      <c r="B61">
        <v>220</v>
      </c>
      <c r="C61" t="s">
        <v>39</v>
      </c>
      <c r="D61" s="18">
        <f t="shared" si="2"/>
        <v>20</v>
      </c>
    </row>
    <row r="62" spans="1:8" x14ac:dyDescent="0.25">
      <c r="A62" s="20">
        <v>42934</v>
      </c>
      <c r="B62">
        <v>2585</v>
      </c>
      <c r="C62" t="s">
        <v>38</v>
      </c>
      <c r="D62" s="18">
        <f t="shared" si="2"/>
        <v>235</v>
      </c>
      <c r="E62" s="13">
        <f>SUM(D59:D61)</f>
        <v>84.027272727272731</v>
      </c>
    </row>
    <row r="63" spans="1:8" x14ac:dyDescent="0.25">
      <c r="A63" s="20">
        <v>42956</v>
      </c>
      <c r="B63">
        <v>1250.33</v>
      </c>
      <c r="C63" t="s">
        <v>36</v>
      </c>
      <c r="D63" s="18">
        <f t="shared" si="2"/>
        <v>113.66636363636363</v>
      </c>
    </row>
    <row r="64" spans="1:8" x14ac:dyDescent="0.25">
      <c r="A64" s="20">
        <v>43023</v>
      </c>
      <c r="B64">
        <v>1236.0999999999999</v>
      </c>
      <c r="C64" t="s">
        <v>36</v>
      </c>
      <c r="D64" s="18">
        <f t="shared" si="2"/>
        <v>112.37272727272726</v>
      </c>
    </row>
    <row r="65" spans="1:5" x14ac:dyDescent="0.25">
      <c r="A65" s="20">
        <v>43111</v>
      </c>
      <c r="B65">
        <v>1236.0999999999999</v>
      </c>
      <c r="C65" t="s">
        <v>36</v>
      </c>
      <c r="D65" s="18">
        <f t="shared" si="2"/>
        <v>112.37272727272726</v>
      </c>
    </row>
    <row r="66" spans="1:5" x14ac:dyDescent="0.25">
      <c r="A66" s="20">
        <v>43203</v>
      </c>
      <c r="B66">
        <v>1236.0999999999999</v>
      </c>
      <c r="C66" t="s">
        <v>36</v>
      </c>
      <c r="D66" s="18">
        <f t="shared" si="2"/>
        <v>112.37272727272726</v>
      </c>
      <c r="E66" s="13">
        <f>SUM(D63:D66)</f>
        <v>450.78454545454542</v>
      </c>
    </row>
    <row r="67" spans="1:5" x14ac:dyDescent="0.25">
      <c r="A67" s="20">
        <v>42989</v>
      </c>
      <c r="B67">
        <v>1303.1500000000001</v>
      </c>
      <c r="C67" t="s">
        <v>37</v>
      </c>
      <c r="D67" s="18">
        <f t="shared" si="2"/>
        <v>118.46818181818183</v>
      </c>
    </row>
    <row r="68" spans="1:5" x14ac:dyDescent="0.25">
      <c r="A68" s="20">
        <v>43081</v>
      </c>
      <c r="B68">
        <v>1303.1500000000001</v>
      </c>
      <c r="C68" t="s">
        <v>37</v>
      </c>
      <c r="D68" s="18">
        <f t="shared" si="2"/>
        <v>118.46818181818183</v>
      </c>
    </row>
    <row r="69" spans="1:5" x14ac:dyDescent="0.25">
      <c r="A69" s="20">
        <v>43157</v>
      </c>
      <c r="B69">
        <v>1340.65</v>
      </c>
      <c r="C69" t="s">
        <v>37</v>
      </c>
      <c r="D69" s="18">
        <f t="shared" si="2"/>
        <v>121.87727272727274</v>
      </c>
    </row>
    <row r="70" spans="1:5" x14ac:dyDescent="0.25">
      <c r="A70" s="20">
        <v>43258</v>
      </c>
      <c r="B70">
        <v>1340.65</v>
      </c>
      <c r="C70" t="s">
        <v>37</v>
      </c>
      <c r="D70" s="18">
        <f t="shared" si="2"/>
        <v>121.87727272727274</v>
      </c>
      <c r="E70" s="13">
        <f>SUM(D67:D70)</f>
        <v>480.69090909090914</v>
      </c>
    </row>
    <row r="71" spans="1:5" x14ac:dyDescent="0.25">
      <c r="B71">
        <f>SUM(B59:B70)</f>
        <v>13755.529999999999</v>
      </c>
      <c r="C71">
        <f t="shared" ref="C71" si="3">SUM(C59:C70)</f>
        <v>0</v>
      </c>
      <c r="D71" s="13">
        <f>SUM(D59:D70)</f>
        <v>1250.5027272727275</v>
      </c>
    </row>
  </sheetData>
  <sortState xmlns:xlrd2="http://schemas.microsoft.com/office/spreadsheetml/2017/richdata2" ref="A59:D70">
    <sortCondition ref="C59:C70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2"/>
  <sheetViews>
    <sheetView zoomScaleNormal="100" workbookViewId="0">
      <selection activeCell="E25" sqref="E25"/>
    </sheetView>
  </sheetViews>
  <sheetFormatPr defaultRowHeight="15" x14ac:dyDescent="0.25"/>
  <cols>
    <col min="1" max="1" width="19.28515625" bestFit="1" customWidth="1"/>
    <col min="2" max="2" width="10.140625" bestFit="1" customWidth="1"/>
    <col min="3" max="3" width="15.28515625" customWidth="1"/>
    <col min="4" max="4" width="9.5703125" bestFit="1" customWidth="1"/>
    <col min="5" max="5" width="10.5703125" bestFit="1" customWidth="1"/>
    <col min="7" max="7" width="9.5703125" bestFit="1" customWidth="1"/>
  </cols>
  <sheetData>
    <row r="1" spans="1:12" x14ac:dyDescent="0.25">
      <c r="A1" t="s">
        <v>23</v>
      </c>
    </row>
    <row r="2" spans="1:12" x14ac:dyDescent="0.25">
      <c r="A2" s="11">
        <v>42916</v>
      </c>
    </row>
    <row r="4" spans="1:12" x14ac:dyDescent="0.25">
      <c r="B4" t="s">
        <v>0</v>
      </c>
      <c r="C4">
        <v>51497046122</v>
      </c>
      <c r="D4" t="s">
        <v>1</v>
      </c>
      <c r="E4" s="1">
        <v>44885752</v>
      </c>
    </row>
    <row r="5" spans="1:12" x14ac:dyDescent="0.25">
      <c r="A5" s="2"/>
      <c r="B5" s="3" t="s">
        <v>2</v>
      </c>
      <c r="C5" s="3"/>
      <c r="D5" s="3"/>
      <c r="E5" s="3" t="s">
        <v>3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4" t="s">
        <v>9</v>
      </c>
    </row>
    <row r="6" spans="1:12" x14ac:dyDescent="0.25">
      <c r="A6" s="2"/>
      <c r="B6" s="3" t="s">
        <v>10</v>
      </c>
      <c r="C6" s="3"/>
      <c r="D6" s="3" t="s">
        <v>11</v>
      </c>
      <c r="E6" s="3" t="s">
        <v>12</v>
      </c>
      <c r="F6" s="3" t="s">
        <v>13</v>
      </c>
      <c r="G6" s="3" t="s">
        <v>3</v>
      </c>
      <c r="H6" s="3"/>
      <c r="I6" s="3"/>
      <c r="J6" s="3"/>
      <c r="K6" s="3" t="s">
        <v>14</v>
      </c>
    </row>
    <row r="7" spans="1:12" x14ac:dyDescent="0.25">
      <c r="A7" s="2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>
        <v>3</v>
      </c>
      <c r="H7" s="3">
        <v>4</v>
      </c>
      <c r="I7" s="3" t="s">
        <v>21</v>
      </c>
      <c r="J7" s="3"/>
      <c r="K7" s="5" t="s">
        <v>22</v>
      </c>
    </row>
    <row r="8" spans="1:12" x14ac:dyDescent="0.25">
      <c r="A8" s="6">
        <v>42614</v>
      </c>
      <c r="B8" s="7">
        <v>23558</v>
      </c>
      <c r="C8" s="7"/>
      <c r="D8" s="7"/>
      <c r="E8" s="8">
        <v>1997</v>
      </c>
      <c r="F8" s="8">
        <v>218</v>
      </c>
      <c r="G8" s="9">
        <f>E8-F8</f>
        <v>1779</v>
      </c>
      <c r="H8" s="8"/>
      <c r="I8" s="8"/>
      <c r="J8" s="7">
        <f>+G8+H8+I8+L8</f>
        <v>1779</v>
      </c>
      <c r="K8" s="8"/>
    </row>
    <row r="9" spans="1:12" x14ac:dyDescent="0.25">
      <c r="A9" s="6">
        <v>42705</v>
      </c>
      <c r="B9" s="7">
        <v>18928</v>
      </c>
      <c r="C9" s="7"/>
      <c r="D9" s="7"/>
      <c r="E9" s="8">
        <v>1532</v>
      </c>
      <c r="F9" s="8">
        <v>990</v>
      </c>
      <c r="G9" s="9">
        <f>E9-F9</f>
        <v>542</v>
      </c>
      <c r="H9" s="8"/>
      <c r="I9" s="8"/>
      <c r="J9" s="7">
        <f>+G9+H9+I9+L9</f>
        <v>542</v>
      </c>
      <c r="K9" s="8"/>
    </row>
    <row r="10" spans="1:12" x14ac:dyDescent="0.25">
      <c r="A10" s="6">
        <v>42795</v>
      </c>
      <c r="B10" s="7">
        <v>40960</v>
      </c>
      <c r="C10" s="7"/>
      <c r="D10" s="7"/>
      <c r="E10" s="8">
        <v>3556</v>
      </c>
      <c r="F10" s="8">
        <v>310</v>
      </c>
      <c r="G10" s="9">
        <f>E10-F10</f>
        <v>3246</v>
      </c>
      <c r="H10" s="8"/>
      <c r="I10" s="8"/>
      <c r="J10" s="7">
        <f>+G10+H10+I10+L10</f>
        <v>3246</v>
      </c>
      <c r="K10" s="8"/>
    </row>
    <row r="11" spans="1:12" x14ac:dyDescent="0.25">
      <c r="A11" s="6">
        <v>42887</v>
      </c>
      <c r="B11" s="7">
        <v>37648</v>
      </c>
      <c r="C11" s="7"/>
      <c r="D11" s="7"/>
      <c r="E11" s="8">
        <v>3422</v>
      </c>
      <c r="F11" s="8">
        <v>357</v>
      </c>
      <c r="G11" s="9">
        <f>E11-F11</f>
        <v>3065</v>
      </c>
      <c r="H11" s="8"/>
      <c r="I11" s="8"/>
      <c r="J11" s="7">
        <f>+G11+H11+I11+L11</f>
        <v>3065</v>
      </c>
      <c r="K11" s="8"/>
    </row>
    <row r="12" spans="1:12" x14ac:dyDescent="0.25">
      <c r="A12" s="2"/>
      <c r="B12" s="7">
        <f>SUM(B8:B11)</f>
        <v>121094</v>
      </c>
      <c r="C12" s="7"/>
      <c r="D12" s="7"/>
      <c r="E12" s="7">
        <f>SUM(E8:E11)</f>
        <v>10507</v>
      </c>
      <c r="F12" s="7">
        <f>SUM(F8:F11)</f>
        <v>1875</v>
      </c>
      <c r="G12" s="7"/>
      <c r="H12" s="7">
        <f>SUM(H8:H11)</f>
        <v>0</v>
      </c>
      <c r="I12" s="7">
        <f>SUM(I7:I11)</f>
        <v>0</v>
      </c>
      <c r="J12" s="7">
        <f>SUM(J7:J11)</f>
        <v>8632</v>
      </c>
      <c r="K12" s="7">
        <f>SUM(K8:K11)</f>
        <v>0</v>
      </c>
    </row>
    <row r="14" spans="1:12" x14ac:dyDescent="0.25">
      <c r="H14">
        <v>26947</v>
      </c>
    </row>
    <row r="15" spans="1:12" x14ac:dyDescent="0.25">
      <c r="C15" s="10"/>
    </row>
    <row r="17" spans="1:7" x14ac:dyDescent="0.25">
      <c r="A17" t="s">
        <v>24</v>
      </c>
      <c r="B17">
        <v>44851.6</v>
      </c>
      <c r="C17" s="12">
        <f>B17/11</f>
        <v>4077.4181818181819</v>
      </c>
      <c r="E17" s="13">
        <f>C17-D22</f>
        <v>3712.645454545454</v>
      </c>
    </row>
    <row r="18" spans="1:7" x14ac:dyDescent="0.25">
      <c r="A18" t="s">
        <v>25</v>
      </c>
      <c r="B18">
        <v>27687.18</v>
      </c>
      <c r="C18" s="12">
        <f t="shared" ref="C18:C19" si="0">B18/11</f>
        <v>2517.0163636363636</v>
      </c>
      <c r="E18" s="12">
        <f>C18-500</f>
        <v>2017.0163636363636</v>
      </c>
    </row>
    <row r="19" spans="1:7" x14ac:dyDescent="0.25">
      <c r="A19" t="s">
        <v>26</v>
      </c>
      <c r="B19">
        <v>56563.22</v>
      </c>
      <c r="C19" s="12">
        <f t="shared" si="0"/>
        <v>5142.1109090909094</v>
      </c>
      <c r="E19" s="13">
        <f>C19-D22</f>
        <v>4777.3381818181815</v>
      </c>
    </row>
    <row r="20" spans="1:7" x14ac:dyDescent="0.25">
      <c r="B20">
        <f>SUM(B17:B19)</f>
        <v>129102</v>
      </c>
      <c r="C20" s="12">
        <f>SUM(C17:C19)</f>
        <v>11736.545454545456</v>
      </c>
      <c r="D20" s="13">
        <f>C20-E12</f>
        <v>1229.5454545454559</v>
      </c>
      <c r="E20" s="13">
        <f>SUM(E17:E19)</f>
        <v>10507</v>
      </c>
      <c r="G20" s="13">
        <f>C20-E12</f>
        <v>1229.5454545454559</v>
      </c>
    </row>
    <row r="21" spans="1:7" x14ac:dyDescent="0.25">
      <c r="D21" s="13">
        <f>D20-500</f>
        <v>729.54545454545587</v>
      </c>
    </row>
    <row r="22" spans="1:7" x14ac:dyDescent="0.25">
      <c r="A22" t="s">
        <v>27</v>
      </c>
      <c r="B22">
        <f>2233+385</f>
        <v>2618</v>
      </c>
      <c r="C22">
        <f>B22/11</f>
        <v>238</v>
      </c>
      <c r="D22" s="13">
        <f>D21/2</f>
        <v>364.77272727272793</v>
      </c>
    </row>
    <row r="23" spans="1:7" x14ac:dyDescent="0.25">
      <c r="A23" t="s">
        <v>29</v>
      </c>
      <c r="B23">
        <v>2046</v>
      </c>
      <c r="C23">
        <f>B23/11</f>
        <v>186</v>
      </c>
      <c r="D23" s="13"/>
    </row>
    <row r="24" spans="1:7" x14ac:dyDescent="0.25">
      <c r="A24" t="s">
        <v>28</v>
      </c>
      <c r="B24">
        <v>7356.02</v>
      </c>
      <c r="C24" s="14">
        <f>B24/11</f>
        <v>668.72909090909093</v>
      </c>
      <c r="D24" s="13"/>
      <c r="E24" s="14">
        <f>1251-C24</f>
        <v>582.27090909090907</v>
      </c>
    </row>
    <row r="25" spans="1:7" x14ac:dyDescent="0.25">
      <c r="C25" s="10">
        <f>F12-C22-C23-C24</f>
        <v>782.27090909090907</v>
      </c>
      <c r="F25" s="10">
        <f>F12-C25</f>
        <v>1092.7290909090909</v>
      </c>
    </row>
    <row r="28" spans="1:7" x14ac:dyDescent="0.25">
      <c r="A28" t="s">
        <v>30</v>
      </c>
      <c r="B28" s="15">
        <f>6691.51+14366.52+1000</f>
        <v>22058.03</v>
      </c>
      <c r="C28" s="12">
        <f>B28/11</f>
        <v>2005.2754545454545</v>
      </c>
      <c r="F28">
        <v>203</v>
      </c>
    </row>
    <row r="29" spans="1:7" x14ac:dyDescent="0.25">
      <c r="A29" t="s">
        <v>31</v>
      </c>
      <c r="B29" s="15">
        <f>6850+7531.53+14366.52</f>
        <v>28748.05</v>
      </c>
      <c r="C29" s="12">
        <f>B29/11</f>
        <v>2613.4590909090907</v>
      </c>
      <c r="F29">
        <v>35</v>
      </c>
    </row>
    <row r="30" spans="1:7" x14ac:dyDescent="0.25">
      <c r="A30" t="s">
        <v>32</v>
      </c>
      <c r="B30" s="15">
        <f>19902.95+6691.52+13971.85</f>
        <v>40566.32</v>
      </c>
      <c r="C30" s="12">
        <f>B30/11</f>
        <v>3687.8472727272729</v>
      </c>
      <c r="F30">
        <v>186</v>
      </c>
    </row>
    <row r="31" spans="1:7" x14ac:dyDescent="0.25">
      <c r="A31" t="s">
        <v>33</v>
      </c>
      <c r="B31" s="15">
        <f>17098.65+6772.62+13858.33</f>
        <v>37729.599999999999</v>
      </c>
      <c r="C31" s="12">
        <f>B31/11</f>
        <v>3429.9636363636364</v>
      </c>
    </row>
    <row r="32" spans="1:7" x14ac:dyDescent="0.25">
      <c r="B32" s="15">
        <f>SUM(B28:B31)</f>
        <v>129102</v>
      </c>
      <c r="C32" s="12">
        <f>SUM(C28:C31)</f>
        <v>11736.545454545454</v>
      </c>
      <c r="F32">
        <f>SUM(F28:F31)</f>
        <v>424</v>
      </c>
      <c r="G32" s="10">
        <f>F8+F9+F10-F32</f>
        <v>1094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2022</vt:lpstr>
      <vt:lpstr>2021</vt:lpstr>
      <vt:lpstr>2020</vt:lpstr>
      <vt:lpstr>2019</vt:lpstr>
      <vt:lpstr>2018</vt:lpstr>
      <vt:lpstr>2017FY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Griffin</dc:creator>
  <cp:lastModifiedBy>Theresa Griffin</cp:lastModifiedBy>
  <dcterms:created xsi:type="dcterms:W3CDTF">2016-09-02T00:40:00Z</dcterms:created>
  <dcterms:modified xsi:type="dcterms:W3CDTF">2023-04-17T02:19:59Z</dcterms:modified>
</cp:coreProperties>
</file>