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SOUV0004\2022\Year End\"/>
    </mc:Choice>
  </mc:AlternateContent>
  <xr:revisionPtr revIDLastSave="0" documentId="13_ncr:1_{C502E5C4-3C32-4796-9880-64EE83092C60}" xr6:coauthVersionLast="47" xr6:coauthVersionMax="47" xr10:uidLastSave="{00000000-0000-0000-0000-000000000000}"/>
  <bookViews>
    <workbookView xWindow="25080" yWindow="-570" windowWidth="29040" windowHeight="15840" xr2:uid="{1D3E740C-F647-47B5-AB39-7E8437ADB403}"/>
  </bookViews>
  <sheets>
    <sheet name="BGL" sheetId="2" r:id="rId1"/>
    <sheet name="Trust &amp; Dividend Incom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8" i="2" l="1"/>
  <c r="O38" i="1"/>
  <c r="O36" i="1"/>
  <c r="N38" i="1"/>
  <c r="C111" i="2"/>
  <c r="M38" i="1" l="1"/>
  <c r="C149" i="2" s="1"/>
  <c r="B38" i="1"/>
  <c r="G148" i="2"/>
  <c r="F148" i="2"/>
  <c r="E148" i="2"/>
  <c r="D148" i="2"/>
  <c r="C10" i="2"/>
  <c r="D10" i="2"/>
  <c r="E10" i="2"/>
  <c r="F10" i="2"/>
  <c r="G10" i="2"/>
  <c r="H10" i="2"/>
  <c r="I10" i="2"/>
  <c r="J10" i="2"/>
  <c r="K10" i="2"/>
  <c r="L10" i="2"/>
  <c r="M10" i="2"/>
  <c r="N10" i="2"/>
  <c r="C13" i="2"/>
  <c r="D13" i="2"/>
  <c r="E13" i="2"/>
  <c r="F13" i="2"/>
  <c r="G13" i="2"/>
  <c r="H13" i="2"/>
  <c r="I13" i="2"/>
  <c r="J13" i="2"/>
  <c r="K13" i="2"/>
  <c r="L13" i="2"/>
  <c r="M13" i="2"/>
  <c r="N13" i="2"/>
  <c r="C16" i="2"/>
  <c r="D16" i="2"/>
  <c r="E16" i="2"/>
  <c r="F16" i="2"/>
  <c r="G16" i="2"/>
  <c r="H16" i="2"/>
  <c r="I16" i="2"/>
  <c r="J16" i="2"/>
  <c r="K16" i="2"/>
  <c r="L16" i="2"/>
  <c r="M16" i="2"/>
  <c r="N16" i="2"/>
  <c r="C20" i="2"/>
  <c r="D20" i="2"/>
  <c r="E20" i="2"/>
  <c r="F20" i="2"/>
  <c r="G20" i="2"/>
  <c r="H20" i="2"/>
  <c r="I20" i="2"/>
  <c r="J20" i="2"/>
  <c r="K20" i="2"/>
  <c r="L20" i="2"/>
  <c r="M20" i="2"/>
  <c r="N20" i="2"/>
  <c r="C23" i="2"/>
  <c r="D23" i="2"/>
  <c r="E23" i="2"/>
  <c r="F23" i="2"/>
  <c r="G23" i="2"/>
  <c r="H23" i="2"/>
  <c r="I23" i="2"/>
  <c r="J23" i="2"/>
  <c r="K23" i="2"/>
  <c r="L23" i="2"/>
  <c r="M23" i="2"/>
  <c r="N23" i="2"/>
  <c r="C26" i="2"/>
  <c r="D26" i="2"/>
  <c r="E26" i="2"/>
  <c r="F26" i="2"/>
  <c r="G26" i="2"/>
  <c r="H26" i="2"/>
  <c r="I26" i="2"/>
  <c r="J26" i="2"/>
  <c r="K26" i="2"/>
  <c r="L26" i="2"/>
  <c r="M26" i="2"/>
  <c r="N26" i="2"/>
  <c r="D111" i="2"/>
  <c r="E111" i="2"/>
  <c r="F111" i="2"/>
  <c r="G111" i="2"/>
  <c r="H111" i="2"/>
  <c r="I111" i="2"/>
  <c r="J111" i="2"/>
  <c r="K111" i="2"/>
  <c r="L111" i="2"/>
  <c r="M111" i="2"/>
  <c r="N111" i="2"/>
  <c r="C114" i="2"/>
  <c r="D114" i="2"/>
  <c r="E114" i="2"/>
  <c r="F114" i="2"/>
  <c r="G114" i="2"/>
  <c r="H114" i="2"/>
  <c r="I114" i="2"/>
  <c r="J114" i="2"/>
  <c r="K114" i="2"/>
  <c r="L114" i="2"/>
  <c r="M114" i="2"/>
  <c r="N114" i="2"/>
  <c r="C117" i="2"/>
  <c r="D117" i="2"/>
  <c r="E117" i="2"/>
  <c r="F117" i="2"/>
  <c r="G117" i="2"/>
  <c r="H117" i="2"/>
  <c r="I117" i="2"/>
  <c r="J117" i="2"/>
  <c r="K117" i="2"/>
  <c r="L117" i="2"/>
  <c r="M117" i="2"/>
  <c r="N117" i="2"/>
  <c r="C134" i="2"/>
  <c r="D134" i="2"/>
  <c r="E134" i="2"/>
  <c r="F134" i="2"/>
  <c r="G134" i="2"/>
  <c r="H134" i="2"/>
  <c r="I134" i="2"/>
  <c r="J134" i="2"/>
  <c r="K134" i="2"/>
  <c r="L134" i="2"/>
  <c r="M134" i="2"/>
  <c r="N134" i="2"/>
  <c r="O29" i="1"/>
  <c r="O28" i="1"/>
  <c r="O27" i="1"/>
  <c r="N25" i="1"/>
  <c r="J25" i="1"/>
  <c r="I25" i="1"/>
  <c r="H25" i="1"/>
  <c r="F25" i="1"/>
  <c r="N21" i="1"/>
  <c r="N31" i="1" s="1"/>
  <c r="M21" i="1"/>
  <c r="O21" i="1" s="1"/>
  <c r="L21" i="1"/>
  <c r="L31" i="1" s="1"/>
  <c r="K21" i="1"/>
  <c r="K31" i="1" s="1"/>
  <c r="J21" i="1"/>
  <c r="I21" i="1"/>
  <c r="H21" i="1"/>
  <c r="H31" i="1" s="1"/>
  <c r="H38" i="1" s="1"/>
  <c r="M148" i="2" s="1"/>
  <c r="G21" i="1"/>
  <c r="F21" i="1"/>
  <c r="B21" i="1"/>
  <c r="B31" i="1" s="1"/>
  <c r="O18" i="1"/>
  <c r="O19" i="1"/>
  <c r="N8" i="1"/>
  <c r="M8" i="1"/>
  <c r="J8" i="1"/>
  <c r="I8" i="1"/>
  <c r="B8" i="1"/>
  <c r="M7" i="1"/>
  <c r="J7" i="1"/>
  <c r="I7" i="1"/>
  <c r="E7" i="1"/>
  <c r="D7" i="1"/>
  <c r="O6" i="1"/>
  <c r="M36" i="1"/>
  <c r="L36" i="1"/>
  <c r="K36" i="1"/>
  <c r="J36" i="1"/>
  <c r="I36" i="1"/>
  <c r="H36" i="1"/>
  <c r="G36" i="1"/>
  <c r="F36" i="1"/>
  <c r="E36" i="1"/>
  <c r="D36" i="1"/>
  <c r="C36" i="1"/>
  <c r="B36" i="1"/>
  <c r="O3" i="1"/>
  <c r="O4" i="1"/>
  <c r="O5" i="1"/>
  <c r="O7" i="1"/>
  <c r="O8" i="1"/>
  <c r="O9" i="1"/>
  <c r="O10" i="1"/>
  <c r="O11" i="1"/>
  <c r="O12" i="1"/>
  <c r="O13" i="1"/>
  <c r="O14" i="1"/>
  <c r="O15" i="1"/>
  <c r="O16" i="1"/>
  <c r="O17" i="1"/>
  <c r="O20" i="1"/>
  <c r="O22" i="1"/>
  <c r="O23" i="1"/>
  <c r="O24" i="1"/>
  <c r="O25" i="1"/>
  <c r="O26" i="1"/>
  <c r="O30" i="1"/>
  <c r="C31" i="1"/>
  <c r="C38" i="1" s="1"/>
  <c r="D31" i="1"/>
  <c r="D38" i="1" s="1"/>
  <c r="E31" i="1"/>
  <c r="E38" i="1" s="1"/>
  <c r="F31" i="1"/>
  <c r="F38" i="1" s="1"/>
  <c r="G31" i="1"/>
  <c r="C136" i="2" l="1"/>
  <c r="J136" i="2"/>
  <c r="H136" i="2"/>
  <c r="E136" i="2"/>
  <c r="E149" i="2" s="1"/>
  <c r="F136" i="2"/>
  <c r="F149" i="2" s="1"/>
  <c r="D136" i="2"/>
  <c r="D149" i="2" s="1"/>
  <c r="L136" i="2"/>
  <c r="K136" i="2"/>
  <c r="I136" i="2"/>
  <c r="N136" i="2"/>
  <c r="M136" i="2"/>
  <c r="M149" i="2" s="1"/>
  <c r="G136" i="2"/>
  <c r="G149" i="2" s="1"/>
  <c r="E139" i="2"/>
  <c r="E142" i="2" s="1"/>
  <c r="M31" i="1"/>
  <c r="O31" i="1" s="1"/>
  <c r="I31" i="1"/>
  <c r="I38" i="1" s="1"/>
  <c r="J31" i="1"/>
  <c r="J38" i="1" s="1"/>
  <c r="L38" i="1"/>
  <c r="K38" i="1"/>
  <c r="G38" i="1"/>
  <c r="I148" i="2" l="1"/>
  <c r="N148" i="2"/>
  <c r="I149" i="2"/>
  <c r="N149" i="2"/>
  <c r="H148" i="2"/>
  <c r="H137" i="2"/>
  <c r="H149" i="2" s="1"/>
</calcChain>
</file>

<file path=xl/sharedStrings.xml><?xml version="1.0" encoding="utf-8"?>
<sst xmlns="http://schemas.openxmlformats.org/spreadsheetml/2006/main" count="310" uniqueCount="295">
  <si>
    <t>Trust income</t>
  </si>
  <si>
    <t>ADI_T1 totals</t>
  </si>
  <si>
    <t>ADI_T2 totals</t>
  </si>
  <si>
    <t>ADI_T4 totals</t>
  </si>
  <si>
    <t>APA_APT totals</t>
  </si>
  <si>
    <t>APA_APTIT totals</t>
  </si>
  <si>
    <t>COF totals</t>
  </si>
  <si>
    <t>DDH0001AU totals</t>
  </si>
  <si>
    <t>DXI_T1 totals</t>
  </si>
  <si>
    <t>DXI_T2 totals</t>
  </si>
  <si>
    <t>DXI_T4 totals</t>
  </si>
  <si>
    <t>DXS_DPT totals</t>
  </si>
  <si>
    <t>FID0008AU totals</t>
  </si>
  <si>
    <t>GCI totals</t>
  </si>
  <si>
    <t>GDF_GDF totals</t>
  </si>
  <si>
    <t>IML0002AU totals</t>
  </si>
  <si>
    <t>LLCT totals</t>
  </si>
  <si>
    <t>MAQ0448AU totals</t>
  </si>
  <si>
    <t>MGE0001AU totals</t>
  </si>
  <si>
    <t>MGF totals</t>
  </si>
  <si>
    <t>MGR_MPT totals</t>
  </si>
  <si>
    <t>QRI totals</t>
  </si>
  <si>
    <t>VAN0002AU totals</t>
  </si>
  <si>
    <t>Asset</t>
  </si>
  <si>
    <t>Interest $</t>
  </si>
  <si>
    <t>Unfranked $</t>
  </si>
  <si>
    <t>Franked $</t>
  </si>
  <si>
    <t>Franking credits entitlement $</t>
  </si>
  <si>
    <t>Other Aust $</t>
  </si>
  <si>
    <t>Gross foreign $</t>
  </si>
  <si>
    <t>Trust cap gains $</t>
  </si>
  <si>
    <t>Non-assess $</t>
  </si>
  <si>
    <t>Gross excl franking credits $</t>
  </si>
  <si>
    <t>Foreign taxes $</t>
  </si>
  <si>
    <t>Assess non- receiv $</t>
  </si>
  <si>
    <t>Cash $</t>
  </si>
  <si>
    <t>To be received $</t>
  </si>
  <si>
    <t>TOTAL</t>
  </si>
  <si>
    <t>Dividend Income, Foreign &amp; Interest</t>
  </si>
  <si>
    <t>Interest</t>
  </si>
  <si>
    <t xml:space="preserve">Unfranked </t>
  </si>
  <si>
    <t>Franked</t>
  </si>
  <si>
    <t>Franking creds</t>
  </si>
  <si>
    <t>Other Aus</t>
  </si>
  <si>
    <t>Gross foreign</t>
  </si>
  <si>
    <t xml:space="preserve"> Trust cap gain </t>
  </si>
  <si>
    <t>Non assess</t>
  </si>
  <si>
    <t>Gross exc frank creds</t>
  </si>
  <si>
    <t>Foreign tax</t>
  </si>
  <si>
    <t xml:space="preserve"> Assess non- receiv </t>
  </si>
  <si>
    <t>cash</t>
  </si>
  <si>
    <t>to be received</t>
  </si>
  <si>
    <t xml:space="preserve">Total </t>
  </si>
  <si>
    <t xml:space="preserve">Total Income </t>
  </si>
  <si>
    <t>Total Distribution</t>
  </si>
  <si>
    <t>ALX_ATLIX totals</t>
  </si>
  <si>
    <t>GMG_GIT totals</t>
  </si>
  <si>
    <t>GMG_GLHK totals</t>
  </si>
  <si>
    <t>SKIT totals</t>
  </si>
  <si>
    <t>STW totals</t>
  </si>
  <si>
    <t>TCL_THT totals</t>
  </si>
  <si>
    <t xml:space="preserve"> For a breakdown of Distributed Capital Gains and Non-Assessable Payments refer to Distributions Reconciliation Report.</t>
  </si>
  <si>
    <r>
      <t xml:space="preserve">*2 </t>
    </r>
    <r>
      <rPr>
        <sz val="8"/>
        <color indexed="8"/>
        <rFont val="Cambria"/>
        <family val="1"/>
      </rPr>
      <t>Assessable Income in the SMSF Annual Return will be different as capital gains and losses from disposals of assets have not been included.</t>
    </r>
  </si>
  <si>
    <r>
      <t xml:space="preserve">*1 </t>
    </r>
    <r>
      <rPr>
        <sz val="8"/>
        <color indexed="8"/>
        <rFont val="Cambria"/>
        <family val="1"/>
      </rPr>
      <t>Includes foreign credits from foreign capital gains.</t>
    </r>
  </si>
  <si>
    <t>Total Assessable Income</t>
  </si>
  <si>
    <t>Net Capital Gain</t>
  </si>
  <si>
    <t>Assessable Income (Excl. Capital Gains)</t>
  </si>
  <si>
    <t>Vanguard Australian Shares</t>
  </si>
  <si>
    <t>VAN0002AU</t>
  </si>
  <si>
    <t>Transurban Group</t>
  </si>
  <si>
    <t>TCL.AX</t>
  </si>
  <si>
    <t>Spark Infrastructure Group</t>
  </si>
  <si>
    <t>SKI.AX</t>
  </si>
  <si>
    <t>Mirvac Group</t>
  </si>
  <si>
    <t>MGR.AX</t>
  </si>
  <si>
    <t>Magellan Global</t>
  </si>
  <si>
    <t>MGE0001AU</t>
  </si>
  <si>
    <t>Investors Mutual Australian</t>
  </si>
  <si>
    <t>IML0002AU</t>
  </si>
  <si>
    <t>Goodman Group</t>
  </si>
  <si>
    <t>GMG.AX</t>
  </si>
  <si>
    <t>Fidelity Aust Equities Fd</t>
  </si>
  <si>
    <t>FID0008AU</t>
  </si>
  <si>
    <t>Dexus</t>
  </si>
  <si>
    <t>DXS.AX</t>
  </si>
  <si>
    <t>DDH Pref Income Fund</t>
  </si>
  <si>
    <t>DDH0001AU</t>
  </si>
  <si>
    <t>Charter Hall Dir Office W/S</t>
  </si>
  <si>
    <t>MAQ0448AU</t>
  </si>
  <si>
    <t>Centuria Office Reit</t>
  </si>
  <si>
    <t>COF.AX</t>
  </si>
  <si>
    <t>Apn Industria Reit</t>
  </si>
  <si>
    <t>ADI.AX</t>
  </si>
  <si>
    <t>APA Group</t>
  </si>
  <si>
    <t>APA.AX</t>
  </si>
  <si>
    <t>Units in Listed Unit Trusts (Australian)</t>
  </si>
  <si>
    <t>Garda Property Group</t>
  </si>
  <si>
    <t>GDF.AX</t>
  </si>
  <si>
    <t>Stapled Securities</t>
  </si>
  <si>
    <t>Magellan Global Fund.</t>
  </si>
  <si>
    <t>MGF.AX</t>
  </si>
  <si>
    <t>Shares in Listed Companies (Overseas)</t>
  </si>
  <si>
    <t>Worleyparsons Limited</t>
  </si>
  <si>
    <t>WOR.AX</t>
  </si>
  <si>
    <t>Woolworths Group Limited</t>
  </si>
  <si>
    <t>WOW.AX</t>
  </si>
  <si>
    <t>Woodside Petroleum Ltd</t>
  </si>
  <si>
    <t>WPL.AX</t>
  </si>
  <si>
    <t>Whitehaven Coal Limited - Ordinary Fully Paid</t>
  </si>
  <si>
    <t>WHC.AX</t>
  </si>
  <si>
    <t>Westpac Banking Corporation</t>
  </si>
  <si>
    <t>WBC.AX</t>
  </si>
  <si>
    <t>Wesfarmers Limited</t>
  </si>
  <si>
    <t>WES.AX</t>
  </si>
  <si>
    <t>Virgin Money Uk Plc</t>
  </si>
  <si>
    <t>VUK.AX</t>
  </si>
  <si>
    <t>United Malt Group Limited</t>
  </si>
  <si>
    <t>UMG.AX</t>
  </si>
  <si>
    <t>Telstra Corporation Limited.</t>
  </si>
  <si>
    <t>TLS.AX</t>
  </si>
  <si>
    <t>Tassal Group Limited</t>
  </si>
  <si>
    <t>TGR.AX</t>
  </si>
  <si>
    <t>Tabcorp Holdings Limited</t>
  </si>
  <si>
    <t>TAH.AX</t>
  </si>
  <si>
    <t>Super Retail Group Limited</t>
  </si>
  <si>
    <t>SUL.AX</t>
  </si>
  <si>
    <t>Suncorp Group Limited</t>
  </si>
  <si>
    <t>SUN.AX</t>
  </si>
  <si>
    <t>SUNPH.AX</t>
  </si>
  <si>
    <t>Steadfast Group Limited</t>
  </si>
  <si>
    <t>SDF.AX</t>
  </si>
  <si>
    <t>South32 Limited</t>
  </si>
  <si>
    <t>S32.AX</t>
  </si>
  <si>
    <t>Sonic Healthcare Limited</t>
  </si>
  <si>
    <t>SHL.AX</t>
  </si>
  <si>
    <t>Seven Group Holdings Limited</t>
  </si>
  <si>
    <t>SVW.AX</t>
  </si>
  <si>
    <t>Santos Limited</t>
  </si>
  <si>
    <t>STO.AX</t>
  </si>
  <si>
    <t>RIO Tinto Limited</t>
  </si>
  <si>
    <t>RIO.AX</t>
  </si>
  <si>
    <t>Ridley Corporation Limited</t>
  </si>
  <si>
    <t>RIC.AX</t>
  </si>
  <si>
    <t>Resmed Inc</t>
  </si>
  <si>
    <t>RMD.AX</t>
  </si>
  <si>
    <t>Qv Equities Limited</t>
  </si>
  <si>
    <t>QVE.AX</t>
  </si>
  <si>
    <t>Qualitas Real Estate Income Fund</t>
  </si>
  <si>
    <t>QRI.AX</t>
  </si>
  <si>
    <t>Premier Investments Limited</t>
  </si>
  <si>
    <t>PMV.AX</t>
  </si>
  <si>
    <t>Plato Income Maximiser Limited.</t>
  </si>
  <si>
    <t>PL8.AX</t>
  </si>
  <si>
    <t>Perpetual Limited</t>
  </si>
  <si>
    <t>PPT.AX</t>
  </si>
  <si>
    <t>Over The Wire Holdings Limited</t>
  </si>
  <si>
    <t>OTW.AX</t>
  </si>
  <si>
    <t>Orica Limited</t>
  </si>
  <si>
    <t>ORI.AX</t>
  </si>
  <si>
    <t>Ooh!media Limited</t>
  </si>
  <si>
    <t>OML.AX</t>
  </si>
  <si>
    <t>Oil Search Limited</t>
  </si>
  <si>
    <t>OSH.AX</t>
  </si>
  <si>
    <t>Newcrest Mining Limited</t>
  </si>
  <si>
    <t>NCM.AX</t>
  </si>
  <si>
    <t>National Australia Bank Limited</t>
  </si>
  <si>
    <t>NAB.AX</t>
  </si>
  <si>
    <t>Mineral Resources Limited</t>
  </si>
  <si>
    <t>MIN.AX</t>
  </si>
  <si>
    <t>Metcash Limited</t>
  </si>
  <si>
    <t>MTS.AX</t>
  </si>
  <si>
    <t>Medibank Private Limited Fpo</t>
  </si>
  <si>
    <t>MPL.AX</t>
  </si>
  <si>
    <t>Magellan Financial Group Limited</t>
  </si>
  <si>
    <t>MFG.AX</t>
  </si>
  <si>
    <t>Macquarie Group Limited</t>
  </si>
  <si>
    <t>MQG.AX</t>
  </si>
  <si>
    <t>Link Administration Holdings Limited</t>
  </si>
  <si>
    <t>LNK.AX</t>
  </si>
  <si>
    <t>Lendlease Group</t>
  </si>
  <si>
    <t>LLC.AX</t>
  </si>
  <si>
    <t>Jb Hi-fi Limited</t>
  </si>
  <si>
    <t>JBH.AX</t>
  </si>
  <si>
    <t>Iress Limited</t>
  </si>
  <si>
    <t>IRE.AX</t>
  </si>
  <si>
    <t>IPH Limited</t>
  </si>
  <si>
    <t>IPH.AX</t>
  </si>
  <si>
    <t>Invocare Limited</t>
  </si>
  <si>
    <t>IVC.AX</t>
  </si>
  <si>
    <t>Inghams Group Limited</t>
  </si>
  <si>
    <t>ING.AX</t>
  </si>
  <si>
    <t>Incitec Pivot Limited</t>
  </si>
  <si>
    <t>IPL.AX</t>
  </si>
  <si>
    <t>Harvey Norman Holdings Limited</t>
  </si>
  <si>
    <t>HVN.AX</t>
  </si>
  <si>
    <t>Gryphon Capital Income Trust</t>
  </si>
  <si>
    <t>GCI.AX</t>
  </si>
  <si>
    <t>Fortescue Metals Group Ltd</t>
  </si>
  <si>
    <t>FMG.AX</t>
  </si>
  <si>
    <t>Evolution Mining Limited</t>
  </si>
  <si>
    <t>EVN.AX</t>
  </si>
  <si>
    <t>Endeavour Group Limited</t>
  </si>
  <si>
    <t>EDV.AX</t>
  </si>
  <si>
    <t>Dexus Industria Reit.</t>
  </si>
  <si>
    <t>DXI.AX</t>
  </si>
  <si>
    <t>Deterra Royalties Limited</t>
  </si>
  <si>
    <t>DRR.AX</t>
  </si>
  <si>
    <t>CSL Limited</t>
  </si>
  <si>
    <t>CSL.AX</t>
  </si>
  <si>
    <t>Computershare Limited.</t>
  </si>
  <si>
    <t>CPU.AX</t>
  </si>
  <si>
    <t>Commonwealth Bank Of Australia.</t>
  </si>
  <si>
    <t>CBAPD.AX</t>
  </si>
  <si>
    <t>CBA.AX</t>
  </si>
  <si>
    <t>Commonwealth Bank</t>
  </si>
  <si>
    <t>CBAPG.AX</t>
  </si>
  <si>
    <t>Coles Group Limited.</t>
  </si>
  <si>
    <t>COL.AX</t>
  </si>
  <si>
    <t>Cimic Group Limited</t>
  </si>
  <si>
    <t>CIM.AX</t>
  </si>
  <si>
    <t>Chorus Limited</t>
  </si>
  <si>
    <t>CNU.AX</t>
  </si>
  <si>
    <t>Challenger Limited</t>
  </si>
  <si>
    <t>CGFPC.AX</t>
  </si>
  <si>
    <t>CGF.AX</t>
  </si>
  <si>
    <t>Carsales.com Limited.</t>
  </si>
  <si>
    <t>CAR.AX</t>
  </si>
  <si>
    <t>Brambles Limited</t>
  </si>
  <si>
    <t>BXB.AX</t>
  </si>
  <si>
    <t>Boral Limited.</t>
  </si>
  <si>
    <t>BLD.AX</t>
  </si>
  <si>
    <t>BHP Group Limited</t>
  </si>
  <si>
    <t>BHP.AX</t>
  </si>
  <si>
    <t>Bendigo And Adelaide Bank Limited</t>
  </si>
  <si>
    <t>BEN.AX</t>
  </si>
  <si>
    <t>BENPH.AX</t>
  </si>
  <si>
    <t>Bega Cheese Limited</t>
  </si>
  <si>
    <t>BGA.AX</t>
  </si>
  <si>
    <t>Beach Energy Limited</t>
  </si>
  <si>
    <t>BPT.AX</t>
  </si>
  <si>
    <t>Bank Of Queensland Limited.</t>
  </si>
  <si>
    <t>BOQ.AX</t>
  </si>
  <si>
    <t>Australia And New Zealand Banking Group Limited</t>
  </si>
  <si>
    <t>ANZ.AX</t>
  </si>
  <si>
    <t>Ausnet Services Limited</t>
  </si>
  <si>
    <t>AST.AX</t>
  </si>
  <si>
    <t>Atlas Arteria</t>
  </si>
  <si>
    <t>ALX.AX</t>
  </si>
  <si>
    <t>ASX Limited</t>
  </si>
  <si>
    <t>ASX.AX</t>
  </si>
  <si>
    <t>Aristocrat Leisure Limited</t>
  </si>
  <si>
    <t>ALL.AX</t>
  </si>
  <si>
    <t>Appen Limited</t>
  </si>
  <si>
    <t>APX.AX</t>
  </si>
  <si>
    <t>Ap Eagers Limited</t>
  </si>
  <si>
    <t>APE.AX</t>
  </si>
  <si>
    <t>ANZ Group Capital Notes 2</t>
  </si>
  <si>
    <t>ANZPE.AX</t>
  </si>
  <si>
    <t>Amcor Plc</t>
  </si>
  <si>
    <t>AMC.AX</t>
  </si>
  <si>
    <t>Shares in Listed Companies (Australian)</t>
  </si>
  <si>
    <t>APA_APTIT</t>
  </si>
  <si>
    <t>Managed Investments (Overseas)</t>
  </si>
  <si>
    <t>Interest Received</t>
  </si>
  <si>
    <t>NABPE.AX</t>
  </si>
  <si>
    <t>Crown Resorts Limited</t>
  </si>
  <si>
    <t>CWNHB.AX</t>
  </si>
  <si>
    <t>Hybrid Securities with Debt (Swaps, futures contracts, Options.)</t>
  </si>
  <si>
    <t>Macquarie Bank Limited CAP Note 3</t>
  </si>
  <si>
    <t>MBLPD</t>
  </si>
  <si>
    <t>Fixed Interest Securities (Australian) - Unitised</t>
  </si>
  <si>
    <t>Spdr S&amp;p/asx 200 Fund</t>
  </si>
  <si>
    <t>Distributions Received</t>
  </si>
  <si>
    <t>SMA Cash Account</t>
  </si>
  <si>
    <t>DDH</t>
  </si>
  <si>
    <t>Bank</t>
  </si>
  <si>
    <r>
      <t xml:space="preserve">Foreign Credits </t>
    </r>
    <r>
      <rPr>
        <b/>
        <sz val="8"/>
        <color indexed="8"/>
        <rFont val="Calibri"/>
        <family val="2"/>
      </rPr>
      <t>* 1</t>
    </r>
  </si>
  <si>
    <t>Foreign Income</t>
  </si>
  <si>
    <t>Franking Credits</t>
  </si>
  <si>
    <t>Interest/Other</t>
  </si>
  <si>
    <t>Unfranked</t>
  </si>
  <si>
    <t>Total Income</t>
  </si>
  <si>
    <t>Investment</t>
  </si>
  <si>
    <t>​Non-Assessable Payments​​</t>
    <phoneticPr fontId="1" type="noConversion"/>
  </si>
  <si>
    <t>​Distributed Capital Gains</t>
    <phoneticPr fontId="1" type="noConversion"/>
  </si>
  <si>
    <t>Other Deductions</t>
    <phoneticPr fontId="1" type="noConversion"/>
  </si>
  <si>
    <t>TFN Credits</t>
  </si>
  <si>
    <r>
      <t>Assessable Income (Excl. Capital Gains)</t>
    </r>
    <r>
      <rPr>
        <b/>
        <sz val="8"/>
        <color indexed="8"/>
        <rFont val="Calibri"/>
        <family val="2"/>
      </rPr>
      <t>​*2</t>
    </r>
  </si>
  <si>
    <t>As at 30 June 2022</t>
  </si>
  <si>
    <t>Investment Income Report</t>
  </si>
  <si>
    <t>The Souvlis Family Super Fund</t>
  </si>
  <si>
    <t>Burrells</t>
  </si>
  <si>
    <t>Variance</t>
  </si>
  <si>
    <t>Gross Foreign</t>
  </si>
  <si>
    <t>DRP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</si>
</sst>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;[Black]\(#,##0.00\)"/>
    <numFmt numFmtId="165" formatCode="#,##0.00;[Red]\(#,##0.00\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8"/>
      <color theme="1"/>
      <name val="Calibri Light"/>
      <charset val="134"/>
      <scheme val="major"/>
    </font>
    <font>
      <sz val="8"/>
      <color indexed="8"/>
      <name val="Cambria"/>
      <family val="1"/>
    </font>
    <font>
      <b/>
      <sz val="8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b/>
      <sz val="9"/>
      <color theme="1"/>
      <name val="Calibri"/>
      <charset val="134"/>
      <scheme val="minor"/>
    </font>
    <font>
      <sz val="7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8"/>
      <color indexed="8"/>
      <name val="Calibri"/>
      <family val="2"/>
    </font>
    <font>
      <b/>
      <sz val="16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B0B0B0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/>
    <xf numFmtId="0" fontId="6" fillId="0" borderId="1" xfId="0" applyFont="1" applyBorder="1"/>
    <xf numFmtId="0" fontId="3" fillId="0" borderId="1" xfId="0" applyFont="1" applyBorder="1"/>
    <xf numFmtId="43" fontId="1" fillId="0" borderId="0" xfId="1" applyFont="1"/>
    <xf numFmtId="43" fontId="0" fillId="0" borderId="2" xfId="0" applyNumberFormat="1" applyBorder="1"/>
    <xf numFmtId="43" fontId="1" fillId="2" borderId="0" xfId="1" applyFont="1" applyFill="1"/>
    <xf numFmtId="0" fontId="0" fillId="2" borderId="0" xfId="0" applyFill="1"/>
    <xf numFmtId="0" fontId="5" fillId="0" borderId="0" xfId="0" applyFont="1"/>
    <xf numFmtId="0" fontId="3" fillId="0" borderId="0" xfId="0" applyFont="1"/>
    <xf numFmtId="43" fontId="1" fillId="2" borderId="0" xfId="1" applyFont="1" applyFill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7" fillId="0" borderId="0" xfId="2"/>
    <xf numFmtId="0" fontId="8" fillId="0" borderId="0" xfId="2" applyFont="1"/>
    <xf numFmtId="0" fontId="9" fillId="0" borderId="0" xfId="2" applyFont="1"/>
    <xf numFmtId="0" fontId="11" fillId="0" borderId="0" xfId="2" applyFont="1"/>
    <xf numFmtId="0" fontId="12" fillId="0" borderId="0" xfId="2" applyFont="1"/>
    <xf numFmtId="0" fontId="8" fillId="0" borderId="3" xfId="2" applyFont="1" applyBorder="1"/>
    <xf numFmtId="0" fontId="11" fillId="0" borderId="3" xfId="2" applyFont="1" applyBorder="1"/>
    <xf numFmtId="0" fontId="12" fillId="0" borderId="3" xfId="2" applyFont="1" applyBorder="1"/>
    <xf numFmtId="0" fontId="13" fillId="0" borderId="0" xfId="2" applyFont="1"/>
    <xf numFmtId="0" fontId="14" fillId="0" borderId="0" xfId="2" applyFont="1"/>
    <xf numFmtId="164" fontId="11" fillId="0" borderId="4" xfId="2" applyNumberFormat="1" applyFont="1" applyBorder="1" applyAlignment="1">
      <alignment horizontal="right"/>
    </xf>
    <xf numFmtId="0" fontId="15" fillId="0" borderId="0" xfId="2" applyFont="1"/>
    <xf numFmtId="164" fontId="11" fillId="0" borderId="5" xfId="2" applyNumberFormat="1" applyFont="1" applyBorder="1" applyAlignment="1">
      <alignment horizontal="right"/>
    </xf>
    <xf numFmtId="164" fontId="13" fillId="0" borderId="0" xfId="2" applyNumberFormat="1" applyFont="1" applyAlignment="1">
      <alignment horizontal="right" vertical="top"/>
    </xf>
    <xf numFmtId="0" fontId="16" fillId="0" borderId="0" xfId="2" applyFont="1" applyAlignment="1">
      <alignment vertical="top" wrapText="1"/>
    </xf>
    <xf numFmtId="0" fontId="13" fillId="0" borderId="0" xfId="2" applyFont="1" applyAlignment="1">
      <alignment vertical="top" wrapText="1"/>
    </xf>
    <xf numFmtId="164" fontId="7" fillId="0" borderId="0" xfId="2" applyNumberFormat="1"/>
    <xf numFmtId="165" fontId="7" fillId="0" borderId="0" xfId="2" applyNumberFormat="1"/>
    <xf numFmtId="0" fontId="17" fillId="0" borderId="0" xfId="2" applyFont="1"/>
    <xf numFmtId="0" fontId="15" fillId="0" borderId="6" xfId="2" applyFont="1" applyBorder="1" applyAlignment="1">
      <alignment horizontal="right" vertical="center" wrapText="1"/>
    </xf>
    <xf numFmtId="0" fontId="15" fillId="0" borderId="0" xfId="2" applyFont="1" applyAlignment="1">
      <alignment horizontal="right" vertical="center" wrapText="1"/>
    </xf>
    <xf numFmtId="0" fontId="7" fillId="0" borderId="7" xfId="2" applyBorder="1"/>
    <xf numFmtId="0" fontId="0" fillId="3" borderId="0" xfId="0" applyFill="1"/>
    <xf numFmtId="43" fontId="0" fillId="3" borderId="0" xfId="0" applyNumberFormat="1" applyFill="1"/>
    <xf numFmtId="0" fontId="0" fillId="4" borderId="0" xfId="0" applyFill="1"/>
    <xf numFmtId="4" fontId="7" fillId="0" borderId="0" xfId="2" applyNumberFormat="1"/>
    <xf numFmtId="0" fontId="13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/>
    </xf>
    <xf numFmtId="43" fontId="7" fillId="0" borderId="0" xfId="1" applyFont="1"/>
    <xf numFmtId="0" fontId="15" fillId="0" borderId="0" xfId="2" applyFont="1" applyAlignment="1">
      <alignment horizontal="right" vertical="center" wrapText="1"/>
    </xf>
    <xf numFmtId="0" fontId="15" fillId="0" borderId="6" xfId="2" applyFont="1" applyBorder="1" applyAlignment="1">
      <alignment horizontal="right" vertical="center" wrapText="1"/>
    </xf>
    <xf numFmtId="0" fontId="17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17" fillId="0" borderId="7" xfId="2" applyFont="1" applyBorder="1" applyAlignment="1">
      <alignment horizontal="left"/>
    </xf>
    <xf numFmtId="0" fontId="15" fillId="0" borderId="6" xfId="2" applyFont="1" applyBorder="1" applyAlignment="1">
      <alignment horizontal="left" vertical="center" wrapText="1"/>
    </xf>
  </cellXfs>
  <cellStyles count="3">
    <cellStyle name="Comma" xfId="1" builtinId="3"/>
    <cellStyle name="Normal" xfId="0" builtinId="0"/>
    <cellStyle name="Normal 2" xfId="2" xr:uid="{BE3F456E-BDC3-4FAE-A832-A75038C76195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charset val="134"/>
        <scheme val="minor"/>
      </font>
    </dxf>
    <dxf>
      <fill>
        <patternFill patternType="solid">
          <fgColor indexed="64"/>
          <bgColor theme="4" tint="-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border diagonalUp="0" diagonalDown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border diagonalUp="0" diagonalDown="0" outline="0">
        <left/>
        <right/>
        <top style="thin">
          <color rgb="FFB0B0B0"/>
        </top>
        <bottom/>
      </border>
    </dxf>
    <dxf>
      <border outline="0">
        <top style="medium">
          <color rgb="FF5E5E5E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</dxf>
    <dxf>
      <fill>
        <patternFill patternType="solid">
          <fgColor indexed="64"/>
          <bgColor theme="4" tint="-0.249977111117893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38</xdr:row>
      <xdr:rowOff>190500</xdr:rowOff>
    </xdr:from>
    <xdr:to>
      <xdr:col>10</xdr:col>
      <xdr:colOff>605531</xdr:colOff>
      <xdr:row>60</xdr:row>
      <xdr:rowOff>171450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2D59823-48CC-8A60-7B52-61ADE83538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" y="7877175"/>
          <a:ext cx="10149581" cy="4181475"/>
        </a:xfrm>
        <a:prstGeom prst="rect">
          <a:avLst/>
        </a:prstGeom>
      </xdr:spPr>
    </xdr:pic>
    <xdr:clientData/>
  </xdr:twoCellAnchor>
  <xdr:twoCellAnchor>
    <xdr:from>
      <xdr:col>10</xdr:col>
      <xdr:colOff>600075</xdr:colOff>
      <xdr:row>39</xdr:row>
      <xdr:rowOff>76200</xdr:rowOff>
    </xdr:from>
    <xdr:to>
      <xdr:col>25</xdr:col>
      <xdr:colOff>569727</xdr:colOff>
      <xdr:row>57</xdr:row>
      <xdr:rowOff>123825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EB899B10-E3B1-F08E-484B-D482903EB14E}"/>
            </a:ext>
          </a:extLst>
        </xdr:cNvPr>
        <xdr:cNvGrpSpPr/>
      </xdr:nvGrpSpPr>
      <xdr:grpSpPr>
        <a:xfrm>
          <a:off x="10239375" y="7962900"/>
          <a:ext cx="11056752" cy="3476625"/>
          <a:chOff x="11106150" y="6172200"/>
          <a:chExt cx="14171428" cy="5409665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59276FE4-A9D5-3675-DE92-319C601FD27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115675" y="7305675"/>
            <a:ext cx="14133333" cy="4276190"/>
          </a:xfrm>
          <a:prstGeom prst="rect">
            <a:avLst/>
          </a:prstGeom>
        </xdr:spPr>
      </xdr:pic>
      <xdr:pic>
        <xdr:nvPicPr>
          <xdr:cNvPr id="4" name="Picture 3">
            <a:extLst>
              <a:ext uri="{FF2B5EF4-FFF2-40B4-BE49-F238E27FC236}">
                <a16:creationId xmlns:a16="http://schemas.microsoft.com/office/drawing/2014/main" id="{79F52976-777D-0664-70C2-C3688474197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1106150" y="6172200"/>
            <a:ext cx="14171428" cy="1161905"/>
          </a:xfrm>
          <a:prstGeom prst="rect">
            <a:avLst/>
          </a:prstGeom>
        </xdr:spPr>
      </xdr:pic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CD5BCD-58B3-4BC4-B727-7C4BBF5F46E4}" name="Table1" displayName="Table1" ref="A2:O31" totalsRowShown="0" headerRowDxfId="34" dataDxfId="33" tableBorderDxfId="32">
  <autoFilter ref="A2:O31" xr:uid="{79CD5BCD-58B3-4BC4-B727-7C4BBF5F46E4}"/>
  <tableColumns count="15">
    <tableColumn id="1" xr3:uid="{0900FAE9-84B9-4EE7-8BA1-BEF2D8FB6C7C}" name="Asset" dataDxfId="31"/>
    <tableColumn id="2" xr3:uid="{D7637B66-26AB-4A88-8C55-41477728093B}" name="Interest $" dataDxfId="30"/>
    <tableColumn id="3" xr3:uid="{89726D79-BD27-413E-842D-5441895DBC47}" name="Unfranked $" dataDxfId="29"/>
    <tableColumn id="4" xr3:uid="{01613B4E-777D-4A8A-9482-E4BB7256B590}" name="Franked $" dataDxfId="28"/>
    <tableColumn id="5" xr3:uid="{46195D7D-4962-4A8D-B05F-4826A8281E59}" name="Franking credits entitlement $" dataDxfId="27"/>
    <tableColumn id="7" xr3:uid="{ED2C1F8A-9E19-4B88-9785-C4609FEF9EF5}" name="Other Aust $" dataDxfId="26"/>
    <tableColumn id="8" xr3:uid="{1FB379CB-1E98-4882-B4EF-961A17A727E6}" name="Gross foreign $" dataDxfId="25"/>
    <tableColumn id="10" xr3:uid="{4F57ECB6-8EC8-4DCC-88F8-4D60A9F55BC0}" name="Trust cap gains $" dataDxfId="24"/>
    <tableColumn id="11" xr3:uid="{6B899A11-0342-4A84-B390-E13BABB17008}" name="Non-assess $" dataDxfId="23"/>
    <tableColumn id="12" xr3:uid="{FC1CF2DE-225A-4908-91E9-123D08A9D4B8}" name="Gross excl franking credits $" dataDxfId="22"/>
    <tableColumn id="15" xr3:uid="{38EBB2D8-52F1-43C2-9C8F-F1DB985AD1F8}" name="Foreign taxes $" dataDxfId="21"/>
    <tableColumn id="17" xr3:uid="{9285F619-FFD4-4694-AC4E-8A3B6ADA323C}" name="Assess non- receiv $" dataDxfId="20"/>
    <tableColumn id="18" xr3:uid="{A711A6E7-93BA-4326-8099-E98920BCDCB8}" name="Cash $" dataDxfId="19"/>
    <tableColumn id="20" xr3:uid="{1CC62856-941E-4C4C-8105-4DA968AC2FF6}" name="To be received $" dataDxfId="18"/>
    <tableColumn id="21" xr3:uid="{7412C9A8-2AC5-4FA8-8144-77A955D18A17}" name="Total Distribution" dataDxfId="17">
      <calculatedColumnFormula>Table1[[#This Row],[Cash $]]+Table1[[#This Row],[To be received $]]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33058D-7AED-46F3-9F4A-EA592351881C}" name="Table2" displayName="Table2" ref="A35:O36" totalsRowShown="0" headerRowDxfId="16" dataDxfId="15" dataCellStyle="Comma">
  <autoFilter ref="A35:O36" xr:uid="{3A33058D-7AED-46F3-9F4A-EA592351881C}"/>
  <tableColumns count="15">
    <tableColumn id="1" xr3:uid="{1432FFFA-08E5-45E4-BFF0-7CA98B2FD3F2}" name="Asset" dataDxfId="14" dataCellStyle="Comma"/>
    <tableColumn id="2" xr3:uid="{7DCC9172-C298-4F32-A764-745F92B8C3C4}" name="Interest" dataDxfId="13" dataCellStyle="Comma">
      <calculatedColumnFormula>1761.32+49.09</calculatedColumnFormula>
    </tableColumn>
    <tableColumn id="3" xr3:uid="{44B5B448-5F27-43A6-A01E-682688C9DEE9}" name="Unfranked " dataDxfId="12" dataCellStyle="Comma">
      <calculatedColumnFormula>9410.34+1235.66</calculatedColumnFormula>
    </tableColumn>
    <tableColumn id="4" xr3:uid="{24EF4797-3690-469A-9222-6FD0FF83E921}" name="Franked" dataDxfId="11" dataCellStyle="Comma">
      <calculatedColumnFormula>56478.05+16240.13</calculatedColumnFormula>
    </tableColumn>
    <tableColumn id="5" xr3:uid="{541D0CD0-71A9-4DE8-A0F6-D1AB5F988BF4}" name="Franking creds" dataDxfId="10" dataCellStyle="Comma">
      <calculatedColumnFormula>24204.86+6959.92</calculatedColumnFormula>
    </tableColumn>
    <tableColumn id="6" xr3:uid="{C438AF21-C2C7-4232-AE21-F9681DD22500}" name="Other Aus" dataDxfId="9" dataCellStyle="Comma">
      <calculatedColumnFormula>0+0</calculatedColumnFormula>
    </tableColumn>
    <tableColumn id="7" xr3:uid="{5AD29968-83C4-4B6C-A95B-EAA095FFF47D}" name="Gross foreign" dataDxfId="8" dataCellStyle="Comma">
      <calculatedColumnFormula>1650.42+277.08</calculatedColumnFormula>
    </tableColumn>
    <tableColumn id="8" xr3:uid="{E201498C-D444-432F-907A-7217F66EEF96}" name=" Trust cap gain " dataDxfId="7" dataCellStyle="Comma">
      <calculatedColumnFormula>0+0</calculatedColumnFormula>
    </tableColumn>
    <tableColumn id="9" xr3:uid="{9D119833-1BC2-4A43-AA2D-8710B59E1585}" name="Non assess" dataDxfId="6" dataCellStyle="Comma">
      <calculatedColumnFormula>0+0</calculatedColumnFormula>
    </tableColumn>
    <tableColumn id="10" xr3:uid="{D9C60DCE-6761-4788-9EE5-1D1276669C1B}" name="Gross exc frank creds" dataDxfId="5" dataCellStyle="Comma">
      <calculatedColumnFormula>65888.39+1650.42+1761.32+17475.79+277.08+49.09</calculatedColumnFormula>
    </tableColumn>
    <tableColumn id="11" xr3:uid="{B982306D-865B-490A-8001-D01A93207715}" name="Foreign tax" dataDxfId="4" dataCellStyle="Comma">
      <calculatedColumnFormula>7.35+2.34</calculatedColumnFormula>
    </tableColumn>
    <tableColumn id="12" xr3:uid="{3D3E4C5E-7F29-4E0E-8A9B-1CB90C1EB4BC}" name=" Assess non- receiv " dataDxfId="3" dataCellStyle="Comma">
      <calculatedColumnFormula>0+0</calculatedColumnFormula>
    </tableColumn>
    <tableColumn id="13" xr3:uid="{DADD0365-CFF7-4E40-BEFB-561C6765F52F}" name="cash" dataDxfId="2" dataCellStyle="Comma">
      <calculatedColumnFormula>58924.55+1643.07+1761.32+13815.31+274.74+49.09</calculatedColumnFormula>
    </tableColumn>
    <tableColumn id="14" xr3:uid="{7A76A29A-7845-4BFA-9DBA-341AD37E8AEF}" name="to be received" dataDxfId="1" dataCellStyle="Comma"/>
    <tableColumn id="15" xr3:uid="{04B07DF4-E93E-4D63-8D49-4835EFDC2643}" name="DRP" dataDxfId="0" dataCellStyle="Comma">
      <calculatedColumnFormula>6963.84+3660.48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E7DD5-9ACA-4AD7-8A40-6482F8972E17}">
  <dimension ref="A2:N149"/>
  <sheetViews>
    <sheetView tabSelected="1" workbookViewId="0">
      <pane ySplit="6" topLeftCell="A132" activePane="bottomLeft" state="frozen"/>
      <selection pane="bottomLeft" activeCell="B157" sqref="B157"/>
    </sheetView>
  </sheetViews>
  <sheetFormatPr defaultColWidth="8.85546875" defaultRowHeight="15"/>
  <cols>
    <col min="1" max="1" width="37" style="15" customWidth="1"/>
    <col min="2" max="2" width="22.7109375" style="15" bestFit="1" customWidth="1"/>
    <col min="3" max="3" width="11.5703125" style="15" bestFit="1" customWidth="1"/>
    <col min="4" max="5" width="10.5703125" style="15" bestFit="1" customWidth="1"/>
    <col min="6" max="6" width="11.140625" style="15" bestFit="1" customWidth="1"/>
    <col min="7" max="7" width="10.5703125" style="15" bestFit="1" customWidth="1"/>
    <col min="8" max="8" width="9.5703125" style="15" bestFit="1" customWidth="1"/>
    <col min="9" max="9" width="11.140625" style="15" customWidth="1"/>
    <col min="10" max="10" width="28.28515625" style="15" bestFit="1" customWidth="1"/>
    <col min="11" max="11" width="9.140625" style="15" bestFit="1" customWidth="1"/>
    <col min="12" max="12" width="13.42578125" style="15" bestFit="1" customWidth="1"/>
    <col min="13" max="13" width="18.85546875" style="15" bestFit="1" customWidth="1"/>
    <col min="14" max="14" width="19.85546875" style="15" bestFit="1" customWidth="1"/>
    <col min="15" max="16384" width="8.85546875" style="15"/>
  </cols>
  <sheetData>
    <row r="2" spans="1:14">
      <c r="A2" s="47" t="s">
        <v>290</v>
      </c>
      <c r="B2" s="47"/>
      <c r="C2" s="47"/>
      <c r="D2" s="47"/>
      <c r="E2" s="47"/>
      <c r="F2" s="47"/>
    </row>
    <row r="3" spans="1:14" ht="21">
      <c r="A3" s="48" t="s">
        <v>289</v>
      </c>
      <c r="B3" s="48"/>
      <c r="C3" s="48"/>
      <c r="D3" s="48"/>
      <c r="E3" s="48"/>
      <c r="F3" s="48"/>
    </row>
    <row r="4" spans="1:14" ht="15.75" thickBot="1">
      <c r="A4" s="49" t="s">
        <v>288</v>
      </c>
      <c r="B4" s="49"/>
      <c r="C4" s="49"/>
      <c r="D4" s="49"/>
      <c r="E4" s="49"/>
      <c r="F4" s="49"/>
      <c r="G4" s="36"/>
      <c r="H4" s="36"/>
      <c r="I4" s="36"/>
      <c r="J4" s="36"/>
      <c r="K4" s="36"/>
      <c r="L4" s="36"/>
      <c r="M4" s="36"/>
      <c r="N4" s="36"/>
    </row>
    <row r="5" spans="1:14">
      <c r="A5" s="35"/>
      <c r="B5" s="35"/>
      <c r="C5" s="35"/>
      <c r="D5" s="35"/>
      <c r="E5" s="35"/>
      <c r="F5" s="35"/>
      <c r="G5" s="35"/>
      <c r="H5" s="35"/>
      <c r="I5" s="35"/>
      <c r="J5" s="45" t="s">
        <v>287</v>
      </c>
      <c r="K5" s="45" t="s">
        <v>286</v>
      </c>
      <c r="L5" s="45" t="s">
        <v>285</v>
      </c>
      <c r="M5" s="45" t="s">
        <v>284</v>
      </c>
      <c r="N5" s="45" t="s">
        <v>283</v>
      </c>
    </row>
    <row r="6" spans="1:14" ht="24.75" thickBot="1">
      <c r="A6" s="50" t="s">
        <v>282</v>
      </c>
      <c r="B6" s="50"/>
      <c r="C6" s="34" t="s">
        <v>281</v>
      </c>
      <c r="D6" s="34" t="s">
        <v>41</v>
      </c>
      <c r="E6" s="34" t="s">
        <v>280</v>
      </c>
      <c r="F6" s="34" t="s">
        <v>279</v>
      </c>
      <c r="G6" s="34" t="s">
        <v>278</v>
      </c>
      <c r="H6" s="34" t="s">
        <v>277</v>
      </c>
      <c r="I6" s="34" t="s">
        <v>276</v>
      </c>
      <c r="J6" s="46"/>
      <c r="K6" s="46"/>
      <c r="L6" s="46"/>
      <c r="M6" s="46"/>
      <c r="N6" s="46"/>
    </row>
    <row r="7" spans="1:14">
      <c r="A7" s="26" t="s">
        <v>275</v>
      </c>
      <c r="B7" s="26"/>
      <c r="H7" s="32"/>
      <c r="N7" s="31"/>
    </row>
    <row r="8" spans="1:14">
      <c r="A8" s="30"/>
      <c r="B8" s="29" t="s">
        <v>274</v>
      </c>
      <c r="C8" s="28">
        <v>681.73</v>
      </c>
      <c r="D8" s="28">
        <v>0</v>
      </c>
      <c r="E8" s="28">
        <v>0</v>
      </c>
      <c r="F8" s="28">
        <v>681.73</v>
      </c>
      <c r="G8" s="28">
        <v>0</v>
      </c>
      <c r="H8" s="28">
        <v>0</v>
      </c>
      <c r="I8" s="28">
        <v>0</v>
      </c>
      <c r="J8" s="28">
        <v>681.73</v>
      </c>
      <c r="K8" s="28">
        <v>0</v>
      </c>
      <c r="L8" s="28"/>
      <c r="M8" s="28">
        <v>0</v>
      </c>
      <c r="N8" s="28">
        <v>0</v>
      </c>
    </row>
    <row r="9" spans="1:14" ht="15.75" thickBot="1">
      <c r="A9" s="30"/>
      <c r="B9" s="29" t="s">
        <v>273</v>
      </c>
      <c r="C9" s="28">
        <v>16.82</v>
      </c>
      <c r="D9" s="28"/>
      <c r="E9" s="28"/>
      <c r="F9" s="28">
        <v>16.82</v>
      </c>
      <c r="G9" s="28">
        <v>0</v>
      </c>
      <c r="H9" s="28">
        <v>0</v>
      </c>
      <c r="I9" s="28">
        <v>0</v>
      </c>
      <c r="J9" s="28">
        <v>16.82</v>
      </c>
      <c r="K9" s="28"/>
      <c r="L9" s="28"/>
      <c r="M9" s="28">
        <v>0</v>
      </c>
      <c r="N9" s="28">
        <v>0</v>
      </c>
    </row>
    <row r="10" spans="1:14">
      <c r="A10" s="26"/>
      <c r="B10" s="24"/>
      <c r="C10" s="27">
        <f t="shared" ref="C10:N10" si="0">SUM(C8:C9)</f>
        <v>698.55000000000007</v>
      </c>
      <c r="D10" s="27">
        <f t="shared" si="0"/>
        <v>0</v>
      </c>
      <c r="E10" s="27">
        <f t="shared" si="0"/>
        <v>0</v>
      </c>
      <c r="F10" s="27">
        <f t="shared" si="0"/>
        <v>698.55000000000007</v>
      </c>
      <c r="G10" s="27">
        <f t="shared" si="0"/>
        <v>0</v>
      </c>
      <c r="H10" s="27">
        <f t="shared" si="0"/>
        <v>0</v>
      </c>
      <c r="I10" s="27">
        <f t="shared" si="0"/>
        <v>0</v>
      </c>
      <c r="J10" s="27">
        <f t="shared" si="0"/>
        <v>698.55000000000007</v>
      </c>
      <c r="K10" s="27">
        <f t="shared" si="0"/>
        <v>0</v>
      </c>
      <c r="L10" s="27">
        <f t="shared" si="0"/>
        <v>0</v>
      </c>
      <c r="M10" s="27">
        <f t="shared" si="0"/>
        <v>0</v>
      </c>
      <c r="N10" s="27">
        <f t="shared" si="0"/>
        <v>0</v>
      </c>
    </row>
    <row r="11" spans="1:14">
      <c r="A11" s="26" t="s">
        <v>272</v>
      </c>
      <c r="B11" s="26"/>
      <c r="H11" s="32"/>
      <c r="N11" s="31"/>
    </row>
    <row r="12" spans="1:14" ht="15.75" thickBot="1">
      <c r="A12" s="30"/>
      <c r="B12" s="29" t="s">
        <v>271</v>
      </c>
      <c r="C12" s="28">
        <v>79.55</v>
      </c>
      <c r="D12" s="28">
        <v>43.41</v>
      </c>
      <c r="E12" s="28">
        <v>1.72</v>
      </c>
      <c r="F12" s="28">
        <v>1.62</v>
      </c>
      <c r="G12" s="28">
        <v>18.850000000000001</v>
      </c>
      <c r="H12" s="28">
        <v>0.99</v>
      </c>
      <c r="I12" s="28">
        <v>0.03</v>
      </c>
      <c r="J12" s="28">
        <v>66.62</v>
      </c>
      <c r="K12" s="28"/>
      <c r="L12" s="28">
        <v>0</v>
      </c>
      <c r="M12" s="28">
        <v>30.54</v>
      </c>
      <c r="N12" s="28">
        <v>1.27</v>
      </c>
    </row>
    <row r="13" spans="1:14">
      <c r="A13" s="26"/>
      <c r="B13" s="24"/>
      <c r="C13" s="27">
        <f t="shared" ref="C13:N13" si="1">SUM(C12)</f>
        <v>79.55</v>
      </c>
      <c r="D13" s="27">
        <f t="shared" si="1"/>
        <v>43.41</v>
      </c>
      <c r="E13" s="27">
        <f t="shared" si="1"/>
        <v>1.72</v>
      </c>
      <c r="F13" s="27">
        <f t="shared" si="1"/>
        <v>1.62</v>
      </c>
      <c r="G13" s="27">
        <f t="shared" si="1"/>
        <v>18.850000000000001</v>
      </c>
      <c r="H13" s="27">
        <f t="shared" si="1"/>
        <v>0.99</v>
      </c>
      <c r="I13" s="27">
        <f t="shared" si="1"/>
        <v>0.03</v>
      </c>
      <c r="J13" s="27">
        <f t="shared" si="1"/>
        <v>66.62</v>
      </c>
      <c r="K13" s="27">
        <f t="shared" si="1"/>
        <v>0</v>
      </c>
      <c r="L13" s="27">
        <f t="shared" si="1"/>
        <v>0</v>
      </c>
      <c r="M13" s="27">
        <f t="shared" si="1"/>
        <v>30.54</v>
      </c>
      <c r="N13" s="27">
        <f t="shared" si="1"/>
        <v>1.27</v>
      </c>
    </row>
    <row r="14" spans="1:14">
      <c r="A14" s="26" t="s">
        <v>270</v>
      </c>
      <c r="B14" s="26"/>
      <c r="H14" s="32"/>
      <c r="N14" s="31"/>
    </row>
    <row r="15" spans="1:14" customFormat="1" ht="15.75" thickBot="1">
      <c r="A15" s="41" t="s">
        <v>269</v>
      </c>
      <c r="B15" s="42" t="s">
        <v>268</v>
      </c>
      <c r="C15" s="43">
        <v>295.47000000000003</v>
      </c>
      <c r="D15" s="43">
        <v>118.19</v>
      </c>
      <c r="E15" s="43">
        <v>177.28</v>
      </c>
      <c r="F15" s="43"/>
      <c r="G15" s="43">
        <v>50.65</v>
      </c>
      <c r="H15" s="43"/>
      <c r="I15" s="43"/>
      <c r="J15" s="43">
        <v>346.12</v>
      </c>
      <c r="K15" s="43"/>
      <c r="L15" s="43">
        <v>0</v>
      </c>
      <c r="M15" s="43"/>
      <c r="N15" s="43"/>
    </row>
    <row r="16" spans="1:14" s="33" customFormat="1">
      <c r="A16" s="26"/>
      <c r="B16" s="24"/>
      <c r="C16" s="27">
        <f t="shared" ref="C16:N16" si="2">SUM(C15)</f>
        <v>295.47000000000003</v>
      </c>
      <c r="D16" s="27">
        <f t="shared" si="2"/>
        <v>118.19</v>
      </c>
      <c r="E16" s="27">
        <f t="shared" si="2"/>
        <v>177.28</v>
      </c>
      <c r="F16" s="27">
        <f t="shared" si="2"/>
        <v>0</v>
      </c>
      <c r="G16" s="27">
        <f t="shared" si="2"/>
        <v>50.65</v>
      </c>
      <c r="H16" s="27">
        <f t="shared" si="2"/>
        <v>0</v>
      </c>
      <c r="I16" s="27">
        <f t="shared" si="2"/>
        <v>0</v>
      </c>
      <c r="J16" s="27">
        <f t="shared" si="2"/>
        <v>346.12</v>
      </c>
      <c r="K16" s="27">
        <f t="shared" si="2"/>
        <v>0</v>
      </c>
      <c r="L16" s="27">
        <f t="shared" si="2"/>
        <v>0</v>
      </c>
      <c r="M16" s="27">
        <f t="shared" si="2"/>
        <v>0</v>
      </c>
      <c r="N16" s="27">
        <f t="shared" si="2"/>
        <v>0</v>
      </c>
    </row>
    <row r="17" spans="1:14">
      <c r="A17" s="26" t="s">
        <v>267</v>
      </c>
      <c r="B17" s="26"/>
      <c r="H17" s="32"/>
      <c r="N17" s="31"/>
    </row>
    <row r="18" spans="1:14">
      <c r="A18" s="30" t="s">
        <v>266</v>
      </c>
      <c r="B18" s="29" t="s">
        <v>265</v>
      </c>
      <c r="C18" s="28">
        <v>400</v>
      </c>
      <c r="D18" s="28">
        <v>0</v>
      </c>
      <c r="E18" s="28">
        <v>0</v>
      </c>
      <c r="F18" s="28">
        <v>400</v>
      </c>
      <c r="G18" s="28">
        <v>0</v>
      </c>
      <c r="H18" s="28">
        <v>0</v>
      </c>
      <c r="I18" s="28">
        <v>0</v>
      </c>
      <c r="J18" s="28">
        <v>400</v>
      </c>
      <c r="K18" s="28">
        <v>0</v>
      </c>
      <c r="L18" s="28"/>
      <c r="M18" s="28">
        <v>0</v>
      </c>
      <c r="N18" s="28">
        <v>0</v>
      </c>
    </row>
    <row r="19" spans="1:14" ht="15.75" thickBot="1">
      <c r="A19" s="30" t="s">
        <v>264</v>
      </c>
      <c r="B19" s="29" t="s">
        <v>165</v>
      </c>
      <c r="C19" s="28">
        <v>679.59</v>
      </c>
      <c r="D19" s="28">
        <v>0</v>
      </c>
      <c r="E19" s="28">
        <v>0</v>
      </c>
      <c r="F19" s="28">
        <v>679.59</v>
      </c>
      <c r="G19" s="28">
        <v>0</v>
      </c>
      <c r="H19" s="28">
        <v>0</v>
      </c>
      <c r="I19" s="28">
        <v>0</v>
      </c>
      <c r="J19" s="28">
        <v>679.59</v>
      </c>
      <c r="K19" s="28">
        <v>0</v>
      </c>
      <c r="L19" s="28"/>
      <c r="M19" s="28">
        <v>0</v>
      </c>
      <c r="N19" s="28">
        <v>0</v>
      </c>
    </row>
    <row r="20" spans="1:14">
      <c r="A20" s="26"/>
      <c r="B20" s="24"/>
      <c r="C20" s="27">
        <f t="shared" ref="C20:N20" si="3">SUM(C18:C19)</f>
        <v>1079.5900000000001</v>
      </c>
      <c r="D20" s="27">
        <f t="shared" si="3"/>
        <v>0</v>
      </c>
      <c r="E20" s="27">
        <f t="shared" si="3"/>
        <v>0</v>
      </c>
      <c r="F20" s="27">
        <f t="shared" si="3"/>
        <v>1079.5900000000001</v>
      </c>
      <c r="G20" s="27">
        <f t="shared" si="3"/>
        <v>0</v>
      </c>
      <c r="H20" s="27">
        <f t="shared" si="3"/>
        <v>0</v>
      </c>
      <c r="I20" s="27">
        <f t="shared" si="3"/>
        <v>0</v>
      </c>
      <c r="J20" s="27">
        <f t="shared" si="3"/>
        <v>1079.5900000000001</v>
      </c>
      <c r="K20" s="27">
        <f t="shared" si="3"/>
        <v>0</v>
      </c>
      <c r="L20" s="27">
        <f t="shared" si="3"/>
        <v>0</v>
      </c>
      <c r="M20" s="27">
        <f t="shared" si="3"/>
        <v>0</v>
      </c>
      <c r="N20" s="27">
        <f t="shared" si="3"/>
        <v>0</v>
      </c>
    </row>
    <row r="21" spans="1:14">
      <c r="A21" s="26" t="s">
        <v>263</v>
      </c>
      <c r="B21" s="26"/>
      <c r="H21" s="32"/>
      <c r="N21" s="31"/>
    </row>
    <row r="22" spans="1:14" ht="15.75" thickBot="1">
      <c r="A22" s="30"/>
      <c r="B22" s="29" t="s">
        <v>71</v>
      </c>
      <c r="C22" s="28">
        <v>32.270000000000003</v>
      </c>
      <c r="D22" s="28"/>
      <c r="E22" s="28"/>
      <c r="F22" s="28">
        <v>32.270000000000003</v>
      </c>
      <c r="G22" s="28">
        <v>0</v>
      </c>
      <c r="H22" s="28">
        <v>0</v>
      </c>
      <c r="I22" s="28">
        <v>0</v>
      </c>
      <c r="J22" s="28">
        <v>32.270000000000003</v>
      </c>
      <c r="K22" s="28"/>
      <c r="L22" s="28"/>
      <c r="M22" s="28">
        <v>0</v>
      </c>
      <c r="N22" s="28">
        <v>0</v>
      </c>
    </row>
    <row r="23" spans="1:14">
      <c r="A23" s="26"/>
      <c r="B23" s="24"/>
      <c r="C23" s="27">
        <f t="shared" ref="C23:N23" si="4">SUM(C22)</f>
        <v>32.270000000000003</v>
      </c>
      <c r="D23" s="27">
        <f t="shared" si="4"/>
        <v>0</v>
      </c>
      <c r="E23" s="27">
        <f t="shared" si="4"/>
        <v>0</v>
      </c>
      <c r="F23" s="27">
        <f t="shared" si="4"/>
        <v>32.270000000000003</v>
      </c>
      <c r="G23" s="27">
        <f t="shared" si="4"/>
        <v>0</v>
      </c>
      <c r="H23" s="27">
        <f t="shared" si="4"/>
        <v>0</v>
      </c>
      <c r="I23" s="27">
        <f t="shared" si="4"/>
        <v>0</v>
      </c>
      <c r="J23" s="27">
        <f t="shared" si="4"/>
        <v>32.270000000000003</v>
      </c>
      <c r="K23" s="27">
        <f t="shared" si="4"/>
        <v>0</v>
      </c>
      <c r="L23" s="27">
        <f t="shared" si="4"/>
        <v>0</v>
      </c>
      <c r="M23" s="27">
        <f t="shared" si="4"/>
        <v>0</v>
      </c>
      <c r="N23" s="27">
        <f t="shared" si="4"/>
        <v>0</v>
      </c>
    </row>
    <row r="24" spans="1:14">
      <c r="A24" s="26" t="s">
        <v>262</v>
      </c>
      <c r="B24" s="26"/>
      <c r="H24" s="32"/>
      <c r="N24" s="31"/>
    </row>
    <row r="25" spans="1:14" ht="15.75" thickBot="1">
      <c r="A25" s="30" t="s">
        <v>261</v>
      </c>
      <c r="B25" s="29" t="s">
        <v>261</v>
      </c>
      <c r="C25" s="28">
        <v>184.34</v>
      </c>
      <c r="D25" s="28"/>
      <c r="E25" s="28"/>
      <c r="F25" s="28">
        <v>65.64</v>
      </c>
      <c r="G25" s="28">
        <v>0</v>
      </c>
      <c r="H25" s="28">
        <v>0</v>
      </c>
      <c r="I25" s="28">
        <v>0</v>
      </c>
      <c r="J25" s="28">
        <v>65.64</v>
      </c>
      <c r="K25" s="28"/>
      <c r="L25" s="28">
        <v>0</v>
      </c>
      <c r="M25" s="28">
        <v>0</v>
      </c>
      <c r="N25" s="28">
        <v>118.7</v>
      </c>
    </row>
    <row r="26" spans="1:14">
      <c r="A26" s="26"/>
      <c r="B26" s="24"/>
      <c r="C26" s="27">
        <f t="shared" ref="C26:N26" si="5">SUM(C25)</f>
        <v>184.34</v>
      </c>
      <c r="D26" s="27">
        <f t="shared" si="5"/>
        <v>0</v>
      </c>
      <c r="E26" s="27">
        <f t="shared" si="5"/>
        <v>0</v>
      </c>
      <c r="F26" s="27">
        <f t="shared" si="5"/>
        <v>65.64</v>
      </c>
      <c r="G26" s="27">
        <f t="shared" si="5"/>
        <v>0</v>
      </c>
      <c r="H26" s="27">
        <f t="shared" si="5"/>
        <v>0</v>
      </c>
      <c r="I26" s="27">
        <f t="shared" si="5"/>
        <v>0</v>
      </c>
      <c r="J26" s="27">
        <f t="shared" si="5"/>
        <v>65.64</v>
      </c>
      <c r="K26" s="27">
        <f t="shared" si="5"/>
        <v>0</v>
      </c>
      <c r="L26" s="27">
        <f t="shared" si="5"/>
        <v>0</v>
      </c>
      <c r="M26" s="27">
        <f t="shared" si="5"/>
        <v>0</v>
      </c>
      <c r="N26" s="27">
        <f t="shared" si="5"/>
        <v>118.7</v>
      </c>
    </row>
    <row r="27" spans="1:14">
      <c r="A27" s="26" t="s">
        <v>260</v>
      </c>
      <c r="B27" s="26"/>
      <c r="H27" s="32"/>
      <c r="N27" s="31"/>
    </row>
    <row r="28" spans="1:14" customFormat="1">
      <c r="A28" s="41" t="s">
        <v>259</v>
      </c>
      <c r="B28" s="42" t="s">
        <v>258</v>
      </c>
      <c r="C28" s="43">
        <v>1410.31</v>
      </c>
      <c r="D28" s="43">
        <v>0</v>
      </c>
      <c r="E28" s="43">
        <v>0</v>
      </c>
      <c r="F28" s="43"/>
      <c r="G28" s="43">
        <v>0</v>
      </c>
      <c r="H28" s="43">
        <v>1410.31</v>
      </c>
      <c r="I28" s="43">
        <v>0</v>
      </c>
      <c r="J28" s="43">
        <v>1410.31</v>
      </c>
      <c r="K28" s="43">
        <v>0</v>
      </c>
      <c r="L28" s="43">
        <v>0</v>
      </c>
      <c r="M28" s="43"/>
      <c r="N28" s="43"/>
    </row>
    <row r="29" spans="1:14" customFormat="1">
      <c r="A29" s="41" t="s">
        <v>257</v>
      </c>
      <c r="B29" s="42" t="s">
        <v>256</v>
      </c>
      <c r="C29" s="43">
        <v>578.66</v>
      </c>
      <c r="D29" s="43">
        <v>578.66</v>
      </c>
      <c r="E29" s="43">
        <v>0</v>
      </c>
      <c r="F29" s="43"/>
      <c r="G29" s="43">
        <v>248</v>
      </c>
      <c r="H29" s="43"/>
      <c r="I29" s="43"/>
      <c r="J29" s="43">
        <v>826.66</v>
      </c>
      <c r="K29" s="43"/>
      <c r="L29" s="43">
        <v>0</v>
      </c>
      <c r="M29" s="43"/>
      <c r="N29" s="43"/>
    </row>
    <row r="30" spans="1:14" customFormat="1">
      <c r="A30" s="41" t="s">
        <v>255</v>
      </c>
      <c r="B30" s="42" t="s">
        <v>254</v>
      </c>
      <c r="C30" s="43">
        <v>16.579999999999998</v>
      </c>
      <c r="D30" s="43">
        <v>16.579999999999998</v>
      </c>
      <c r="E30" s="43">
        <v>0</v>
      </c>
      <c r="F30" s="43"/>
      <c r="G30" s="43">
        <v>7.11</v>
      </c>
      <c r="H30" s="43"/>
      <c r="I30" s="43"/>
      <c r="J30" s="43">
        <v>23.69</v>
      </c>
      <c r="K30" s="43"/>
      <c r="L30" s="43">
        <v>0</v>
      </c>
      <c r="M30" s="43"/>
      <c r="N30" s="43"/>
    </row>
    <row r="31" spans="1:14" customFormat="1">
      <c r="A31" s="41" t="s">
        <v>253</v>
      </c>
      <c r="B31" s="42" t="s">
        <v>252</v>
      </c>
      <c r="C31" s="43">
        <v>15.51</v>
      </c>
      <c r="D31" s="43">
        <v>7.75</v>
      </c>
      <c r="E31" s="43">
        <v>7.76</v>
      </c>
      <c r="F31" s="43"/>
      <c r="G31" s="43">
        <v>3.33</v>
      </c>
      <c r="H31" s="43"/>
      <c r="I31" s="43"/>
      <c r="J31" s="43">
        <v>18.84</v>
      </c>
      <c r="K31" s="43"/>
      <c r="L31" s="43">
        <v>0</v>
      </c>
      <c r="M31" s="43"/>
      <c r="N31" s="43"/>
    </row>
    <row r="32" spans="1:14" customFormat="1">
      <c r="A32" s="41" t="s">
        <v>251</v>
      </c>
      <c r="B32" s="42" t="s">
        <v>250</v>
      </c>
      <c r="C32" s="43">
        <v>16.510000000000002</v>
      </c>
      <c r="D32" s="43">
        <v>16.510000000000002</v>
      </c>
      <c r="E32" s="43">
        <v>0</v>
      </c>
      <c r="F32" s="43"/>
      <c r="G32" s="43">
        <v>7.08</v>
      </c>
      <c r="H32" s="43"/>
      <c r="I32" s="43"/>
      <c r="J32" s="43">
        <v>23.59</v>
      </c>
      <c r="K32" s="43"/>
      <c r="L32" s="43">
        <v>0</v>
      </c>
      <c r="M32" s="43"/>
      <c r="N32" s="43"/>
    </row>
    <row r="33" spans="1:14" customFormat="1">
      <c r="A33" s="41" t="s">
        <v>249</v>
      </c>
      <c r="B33" s="42" t="s">
        <v>248</v>
      </c>
      <c r="C33" s="43">
        <v>106.82</v>
      </c>
      <c r="D33" s="43">
        <v>106.82</v>
      </c>
      <c r="E33" s="43">
        <v>0</v>
      </c>
      <c r="F33" s="43"/>
      <c r="G33" s="43">
        <v>45.78</v>
      </c>
      <c r="H33" s="43"/>
      <c r="I33" s="43"/>
      <c r="J33" s="43">
        <v>152.6</v>
      </c>
      <c r="K33" s="43"/>
      <c r="L33" s="43">
        <v>0</v>
      </c>
      <c r="M33" s="43"/>
      <c r="N33" s="43"/>
    </row>
    <row r="34" spans="1:14" customFormat="1">
      <c r="A34" s="41" t="s">
        <v>247</v>
      </c>
      <c r="B34" s="42" t="s">
        <v>246</v>
      </c>
      <c r="C34" s="43">
        <v>66.239999999999995</v>
      </c>
      <c r="D34" s="43"/>
      <c r="E34" s="43"/>
      <c r="F34" s="43"/>
      <c r="G34" s="43">
        <v>0</v>
      </c>
      <c r="H34" s="43">
        <v>66.239999999999995</v>
      </c>
      <c r="I34" s="43">
        <v>0</v>
      </c>
      <c r="J34" s="43">
        <v>66.239999999999995</v>
      </c>
      <c r="K34" s="43"/>
      <c r="L34" s="43">
        <v>0</v>
      </c>
      <c r="M34" s="43">
        <v>0</v>
      </c>
      <c r="N34" s="43">
        <v>0</v>
      </c>
    </row>
    <row r="35" spans="1:14" customFormat="1">
      <c r="A35" s="41" t="s">
        <v>245</v>
      </c>
      <c r="B35" s="42" t="s">
        <v>244</v>
      </c>
      <c r="C35" s="43">
        <v>27.08</v>
      </c>
      <c r="D35" s="43"/>
      <c r="E35" s="43">
        <v>27.08</v>
      </c>
      <c r="F35" s="43"/>
      <c r="G35" s="43"/>
      <c r="H35" s="43"/>
      <c r="I35" s="43"/>
      <c r="J35" s="43">
        <v>27.08</v>
      </c>
      <c r="K35" s="43"/>
      <c r="L35" s="43">
        <v>0</v>
      </c>
      <c r="M35" s="43"/>
      <c r="N35" s="43"/>
    </row>
    <row r="36" spans="1:14" customFormat="1" ht="18">
      <c r="A36" s="41" t="s">
        <v>243</v>
      </c>
      <c r="B36" s="42" t="s">
        <v>242</v>
      </c>
      <c r="C36" s="43">
        <v>3676.1</v>
      </c>
      <c r="D36" s="43">
        <v>3676.1</v>
      </c>
      <c r="E36" s="43">
        <v>0</v>
      </c>
      <c r="F36" s="43"/>
      <c r="G36" s="43">
        <v>1575.47</v>
      </c>
      <c r="H36" s="43">
        <v>0</v>
      </c>
      <c r="I36" s="43">
        <v>0</v>
      </c>
      <c r="J36" s="43">
        <v>5251.57</v>
      </c>
      <c r="K36" s="43">
        <v>0</v>
      </c>
      <c r="L36" s="43">
        <v>0</v>
      </c>
      <c r="M36" s="43"/>
      <c r="N36" s="43"/>
    </row>
    <row r="37" spans="1:14" customFormat="1">
      <c r="A37" s="41" t="s">
        <v>241</v>
      </c>
      <c r="B37" s="42" t="s">
        <v>240</v>
      </c>
      <c r="C37" s="43">
        <v>1818.96</v>
      </c>
      <c r="D37" s="43">
        <v>1818.96</v>
      </c>
      <c r="E37" s="43">
        <v>0</v>
      </c>
      <c r="F37" s="43"/>
      <c r="G37" s="43">
        <v>779.54</v>
      </c>
      <c r="H37" s="43">
        <v>0</v>
      </c>
      <c r="I37" s="43">
        <v>0</v>
      </c>
      <c r="J37" s="43">
        <v>2598.5</v>
      </c>
      <c r="K37" s="43">
        <v>0</v>
      </c>
      <c r="L37" s="43">
        <v>0</v>
      </c>
      <c r="M37" s="43"/>
      <c r="N37" s="43"/>
    </row>
    <row r="38" spans="1:14" customFormat="1">
      <c r="A38" s="41" t="s">
        <v>239</v>
      </c>
      <c r="B38" s="42" t="s">
        <v>238</v>
      </c>
      <c r="C38" s="43">
        <v>197.52</v>
      </c>
      <c r="D38" s="43">
        <v>197.52</v>
      </c>
      <c r="E38" s="43">
        <v>0</v>
      </c>
      <c r="F38" s="43"/>
      <c r="G38" s="43">
        <v>84.66</v>
      </c>
      <c r="H38" s="43">
        <v>0</v>
      </c>
      <c r="I38" s="43">
        <v>0</v>
      </c>
      <c r="J38" s="43">
        <v>282.18</v>
      </c>
      <c r="K38" s="43">
        <v>0</v>
      </c>
      <c r="L38" s="43">
        <v>0</v>
      </c>
      <c r="M38" s="43"/>
      <c r="N38" s="43"/>
    </row>
    <row r="39" spans="1:14" customFormat="1">
      <c r="A39" s="41" t="s">
        <v>237</v>
      </c>
      <c r="B39" s="42" t="s">
        <v>236</v>
      </c>
      <c r="C39" s="43">
        <v>175.67</v>
      </c>
      <c r="D39" s="43">
        <v>175.67</v>
      </c>
      <c r="E39" s="43">
        <v>0</v>
      </c>
      <c r="F39" s="43"/>
      <c r="G39" s="43">
        <v>75.28</v>
      </c>
      <c r="H39" s="43">
        <v>0</v>
      </c>
      <c r="I39" s="43">
        <v>0</v>
      </c>
      <c r="J39" s="43">
        <v>250.95</v>
      </c>
      <c r="K39" s="43">
        <v>0</v>
      </c>
      <c r="L39" s="43">
        <v>0</v>
      </c>
      <c r="M39" s="43"/>
      <c r="N39" s="43"/>
    </row>
    <row r="40" spans="1:14" customFormat="1">
      <c r="A40" s="41" t="s">
        <v>235</v>
      </c>
      <c r="B40" s="42" t="s">
        <v>233</v>
      </c>
      <c r="C40" s="43">
        <v>334.98</v>
      </c>
      <c r="D40" s="43">
        <v>334.98</v>
      </c>
      <c r="E40" s="43">
        <v>0</v>
      </c>
      <c r="F40" s="43"/>
      <c r="G40" s="43">
        <v>143.56</v>
      </c>
      <c r="H40" s="43"/>
      <c r="I40" s="43"/>
      <c r="J40" s="43">
        <v>478.54</v>
      </c>
      <c r="K40" s="43"/>
      <c r="L40" s="43">
        <v>0</v>
      </c>
      <c r="M40" s="43"/>
      <c r="N40" s="43"/>
    </row>
    <row r="41" spans="1:14" customFormat="1">
      <c r="A41" s="41" t="s">
        <v>234</v>
      </c>
      <c r="B41" s="42" t="s">
        <v>233</v>
      </c>
      <c r="C41" s="43">
        <v>530</v>
      </c>
      <c r="D41" s="43">
        <v>530</v>
      </c>
      <c r="E41" s="43">
        <v>0</v>
      </c>
      <c r="F41" s="43"/>
      <c r="G41" s="43">
        <v>227.14</v>
      </c>
      <c r="H41" s="43">
        <v>0</v>
      </c>
      <c r="I41" s="43">
        <v>0</v>
      </c>
      <c r="J41" s="43">
        <v>757.14</v>
      </c>
      <c r="K41" s="43">
        <v>0</v>
      </c>
      <c r="L41" s="43">
        <v>0</v>
      </c>
      <c r="M41" s="43"/>
      <c r="N41" s="43"/>
    </row>
    <row r="42" spans="1:14" customFormat="1">
      <c r="A42" s="41" t="s">
        <v>232</v>
      </c>
      <c r="B42" s="42" t="s">
        <v>231</v>
      </c>
      <c r="C42" s="43">
        <v>19748.98</v>
      </c>
      <c r="D42" s="43">
        <v>19748.98</v>
      </c>
      <c r="E42" s="43">
        <v>0</v>
      </c>
      <c r="F42" s="43"/>
      <c r="G42" s="43">
        <v>8463.85</v>
      </c>
      <c r="H42" s="43">
        <v>0</v>
      </c>
      <c r="I42" s="43">
        <v>0</v>
      </c>
      <c r="J42" s="43">
        <v>28212.83</v>
      </c>
      <c r="K42" s="43">
        <v>0</v>
      </c>
      <c r="L42" s="43">
        <v>0</v>
      </c>
      <c r="M42" s="43"/>
      <c r="N42" s="43"/>
    </row>
    <row r="43" spans="1:14" customFormat="1">
      <c r="A43" s="41" t="s">
        <v>230</v>
      </c>
      <c r="B43" s="42" t="s">
        <v>229</v>
      </c>
      <c r="C43" s="43">
        <v>251.51</v>
      </c>
      <c r="D43" s="43">
        <v>0</v>
      </c>
      <c r="E43" s="43">
        <v>251.51</v>
      </c>
      <c r="F43" s="43"/>
      <c r="G43" s="43">
        <v>0</v>
      </c>
      <c r="H43" s="43">
        <v>0</v>
      </c>
      <c r="I43" s="43">
        <v>0</v>
      </c>
      <c r="J43" s="43">
        <v>251.51</v>
      </c>
      <c r="K43" s="43">
        <v>0</v>
      </c>
      <c r="L43" s="43">
        <v>0</v>
      </c>
      <c r="M43" s="43"/>
      <c r="N43" s="43"/>
    </row>
    <row r="44" spans="1:14" customFormat="1">
      <c r="A44" s="41" t="s">
        <v>228</v>
      </c>
      <c r="B44" s="42" t="s">
        <v>227</v>
      </c>
      <c r="C44" s="43">
        <v>608.85</v>
      </c>
      <c r="D44" s="43">
        <v>182.65</v>
      </c>
      <c r="E44" s="43">
        <v>426.2</v>
      </c>
      <c r="F44" s="43"/>
      <c r="G44" s="43">
        <v>78.27</v>
      </c>
      <c r="H44" s="43">
        <v>0</v>
      </c>
      <c r="I44" s="43">
        <v>0</v>
      </c>
      <c r="J44" s="43">
        <v>687.12</v>
      </c>
      <c r="K44" s="43">
        <v>0</v>
      </c>
      <c r="L44" s="43">
        <v>0</v>
      </c>
      <c r="M44" s="43"/>
      <c r="N44" s="43"/>
    </row>
    <row r="45" spans="1:14" customFormat="1">
      <c r="A45" s="41" t="s">
        <v>226</v>
      </c>
      <c r="B45" s="42" t="s">
        <v>225</v>
      </c>
      <c r="C45" s="43">
        <v>438.76</v>
      </c>
      <c r="D45" s="43">
        <v>438.76</v>
      </c>
      <c r="E45" s="43">
        <v>0</v>
      </c>
      <c r="F45" s="43"/>
      <c r="G45" s="43">
        <v>188.03</v>
      </c>
      <c r="H45" s="43">
        <v>0</v>
      </c>
      <c r="I45" s="43">
        <v>0</v>
      </c>
      <c r="J45" s="43">
        <v>626.79</v>
      </c>
      <c r="K45" s="43">
        <v>0</v>
      </c>
      <c r="L45" s="43">
        <v>0</v>
      </c>
      <c r="M45" s="43"/>
      <c r="N45" s="43"/>
    </row>
    <row r="46" spans="1:14" customFormat="1">
      <c r="A46" s="41" t="s">
        <v>224</v>
      </c>
      <c r="B46" s="42" t="s">
        <v>222</v>
      </c>
      <c r="C46" s="43">
        <v>1526.8</v>
      </c>
      <c r="D46" s="43">
        <v>1526.8</v>
      </c>
      <c r="E46" s="43">
        <v>0</v>
      </c>
      <c r="F46" s="43"/>
      <c r="G46" s="43">
        <v>654.33000000000004</v>
      </c>
      <c r="H46" s="43">
        <v>0</v>
      </c>
      <c r="I46" s="43">
        <v>0</v>
      </c>
      <c r="J46" s="43">
        <v>2181.13</v>
      </c>
      <c r="K46" s="43">
        <v>0</v>
      </c>
      <c r="L46" s="43">
        <v>0</v>
      </c>
      <c r="M46" s="43"/>
      <c r="N46" s="43"/>
    </row>
    <row r="47" spans="1:14" customFormat="1">
      <c r="A47" s="41" t="s">
        <v>223</v>
      </c>
      <c r="B47" s="42" t="s">
        <v>222</v>
      </c>
      <c r="C47" s="43">
        <v>489</v>
      </c>
      <c r="D47" s="43">
        <v>489</v>
      </c>
      <c r="E47" s="43">
        <v>0</v>
      </c>
      <c r="F47" s="43"/>
      <c r="G47" s="43">
        <v>209.57</v>
      </c>
      <c r="H47" s="43"/>
      <c r="I47" s="43"/>
      <c r="J47" s="43">
        <v>698.57</v>
      </c>
      <c r="K47" s="43"/>
      <c r="L47" s="43">
        <v>0</v>
      </c>
      <c r="M47" s="43"/>
      <c r="N47" s="43"/>
    </row>
    <row r="48" spans="1:14" customFormat="1">
      <c r="A48" s="41" t="s">
        <v>221</v>
      </c>
      <c r="B48" s="42" t="s">
        <v>220</v>
      </c>
      <c r="C48" s="43">
        <v>11.87</v>
      </c>
      <c r="D48" s="43"/>
      <c r="E48" s="43"/>
      <c r="F48" s="43"/>
      <c r="G48" s="43"/>
      <c r="H48" s="43">
        <v>11.87</v>
      </c>
      <c r="I48" s="43">
        <v>2.09</v>
      </c>
      <c r="J48" s="43">
        <v>13.96</v>
      </c>
      <c r="K48" s="43"/>
      <c r="L48" s="43">
        <v>0</v>
      </c>
      <c r="M48" s="43"/>
      <c r="N48" s="43"/>
    </row>
    <row r="49" spans="1:14" customFormat="1">
      <c r="A49" s="41" t="s">
        <v>219</v>
      </c>
      <c r="B49" s="42" t="s">
        <v>218</v>
      </c>
      <c r="C49" s="43">
        <v>1428</v>
      </c>
      <c r="D49" s="43">
        <v>285.60000000000002</v>
      </c>
      <c r="E49" s="43">
        <v>1142.4000000000001</v>
      </c>
      <c r="F49" s="43"/>
      <c r="G49" s="43">
        <v>122.4</v>
      </c>
      <c r="H49" s="43">
        <v>0</v>
      </c>
      <c r="I49" s="43">
        <v>0</v>
      </c>
      <c r="J49" s="43">
        <v>1550.4</v>
      </c>
      <c r="K49" s="43">
        <v>0</v>
      </c>
      <c r="L49" s="43">
        <v>0</v>
      </c>
      <c r="M49" s="43"/>
      <c r="N49" s="43"/>
    </row>
    <row r="50" spans="1:14" customFormat="1">
      <c r="A50" s="41" t="s">
        <v>217</v>
      </c>
      <c r="B50" s="42" t="s">
        <v>216</v>
      </c>
      <c r="C50" s="43">
        <v>253.88</v>
      </c>
      <c r="D50" s="43">
        <v>253.88</v>
      </c>
      <c r="E50" s="43">
        <v>0</v>
      </c>
      <c r="F50" s="43"/>
      <c r="G50" s="43">
        <v>108.81</v>
      </c>
      <c r="H50" s="43"/>
      <c r="I50" s="43"/>
      <c r="J50" s="43">
        <v>362.69</v>
      </c>
      <c r="K50" s="43"/>
      <c r="L50" s="43">
        <v>0</v>
      </c>
      <c r="M50" s="43"/>
      <c r="N50" s="43"/>
    </row>
    <row r="51" spans="1:14" customFormat="1">
      <c r="A51" s="41" t="s">
        <v>215</v>
      </c>
      <c r="B51" s="42" t="s">
        <v>214</v>
      </c>
      <c r="C51" s="43">
        <v>484.86</v>
      </c>
      <c r="D51" s="43">
        <v>484.86</v>
      </c>
      <c r="E51" s="43">
        <v>0</v>
      </c>
      <c r="F51" s="43"/>
      <c r="G51" s="43">
        <v>207.8</v>
      </c>
      <c r="H51" s="43"/>
      <c r="I51" s="43"/>
      <c r="J51" s="43">
        <v>692.66</v>
      </c>
      <c r="K51" s="43"/>
      <c r="L51" s="43">
        <v>0</v>
      </c>
      <c r="M51" s="43"/>
      <c r="N51" s="43"/>
    </row>
    <row r="52" spans="1:14" customFormat="1">
      <c r="A52" s="41" t="s">
        <v>213</v>
      </c>
      <c r="B52" s="42" t="s">
        <v>211</v>
      </c>
      <c r="C52" s="43">
        <v>1689.5</v>
      </c>
      <c r="D52" s="43">
        <v>1689.5</v>
      </c>
      <c r="E52" s="43">
        <v>0</v>
      </c>
      <c r="F52" s="43"/>
      <c r="G52" s="43">
        <v>724.07</v>
      </c>
      <c r="H52" s="43">
        <v>0</v>
      </c>
      <c r="I52" s="43">
        <v>0</v>
      </c>
      <c r="J52" s="43">
        <v>2413.5700000000002</v>
      </c>
      <c r="K52" s="43">
        <v>0</v>
      </c>
      <c r="L52" s="43">
        <v>0</v>
      </c>
      <c r="M52" s="43"/>
      <c r="N52" s="43"/>
    </row>
    <row r="53" spans="1:14" customFormat="1">
      <c r="A53" s="41" t="s">
        <v>212</v>
      </c>
      <c r="B53" s="42" t="s">
        <v>211</v>
      </c>
      <c r="C53" s="43">
        <v>400.84</v>
      </c>
      <c r="D53" s="43">
        <v>400.84</v>
      </c>
      <c r="E53" s="43">
        <v>0</v>
      </c>
      <c r="F53" s="43"/>
      <c r="G53" s="43">
        <v>171.78</v>
      </c>
      <c r="H53" s="43"/>
      <c r="I53" s="43"/>
      <c r="J53" s="43">
        <v>572.62</v>
      </c>
      <c r="K53" s="43"/>
      <c r="L53" s="43">
        <v>0</v>
      </c>
      <c r="M53" s="43"/>
      <c r="N53" s="43"/>
    </row>
    <row r="54" spans="1:14" customFormat="1">
      <c r="A54" s="41" t="s">
        <v>210</v>
      </c>
      <c r="B54" s="42" t="s">
        <v>209</v>
      </c>
      <c r="C54" s="43">
        <v>59.94</v>
      </c>
      <c r="D54" s="43">
        <v>30.88</v>
      </c>
      <c r="E54" s="43">
        <v>29.06</v>
      </c>
      <c r="F54" s="43"/>
      <c r="G54" s="43">
        <v>13.23</v>
      </c>
      <c r="H54" s="43"/>
      <c r="I54" s="43"/>
      <c r="J54" s="43">
        <v>73.17</v>
      </c>
      <c r="K54" s="43"/>
      <c r="L54" s="43">
        <v>0</v>
      </c>
      <c r="M54" s="43"/>
      <c r="N54" s="43"/>
    </row>
    <row r="55" spans="1:14" customFormat="1">
      <c r="A55" s="41" t="s">
        <v>208</v>
      </c>
      <c r="B55" s="42" t="s">
        <v>207</v>
      </c>
      <c r="C55" s="43">
        <v>512.57000000000005</v>
      </c>
      <c r="D55" s="43">
        <v>23.37</v>
      </c>
      <c r="E55" s="43">
        <v>489.2</v>
      </c>
      <c r="F55" s="43"/>
      <c r="G55" s="43">
        <v>10.01</v>
      </c>
      <c r="H55" s="43">
        <v>0</v>
      </c>
      <c r="I55" s="43">
        <v>0</v>
      </c>
      <c r="J55" s="43">
        <v>522.58000000000004</v>
      </c>
      <c r="K55" s="43">
        <v>0</v>
      </c>
      <c r="L55" s="43">
        <v>0</v>
      </c>
      <c r="M55" s="43"/>
      <c r="N55" s="43"/>
    </row>
    <row r="56" spans="1:14" customFormat="1">
      <c r="A56" s="41" t="s">
        <v>206</v>
      </c>
      <c r="B56" s="42" t="s">
        <v>205</v>
      </c>
      <c r="C56" s="43">
        <v>345.6</v>
      </c>
      <c r="D56" s="43">
        <v>345.6</v>
      </c>
      <c r="E56" s="43">
        <v>0</v>
      </c>
      <c r="F56" s="43"/>
      <c r="G56" s="43">
        <v>148.11000000000001</v>
      </c>
      <c r="H56" s="43">
        <v>0</v>
      </c>
      <c r="I56" s="43">
        <v>0</v>
      </c>
      <c r="J56" s="43">
        <v>493.71</v>
      </c>
      <c r="K56" s="43">
        <v>0</v>
      </c>
      <c r="L56" s="43">
        <v>0</v>
      </c>
      <c r="M56" s="43"/>
      <c r="N56" s="43"/>
    </row>
    <row r="57" spans="1:14" customFormat="1">
      <c r="A57" s="41" t="s">
        <v>204</v>
      </c>
      <c r="B57" s="42" t="s">
        <v>203</v>
      </c>
      <c r="C57" s="43">
        <v>2445.02</v>
      </c>
      <c r="D57" s="43">
        <v>0</v>
      </c>
      <c r="E57" s="43">
        <v>0</v>
      </c>
      <c r="F57" s="43">
        <v>1889.92</v>
      </c>
      <c r="G57" s="43">
        <v>0</v>
      </c>
      <c r="H57" s="43">
        <v>0</v>
      </c>
      <c r="I57" s="43">
        <v>0</v>
      </c>
      <c r="J57" s="43">
        <v>1889.92</v>
      </c>
      <c r="K57" s="43">
        <v>0</v>
      </c>
      <c r="L57" s="43">
        <v>0</v>
      </c>
      <c r="M57" s="43">
        <v>564.58000000000004</v>
      </c>
      <c r="N57" s="43">
        <v>-9.48</v>
      </c>
    </row>
    <row r="58" spans="1:14" customFormat="1">
      <c r="A58" s="41" t="s">
        <v>202</v>
      </c>
      <c r="B58" s="42" t="s">
        <v>201</v>
      </c>
      <c r="C58" s="43">
        <v>918.28</v>
      </c>
      <c r="D58" s="43">
        <v>918.28</v>
      </c>
      <c r="E58" s="43">
        <v>0</v>
      </c>
      <c r="F58" s="43"/>
      <c r="G58" s="43">
        <v>393.55</v>
      </c>
      <c r="H58" s="43">
        <v>0</v>
      </c>
      <c r="I58" s="43">
        <v>0</v>
      </c>
      <c r="J58" s="43">
        <v>1311.83</v>
      </c>
      <c r="K58" s="43">
        <v>0</v>
      </c>
      <c r="L58" s="43">
        <v>0</v>
      </c>
      <c r="M58" s="43"/>
      <c r="N58" s="43"/>
    </row>
    <row r="59" spans="1:14" customFormat="1">
      <c r="A59" s="41" t="s">
        <v>200</v>
      </c>
      <c r="B59" s="42" t="s">
        <v>199</v>
      </c>
      <c r="C59" s="43">
        <v>10.4</v>
      </c>
      <c r="D59" s="43">
        <v>10.4</v>
      </c>
      <c r="E59" s="43">
        <v>0</v>
      </c>
      <c r="F59" s="43"/>
      <c r="G59" s="43">
        <v>4.46</v>
      </c>
      <c r="H59" s="43"/>
      <c r="I59" s="43"/>
      <c r="J59" s="43">
        <v>14.86</v>
      </c>
      <c r="K59" s="43"/>
      <c r="L59" s="43">
        <v>0</v>
      </c>
      <c r="M59" s="43"/>
      <c r="N59" s="43"/>
    </row>
    <row r="60" spans="1:14" customFormat="1">
      <c r="A60" s="41" t="s">
        <v>198</v>
      </c>
      <c r="B60" s="42" t="s">
        <v>197</v>
      </c>
      <c r="C60" s="43">
        <v>1356.6</v>
      </c>
      <c r="D60" s="43">
        <v>1356.6</v>
      </c>
      <c r="E60" s="43">
        <v>0</v>
      </c>
      <c r="F60" s="43"/>
      <c r="G60" s="43">
        <v>581.4</v>
      </c>
      <c r="H60" s="43"/>
      <c r="I60" s="43"/>
      <c r="J60" s="43">
        <v>1938</v>
      </c>
      <c r="K60" s="43"/>
      <c r="L60" s="43">
        <v>0</v>
      </c>
      <c r="M60" s="43"/>
      <c r="N60" s="43"/>
    </row>
    <row r="61" spans="1:14" customFormat="1">
      <c r="A61" s="41" t="s">
        <v>196</v>
      </c>
      <c r="B61" s="42" t="s">
        <v>195</v>
      </c>
      <c r="C61" s="43">
        <v>3788</v>
      </c>
      <c r="D61" s="43"/>
      <c r="E61" s="43"/>
      <c r="F61" s="43">
        <v>3780.4</v>
      </c>
      <c r="G61" s="43">
        <v>0</v>
      </c>
      <c r="H61" s="43">
        <v>0</v>
      </c>
      <c r="I61" s="43">
        <v>0</v>
      </c>
      <c r="J61" s="43">
        <v>3780.4</v>
      </c>
      <c r="K61" s="43"/>
      <c r="L61" s="43">
        <v>0</v>
      </c>
      <c r="M61" s="43">
        <v>0</v>
      </c>
      <c r="N61" s="43">
        <v>7.6</v>
      </c>
    </row>
    <row r="62" spans="1:14" customFormat="1">
      <c r="A62" s="41" t="s">
        <v>194</v>
      </c>
      <c r="B62" s="42" t="s">
        <v>193</v>
      </c>
      <c r="C62" s="43">
        <v>119</v>
      </c>
      <c r="D62" s="43">
        <v>119</v>
      </c>
      <c r="E62" s="43">
        <v>0</v>
      </c>
      <c r="F62" s="43"/>
      <c r="G62" s="43">
        <v>51</v>
      </c>
      <c r="H62" s="43"/>
      <c r="I62" s="43"/>
      <c r="J62" s="43">
        <v>170</v>
      </c>
      <c r="K62" s="43"/>
      <c r="L62" s="43">
        <v>0</v>
      </c>
      <c r="M62" s="43"/>
      <c r="N62" s="43"/>
    </row>
    <row r="63" spans="1:14" customFormat="1">
      <c r="A63" s="41" t="s">
        <v>192</v>
      </c>
      <c r="B63" s="42" t="s">
        <v>191</v>
      </c>
      <c r="C63" s="43">
        <v>82.18</v>
      </c>
      <c r="D63" s="43">
        <v>17.510000000000002</v>
      </c>
      <c r="E63" s="43">
        <v>64.67</v>
      </c>
      <c r="F63" s="43"/>
      <c r="G63" s="43">
        <v>7.5</v>
      </c>
      <c r="H63" s="43"/>
      <c r="I63" s="43"/>
      <c r="J63" s="43">
        <v>89.68</v>
      </c>
      <c r="K63" s="43"/>
      <c r="L63" s="43">
        <v>0</v>
      </c>
      <c r="M63" s="43"/>
      <c r="N63" s="43"/>
    </row>
    <row r="64" spans="1:14" customFormat="1">
      <c r="A64" s="41" t="s">
        <v>190</v>
      </c>
      <c r="B64" s="42" t="s">
        <v>189</v>
      </c>
      <c r="C64" s="43">
        <v>402.79</v>
      </c>
      <c r="D64" s="43">
        <v>402.79</v>
      </c>
      <c r="E64" s="43">
        <v>0</v>
      </c>
      <c r="F64" s="43"/>
      <c r="G64" s="43">
        <v>172.63</v>
      </c>
      <c r="H64" s="43">
        <v>0</v>
      </c>
      <c r="I64" s="43">
        <v>0</v>
      </c>
      <c r="J64" s="43">
        <v>575.41999999999996</v>
      </c>
      <c r="K64" s="43">
        <v>0</v>
      </c>
      <c r="L64" s="43">
        <v>0</v>
      </c>
      <c r="M64" s="43"/>
      <c r="N64" s="43"/>
    </row>
    <row r="65" spans="1:14" customFormat="1">
      <c r="A65" s="41" t="s">
        <v>188</v>
      </c>
      <c r="B65" s="42" t="s">
        <v>187</v>
      </c>
      <c r="C65" s="43">
        <v>220.26</v>
      </c>
      <c r="D65" s="43">
        <v>220.26</v>
      </c>
      <c r="E65" s="43">
        <v>0</v>
      </c>
      <c r="F65" s="43"/>
      <c r="G65" s="43">
        <v>94.4</v>
      </c>
      <c r="H65" s="43">
        <v>0</v>
      </c>
      <c r="I65" s="43">
        <v>0</v>
      </c>
      <c r="J65" s="43">
        <v>314.66000000000003</v>
      </c>
      <c r="K65" s="43">
        <v>0</v>
      </c>
      <c r="L65" s="43">
        <v>0</v>
      </c>
      <c r="M65" s="43"/>
      <c r="N65" s="43"/>
    </row>
    <row r="66" spans="1:14" customFormat="1">
      <c r="A66" s="41" t="s">
        <v>186</v>
      </c>
      <c r="B66" s="42" t="s">
        <v>185</v>
      </c>
      <c r="C66" s="43">
        <v>11.78</v>
      </c>
      <c r="D66" s="43">
        <v>4.71</v>
      </c>
      <c r="E66" s="43">
        <v>7.07</v>
      </c>
      <c r="F66" s="43"/>
      <c r="G66" s="43">
        <v>2.02</v>
      </c>
      <c r="H66" s="43"/>
      <c r="I66" s="43"/>
      <c r="J66" s="43">
        <v>13.8</v>
      </c>
      <c r="K66" s="43"/>
      <c r="L66" s="43">
        <v>0</v>
      </c>
      <c r="M66" s="43"/>
      <c r="N66" s="43"/>
    </row>
    <row r="67" spans="1:14" customFormat="1">
      <c r="A67" s="41" t="s">
        <v>184</v>
      </c>
      <c r="B67" s="42" t="s">
        <v>183</v>
      </c>
      <c r="C67" s="43">
        <v>12</v>
      </c>
      <c r="D67" s="43">
        <v>9.6</v>
      </c>
      <c r="E67" s="43">
        <v>2.4</v>
      </c>
      <c r="F67" s="43"/>
      <c r="G67" s="43">
        <v>4.1100000000000003</v>
      </c>
      <c r="H67" s="43"/>
      <c r="I67" s="43"/>
      <c r="J67" s="43">
        <v>16.11</v>
      </c>
      <c r="K67" s="43"/>
      <c r="L67" s="43">
        <v>0</v>
      </c>
      <c r="M67" s="43"/>
      <c r="N67" s="43"/>
    </row>
    <row r="68" spans="1:14" customFormat="1">
      <c r="A68" s="41" t="s">
        <v>182</v>
      </c>
      <c r="B68" s="42" t="s">
        <v>181</v>
      </c>
      <c r="C68" s="43">
        <v>107.59</v>
      </c>
      <c r="D68" s="43">
        <v>107.59</v>
      </c>
      <c r="E68" s="43">
        <v>0</v>
      </c>
      <c r="F68" s="43"/>
      <c r="G68" s="43">
        <v>46.11</v>
      </c>
      <c r="H68" s="43"/>
      <c r="I68" s="43"/>
      <c r="J68" s="43">
        <v>153.69999999999999</v>
      </c>
      <c r="K68" s="43"/>
      <c r="L68" s="43">
        <v>0</v>
      </c>
      <c r="M68" s="43"/>
      <c r="N68" s="43"/>
    </row>
    <row r="69" spans="1:14" customFormat="1">
      <c r="A69" s="41" t="s">
        <v>180</v>
      </c>
      <c r="B69" s="42" t="s">
        <v>179</v>
      </c>
      <c r="C69" s="43">
        <v>249.03</v>
      </c>
      <c r="D69" s="43"/>
      <c r="E69" s="43">
        <v>249.03</v>
      </c>
      <c r="F69" s="43"/>
      <c r="G69" s="43"/>
      <c r="H69" s="43"/>
      <c r="I69" s="43"/>
      <c r="J69" s="43">
        <v>249.03</v>
      </c>
      <c r="K69" s="43"/>
      <c r="L69" s="43">
        <v>0</v>
      </c>
      <c r="M69" s="43"/>
      <c r="N69" s="43"/>
    </row>
    <row r="70" spans="1:14" customFormat="1">
      <c r="A70" s="41" t="s">
        <v>180</v>
      </c>
      <c r="B70" s="42" t="s">
        <v>179</v>
      </c>
      <c r="C70" s="43">
        <v>337.61</v>
      </c>
      <c r="D70" s="43">
        <v>0</v>
      </c>
      <c r="E70" s="43">
        <v>0</v>
      </c>
      <c r="F70" s="43">
        <v>154.66</v>
      </c>
      <c r="G70" s="43">
        <v>0</v>
      </c>
      <c r="H70" s="43">
        <v>84.36</v>
      </c>
      <c r="I70" s="43">
        <v>8.4</v>
      </c>
      <c r="J70" s="43">
        <v>247.42</v>
      </c>
      <c r="K70" s="43">
        <v>0</v>
      </c>
      <c r="L70" s="43">
        <v>0</v>
      </c>
      <c r="M70" s="43">
        <v>61.28</v>
      </c>
      <c r="N70" s="43">
        <v>37.31</v>
      </c>
    </row>
    <row r="71" spans="1:14" customFormat="1">
      <c r="A71" s="41" t="s">
        <v>178</v>
      </c>
      <c r="B71" s="42" t="s">
        <v>177</v>
      </c>
      <c r="C71" s="43">
        <v>83.89</v>
      </c>
      <c r="D71" s="43">
        <v>83.89</v>
      </c>
      <c r="E71" s="43">
        <v>0</v>
      </c>
      <c r="F71" s="43"/>
      <c r="G71" s="43">
        <v>35.950000000000003</v>
      </c>
      <c r="H71" s="43"/>
      <c r="I71" s="43"/>
      <c r="J71" s="43">
        <v>119.84</v>
      </c>
      <c r="K71" s="43"/>
      <c r="L71" s="43">
        <v>0</v>
      </c>
      <c r="M71" s="43"/>
      <c r="N71" s="43"/>
    </row>
    <row r="72" spans="1:14" customFormat="1">
      <c r="A72" s="41" t="s">
        <v>176</v>
      </c>
      <c r="B72" s="42" t="s">
        <v>175</v>
      </c>
      <c r="C72" s="43">
        <v>3702.7</v>
      </c>
      <c r="D72" s="43">
        <v>1481.08</v>
      </c>
      <c r="E72" s="43">
        <v>2221.62</v>
      </c>
      <c r="F72" s="43"/>
      <c r="G72" s="43">
        <v>634.74</v>
      </c>
      <c r="H72" s="43">
        <v>0</v>
      </c>
      <c r="I72" s="43">
        <v>0</v>
      </c>
      <c r="J72" s="43">
        <v>4337.4399999999996</v>
      </c>
      <c r="K72" s="43">
        <v>0</v>
      </c>
      <c r="L72" s="43">
        <v>0</v>
      </c>
      <c r="M72" s="43"/>
      <c r="N72" s="43"/>
    </row>
    <row r="73" spans="1:14" customFormat="1">
      <c r="A73" s="41" t="s">
        <v>174</v>
      </c>
      <c r="B73" s="42" t="s">
        <v>173</v>
      </c>
      <c r="C73" s="43">
        <v>10205.76</v>
      </c>
      <c r="D73" s="43">
        <v>7654.32</v>
      </c>
      <c r="E73" s="43">
        <v>2551.44</v>
      </c>
      <c r="F73" s="43"/>
      <c r="G73" s="43">
        <v>3280.42</v>
      </c>
      <c r="H73" s="43">
        <v>0</v>
      </c>
      <c r="I73" s="43">
        <v>0</v>
      </c>
      <c r="J73" s="43">
        <v>13486.18</v>
      </c>
      <c r="K73" s="43">
        <v>0</v>
      </c>
      <c r="L73" s="43">
        <v>0</v>
      </c>
      <c r="M73" s="43"/>
      <c r="N73" s="43"/>
    </row>
    <row r="74" spans="1:14" customFormat="1">
      <c r="A74" s="41" t="s">
        <v>172</v>
      </c>
      <c r="B74" s="42" t="s">
        <v>171</v>
      </c>
      <c r="C74" s="43">
        <v>106.54</v>
      </c>
      <c r="D74" s="43">
        <v>106.54</v>
      </c>
      <c r="E74" s="43">
        <v>0</v>
      </c>
      <c r="F74" s="43"/>
      <c r="G74" s="43">
        <v>45.66</v>
      </c>
      <c r="H74" s="43"/>
      <c r="I74" s="43"/>
      <c r="J74" s="43">
        <v>152.19999999999999</v>
      </c>
      <c r="K74" s="43"/>
      <c r="L74" s="43">
        <v>0</v>
      </c>
      <c r="M74" s="43"/>
      <c r="N74" s="43"/>
    </row>
    <row r="75" spans="1:14" customFormat="1">
      <c r="A75" s="41" t="s">
        <v>170</v>
      </c>
      <c r="B75" s="42" t="s">
        <v>169</v>
      </c>
      <c r="C75" s="43">
        <v>59.81</v>
      </c>
      <c r="D75" s="43">
        <v>59.81</v>
      </c>
      <c r="E75" s="43">
        <v>0</v>
      </c>
      <c r="F75" s="43"/>
      <c r="G75" s="43">
        <v>25.63</v>
      </c>
      <c r="H75" s="43"/>
      <c r="I75" s="43"/>
      <c r="J75" s="43">
        <v>85.44</v>
      </c>
      <c r="K75" s="43"/>
      <c r="L75" s="43">
        <v>0</v>
      </c>
      <c r="M75" s="43"/>
      <c r="N75" s="43"/>
    </row>
    <row r="76" spans="1:14" customFormat="1">
      <c r="A76" s="41" t="s">
        <v>168</v>
      </c>
      <c r="B76" s="42" t="s">
        <v>167</v>
      </c>
      <c r="C76" s="43">
        <v>17.5</v>
      </c>
      <c r="D76" s="43">
        <v>17.5</v>
      </c>
      <c r="E76" s="43">
        <v>0</v>
      </c>
      <c r="F76" s="43"/>
      <c r="G76" s="43">
        <v>7.5</v>
      </c>
      <c r="H76" s="43"/>
      <c r="I76" s="43"/>
      <c r="J76" s="43">
        <v>25</v>
      </c>
      <c r="K76" s="43"/>
      <c r="L76" s="43">
        <v>0</v>
      </c>
      <c r="M76" s="43"/>
      <c r="N76" s="43"/>
    </row>
    <row r="77" spans="1:14" customFormat="1">
      <c r="A77" s="41" t="s">
        <v>166</v>
      </c>
      <c r="B77" s="42" t="s">
        <v>165</v>
      </c>
      <c r="C77" s="43">
        <v>3596.64</v>
      </c>
      <c r="D77" s="43">
        <v>3596.64</v>
      </c>
      <c r="E77" s="43">
        <v>0</v>
      </c>
      <c r="F77" s="43"/>
      <c r="G77" s="43">
        <v>1541.42</v>
      </c>
      <c r="H77" s="43">
        <v>0</v>
      </c>
      <c r="I77" s="43">
        <v>0</v>
      </c>
      <c r="J77" s="43">
        <v>5138.0600000000004</v>
      </c>
      <c r="K77" s="43">
        <v>0</v>
      </c>
      <c r="L77" s="43">
        <v>0</v>
      </c>
      <c r="M77" s="43"/>
      <c r="N77" s="43"/>
    </row>
    <row r="78" spans="1:14" customFormat="1">
      <c r="A78" s="41" t="s">
        <v>164</v>
      </c>
      <c r="B78" s="42" t="s">
        <v>163</v>
      </c>
      <c r="C78" s="43">
        <v>1390.26</v>
      </c>
      <c r="D78" s="43">
        <v>1390.26</v>
      </c>
      <c r="E78" s="43">
        <v>0</v>
      </c>
      <c r="F78" s="43"/>
      <c r="G78" s="43">
        <v>595.83000000000004</v>
      </c>
      <c r="H78" s="43">
        <v>0</v>
      </c>
      <c r="I78" s="43">
        <v>0</v>
      </c>
      <c r="J78" s="43">
        <v>1986.09</v>
      </c>
      <c r="K78" s="43">
        <v>0</v>
      </c>
      <c r="L78" s="43">
        <v>0</v>
      </c>
      <c r="M78" s="43"/>
      <c r="N78" s="43"/>
    </row>
    <row r="79" spans="1:14" customFormat="1">
      <c r="A79" s="41" t="s">
        <v>162</v>
      </c>
      <c r="B79" s="42" t="s">
        <v>161</v>
      </c>
      <c r="C79" s="43">
        <v>224.04</v>
      </c>
      <c r="D79" s="43">
        <v>0</v>
      </c>
      <c r="E79" s="43">
        <v>0</v>
      </c>
      <c r="F79" s="43"/>
      <c r="G79" s="43">
        <v>0</v>
      </c>
      <c r="H79" s="43">
        <v>224.04</v>
      </c>
      <c r="I79" s="43">
        <v>0</v>
      </c>
      <c r="J79" s="43">
        <v>224.04</v>
      </c>
      <c r="K79" s="43">
        <v>0</v>
      </c>
      <c r="L79" s="43">
        <v>0</v>
      </c>
      <c r="M79" s="43"/>
      <c r="N79" s="43"/>
    </row>
    <row r="80" spans="1:14" customFormat="1">
      <c r="A80" s="41" t="s">
        <v>160</v>
      </c>
      <c r="B80" s="42" t="s">
        <v>159</v>
      </c>
      <c r="C80" s="43">
        <v>57.73</v>
      </c>
      <c r="D80" s="43">
        <v>57.73</v>
      </c>
      <c r="E80" s="43">
        <v>0</v>
      </c>
      <c r="F80" s="43"/>
      <c r="G80" s="43">
        <v>24.74</v>
      </c>
      <c r="H80" s="43">
        <v>0</v>
      </c>
      <c r="I80" s="43">
        <v>0</v>
      </c>
      <c r="J80" s="43">
        <v>82.47</v>
      </c>
      <c r="K80" s="43">
        <v>0</v>
      </c>
      <c r="L80" s="43">
        <v>0</v>
      </c>
      <c r="M80" s="43"/>
      <c r="N80" s="43"/>
    </row>
    <row r="81" spans="1:14" customFormat="1">
      <c r="A81" s="41" t="s">
        <v>158</v>
      </c>
      <c r="B81" s="42" t="s">
        <v>157</v>
      </c>
      <c r="C81" s="43">
        <v>446.14</v>
      </c>
      <c r="D81" s="43">
        <v>0</v>
      </c>
      <c r="E81" s="43">
        <v>446.14</v>
      </c>
      <c r="F81" s="43"/>
      <c r="G81" s="43">
        <v>0</v>
      </c>
      <c r="H81" s="43">
        <v>0</v>
      </c>
      <c r="I81" s="43">
        <v>0</v>
      </c>
      <c r="J81" s="43">
        <v>446.14</v>
      </c>
      <c r="K81" s="43">
        <v>0</v>
      </c>
      <c r="L81" s="43">
        <v>0</v>
      </c>
      <c r="M81" s="43"/>
      <c r="N81" s="43"/>
    </row>
    <row r="82" spans="1:14" customFormat="1">
      <c r="A82" s="41" t="s">
        <v>156</v>
      </c>
      <c r="B82" s="42" t="s">
        <v>155</v>
      </c>
      <c r="C82" s="43">
        <v>110.7</v>
      </c>
      <c r="D82" s="43">
        <v>110.7</v>
      </c>
      <c r="E82" s="43">
        <v>0</v>
      </c>
      <c r="F82" s="43"/>
      <c r="G82" s="43">
        <v>47.44</v>
      </c>
      <c r="H82" s="43">
        <v>0</v>
      </c>
      <c r="I82" s="43">
        <v>0</v>
      </c>
      <c r="J82" s="43">
        <v>158.13999999999999</v>
      </c>
      <c r="K82" s="43">
        <v>0</v>
      </c>
      <c r="L82" s="43">
        <v>0</v>
      </c>
      <c r="M82" s="43"/>
      <c r="N82" s="43"/>
    </row>
    <row r="83" spans="1:14" customFormat="1">
      <c r="A83" s="41" t="s">
        <v>154</v>
      </c>
      <c r="B83" s="42" t="s">
        <v>153</v>
      </c>
      <c r="C83" s="43">
        <v>35.840000000000003</v>
      </c>
      <c r="D83" s="43">
        <v>35.840000000000003</v>
      </c>
      <c r="E83" s="43">
        <v>0</v>
      </c>
      <c r="F83" s="43"/>
      <c r="G83" s="43">
        <v>15.36</v>
      </c>
      <c r="H83" s="43"/>
      <c r="I83" s="43"/>
      <c r="J83" s="43">
        <v>51.2</v>
      </c>
      <c r="K83" s="43"/>
      <c r="L83" s="43">
        <v>0</v>
      </c>
      <c r="M83" s="43"/>
      <c r="N83" s="43"/>
    </row>
    <row r="84" spans="1:14" customFormat="1">
      <c r="A84" s="41" t="s">
        <v>152</v>
      </c>
      <c r="B84" s="42" t="s">
        <v>151</v>
      </c>
      <c r="C84" s="43">
        <v>786.32</v>
      </c>
      <c r="D84" s="43">
        <v>786.32</v>
      </c>
      <c r="E84" s="43">
        <v>0</v>
      </c>
      <c r="F84" s="43"/>
      <c r="G84" s="43">
        <v>337</v>
      </c>
      <c r="H84" s="43">
        <v>0</v>
      </c>
      <c r="I84" s="43">
        <v>0</v>
      </c>
      <c r="J84" s="43">
        <v>1123.32</v>
      </c>
      <c r="K84" s="43">
        <v>0</v>
      </c>
      <c r="L84" s="43">
        <v>0</v>
      </c>
      <c r="M84" s="43"/>
      <c r="N84" s="43"/>
    </row>
    <row r="85" spans="1:14" customFormat="1">
      <c r="A85" s="41" t="s">
        <v>150</v>
      </c>
      <c r="B85" s="42" t="s">
        <v>149</v>
      </c>
      <c r="C85" s="43">
        <v>12.42</v>
      </c>
      <c r="D85" s="43">
        <v>12.42</v>
      </c>
      <c r="E85" s="43">
        <v>0</v>
      </c>
      <c r="F85" s="43"/>
      <c r="G85" s="43">
        <v>5.32</v>
      </c>
      <c r="H85" s="43"/>
      <c r="I85" s="43"/>
      <c r="J85" s="43">
        <v>17.739999999999998</v>
      </c>
      <c r="K85" s="43"/>
      <c r="L85" s="43">
        <v>0</v>
      </c>
      <c r="M85" s="43"/>
      <c r="N85" s="43"/>
    </row>
    <row r="86" spans="1:14" customFormat="1">
      <c r="A86" s="41" t="s">
        <v>148</v>
      </c>
      <c r="B86" s="42" t="s">
        <v>147</v>
      </c>
      <c r="C86" s="43">
        <v>696.1</v>
      </c>
      <c r="D86" s="43">
        <v>0</v>
      </c>
      <c r="E86" s="43">
        <v>0</v>
      </c>
      <c r="F86" s="43">
        <v>697.94</v>
      </c>
      <c r="G86" s="43">
        <v>0</v>
      </c>
      <c r="H86" s="43">
        <v>0</v>
      </c>
      <c r="I86" s="43">
        <v>0</v>
      </c>
      <c r="J86" s="43">
        <v>697.94</v>
      </c>
      <c r="K86" s="43">
        <v>0</v>
      </c>
      <c r="L86" s="43">
        <v>0</v>
      </c>
      <c r="M86" s="43">
        <v>0</v>
      </c>
      <c r="N86" s="43">
        <v>-1.84</v>
      </c>
    </row>
    <row r="87" spans="1:14" customFormat="1">
      <c r="A87" s="41" t="s">
        <v>146</v>
      </c>
      <c r="B87" s="42" t="s">
        <v>145</v>
      </c>
      <c r="C87" s="43">
        <v>700</v>
      </c>
      <c r="D87" s="43">
        <v>700</v>
      </c>
      <c r="E87" s="43">
        <v>0</v>
      </c>
      <c r="F87" s="43"/>
      <c r="G87" s="43">
        <v>300.01</v>
      </c>
      <c r="H87" s="43">
        <v>0</v>
      </c>
      <c r="I87" s="43">
        <v>0</v>
      </c>
      <c r="J87" s="43">
        <v>1000.01</v>
      </c>
      <c r="K87" s="43">
        <v>0</v>
      </c>
      <c r="L87" s="43">
        <v>0</v>
      </c>
      <c r="M87" s="43"/>
      <c r="N87" s="43"/>
    </row>
    <row r="88" spans="1:14" customFormat="1">
      <c r="A88" s="41" t="s">
        <v>144</v>
      </c>
      <c r="B88" s="42" t="s">
        <v>143</v>
      </c>
      <c r="C88" s="43">
        <v>18.559999999999999</v>
      </c>
      <c r="D88" s="43">
        <v>0</v>
      </c>
      <c r="E88" s="43">
        <v>0</v>
      </c>
      <c r="F88" s="43"/>
      <c r="G88" s="43">
        <v>0</v>
      </c>
      <c r="H88" s="43">
        <v>18.559999999999999</v>
      </c>
      <c r="I88" s="43">
        <v>7.6</v>
      </c>
      <c r="J88" s="43">
        <v>26.16</v>
      </c>
      <c r="K88" s="43">
        <v>0</v>
      </c>
      <c r="L88" s="43">
        <v>0</v>
      </c>
      <c r="M88" s="43"/>
      <c r="N88" s="43"/>
    </row>
    <row r="89" spans="1:14" customFormat="1">
      <c r="A89" s="41" t="s">
        <v>142</v>
      </c>
      <c r="B89" s="42" t="s">
        <v>141</v>
      </c>
      <c r="C89" s="43">
        <v>305.58999999999997</v>
      </c>
      <c r="D89" s="43">
        <v>305.58999999999997</v>
      </c>
      <c r="E89" s="43">
        <v>0</v>
      </c>
      <c r="F89" s="43"/>
      <c r="G89" s="43">
        <v>130.97</v>
      </c>
      <c r="H89" s="43">
        <v>0</v>
      </c>
      <c r="I89" s="43">
        <v>0</v>
      </c>
      <c r="J89" s="43">
        <v>436.56</v>
      </c>
      <c r="K89" s="43">
        <v>0</v>
      </c>
      <c r="L89" s="43">
        <v>0</v>
      </c>
      <c r="M89" s="43"/>
      <c r="N89" s="43"/>
    </row>
    <row r="90" spans="1:14" customFormat="1">
      <c r="A90" s="41" t="s">
        <v>140</v>
      </c>
      <c r="B90" s="42" t="s">
        <v>139</v>
      </c>
      <c r="C90" s="43">
        <v>881.23</v>
      </c>
      <c r="D90" s="43">
        <v>881.23</v>
      </c>
      <c r="E90" s="43">
        <v>0</v>
      </c>
      <c r="F90" s="43"/>
      <c r="G90" s="43">
        <v>377.67</v>
      </c>
      <c r="H90" s="43"/>
      <c r="I90" s="43"/>
      <c r="J90" s="43">
        <v>1258.9000000000001</v>
      </c>
      <c r="K90" s="43"/>
      <c r="L90" s="43">
        <v>0</v>
      </c>
      <c r="M90" s="43"/>
      <c r="N90" s="43"/>
    </row>
    <row r="91" spans="1:14" customFormat="1">
      <c r="A91" s="41" t="s">
        <v>138</v>
      </c>
      <c r="B91" s="42" t="s">
        <v>137</v>
      </c>
      <c r="C91" s="43">
        <v>1770.13</v>
      </c>
      <c r="D91" s="43">
        <v>1407.58</v>
      </c>
      <c r="E91" s="43">
        <v>362.55</v>
      </c>
      <c r="F91" s="43"/>
      <c r="G91" s="43">
        <v>603.25</v>
      </c>
      <c r="H91" s="43">
        <v>0</v>
      </c>
      <c r="I91" s="43">
        <v>0</v>
      </c>
      <c r="J91" s="43">
        <v>2373.38</v>
      </c>
      <c r="K91" s="43">
        <v>0</v>
      </c>
      <c r="L91" s="43">
        <v>0</v>
      </c>
      <c r="M91" s="43"/>
      <c r="N91" s="43"/>
    </row>
    <row r="92" spans="1:14" customFormat="1">
      <c r="A92" s="41" t="s">
        <v>136</v>
      </c>
      <c r="B92" s="42" t="s">
        <v>135</v>
      </c>
      <c r="C92" s="43">
        <v>5.52</v>
      </c>
      <c r="D92" s="43">
        <v>5.52</v>
      </c>
      <c r="E92" s="43">
        <v>0</v>
      </c>
      <c r="F92" s="43"/>
      <c r="G92" s="43">
        <v>2.37</v>
      </c>
      <c r="H92" s="43"/>
      <c r="I92" s="43"/>
      <c r="J92" s="43">
        <v>7.89</v>
      </c>
      <c r="K92" s="43"/>
      <c r="L92" s="43">
        <v>0</v>
      </c>
      <c r="M92" s="43"/>
      <c r="N92" s="43"/>
    </row>
    <row r="93" spans="1:14" customFormat="1">
      <c r="A93" s="41" t="s">
        <v>134</v>
      </c>
      <c r="B93" s="42" t="s">
        <v>133</v>
      </c>
      <c r="C93" s="43">
        <v>1682.35</v>
      </c>
      <c r="D93" s="43">
        <v>1302.54</v>
      </c>
      <c r="E93" s="43">
        <v>379.81</v>
      </c>
      <c r="F93" s="43"/>
      <c r="G93" s="43">
        <v>558.24</v>
      </c>
      <c r="H93" s="43">
        <v>0</v>
      </c>
      <c r="I93" s="43">
        <v>0</v>
      </c>
      <c r="J93" s="43">
        <v>2240.59</v>
      </c>
      <c r="K93" s="43">
        <v>0</v>
      </c>
      <c r="L93" s="43">
        <v>0</v>
      </c>
      <c r="M93" s="43"/>
      <c r="N93" s="43"/>
    </row>
    <row r="94" spans="1:14" customFormat="1">
      <c r="A94" s="41" t="s">
        <v>132</v>
      </c>
      <c r="B94" s="42" t="s">
        <v>131</v>
      </c>
      <c r="C94" s="43">
        <v>1301.6500000000001</v>
      </c>
      <c r="D94" s="43">
        <v>1301.6500000000001</v>
      </c>
      <c r="E94" s="43">
        <v>0</v>
      </c>
      <c r="F94" s="43"/>
      <c r="G94" s="43">
        <v>557.84</v>
      </c>
      <c r="H94" s="43">
        <v>0</v>
      </c>
      <c r="I94" s="43">
        <v>0</v>
      </c>
      <c r="J94" s="43">
        <v>1859.49</v>
      </c>
      <c r="K94" s="43">
        <v>0</v>
      </c>
      <c r="L94" s="43">
        <v>0</v>
      </c>
      <c r="M94" s="43"/>
      <c r="N94" s="43"/>
    </row>
    <row r="95" spans="1:14" customFormat="1">
      <c r="A95" s="41" t="s">
        <v>130</v>
      </c>
      <c r="B95" s="42" t="s">
        <v>129</v>
      </c>
      <c r="C95" s="43">
        <v>19.28</v>
      </c>
      <c r="D95" s="43">
        <v>19.28</v>
      </c>
      <c r="E95" s="43">
        <v>0</v>
      </c>
      <c r="F95" s="43"/>
      <c r="G95" s="43">
        <v>8.26</v>
      </c>
      <c r="H95" s="43"/>
      <c r="I95" s="43"/>
      <c r="J95" s="43">
        <v>27.54</v>
      </c>
      <c r="K95" s="43"/>
      <c r="L95" s="43">
        <v>0</v>
      </c>
      <c r="M95" s="43"/>
      <c r="N95" s="43"/>
    </row>
    <row r="96" spans="1:14" customFormat="1">
      <c r="A96" s="41" t="s">
        <v>128</v>
      </c>
      <c r="B96" s="42" t="s">
        <v>126</v>
      </c>
      <c r="C96" s="43">
        <v>111.5</v>
      </c>
      <c r="D96" s="43">
        <v>111.5</v>
      </c>
      <c r="E96" s="43">
        <v>0</v>
      </c>
      <c r="F96" s="43"/>
      <c r="G96" s="43">
        <v>47.79</v>
      </c>
      <c r="H96" s="43"/>
      <c r="I96" s="43"/>
      <c r="J96" s="43">
        <v>159.29</v>
      </c>
      <c r="K96" s="43"/>
      <c r="L96" s="43">
        <v>0</v>
      </c>
      <c r="M96" s="43"/>
      <c r="N96" s="43"/>
    </row>
    <row r="97" spans="1:14" customFormat="1">
      <c r="A97" s="41" t="s">
        <v>127</v>
      </c>
      <c r="B97" s="42" t="s">
        <v>126</v>
      </c>
      <c r="C97" s="43">
        <v>1720.33</v>
      </c>
      <c r="D97" s="43">
        <v>1720.33</v>
      </c>
      <c r="E97" s="43">
        <v>0</v>
      </c>
      <c r="F97" s="43"/>
      <c r="G97" s="43">
        <v>737.29</v>
      </c>
      <c r="H97" s="43">
        <v>0</v>
      </c>
      <c r="I97" s="43">
        <v>0</v>
      </c>
      <c r="J97" s="43">
        <v>2457.62</v>
      </c>
      <c r="K97" s="43">
        <v>0</v>
      </c>
      <c r="L97" s="43">
        <v>0</v>
      </c>
      <c r="M97" s="43"/>
      <c r="N97" s="43"/>
    </row>
    <row r="98" spans="1:14" customFormat="1">
      <c r="A98" s="41" t="s">
        <v>125</v>
      </c>
      <c r="B98" s="42" t="s">
        <v>124</v>
      </c>
      <c r="C98" s="43">
        <v>13.23</v>
      </c>
      <c r="D98" s="43">
        <v>13.23</v>
      </c>
      <c r="E98" s="43">
        <v>0</v>
      </c>
      <c r="F98" s="43"/>
      <c r="G98" s="43">
        <v>5.67</v>
      </c>
      <c r="H98" s="43"/>
      <c r="I98" s="43"/>
      <c r="J98" s="43">
        <v>18.899999999999999</v>
      </c>
      <c r="K98" s="43"/>
      <c r="L98" s="43">
        <v>0</v>
      </c>
      <c r="M98" s="43"/>
      <c r="N98" s="43"/>
    </row>
    <row r="99" spans="1:14" customFormat="1">
      <c r="A99" s="41" t="s">
        <v>123</v>
      </c>
      <c r="B99" s="42" t="s">
        <v>122</v>
      </c>
      <c r="C99" s="43">
        <v>668.95</v>
      </c>
      <c r="D99" s="43">
        <v>668.95</v>
      </c>
      <c r="E99" s="43">
        <v>0</v>
      </c>
      <c r="F99" s="43"/>
      <c r="G99" s="43">
        <v>286.69</v>
      </c>
      <c r="H99" s="43">
        <v>0</v>
      </c>
      <c r="I99" s="43">
        <v>0</v>
      </c>
      <c r="J99" s="43">
        <v>955.64</v>
      </c>
      <c r="K99" s="43">
        <v>0</v>
      </c>
      <c r="L99" s="43">
        <v>0</v>
      </c>
      <c r="M99" s="43"/>
      <c r="N99" s="43"/>
    </row>
    <row r="100" spans="1:14" customFormat="1">
      <c r="A100" s="41" t="s">
        <v>121</v>
      </c>
      <c r="B100" s="42" t="s">
        <v>120</v>
      </c>
      <c r="C100" s="43">
        <v>757.66</v>
      </c>
      <c r="D100" s="43">
        <v>0</v>
      </c>
      <c r="E100" s="43">
        <v>757.66</v>
      </c>
      <c r="F100" s="43"/>
      <c r="G100" s="43">
        <v>0</v>
      </c>
      <c r="H100" s="43">
        <v>0</v>
      </c>
      <c r="I100" s="43">
        <v>0</v>
      </c>
      <c r="J100" s="43">
        <v>757.66</v>
      </c>
      <c r="K100" s="43">
        <v>0</v>
      </c>
      <c r="L100" s="43">
        <v>0</v>
      </c>
      <c r="M100" s="43"/>
      <c r="N100" s="43"/>
    </row>
    <row r="101" spans="1:14" customFormat="1">
      <c r="A101" s="41" t="s">
        <v>119</v>
      </c>
      <c r="B101" s="42" t="s">
        <v>118</v>
      </c>
      <c r="C101" s="43">
        <v>200.08</v>
      </c>
      <c r="D101" s="43">
        <v>200.08</v>
      </c>
      <c r="E101" s="43">
        <v>0</v>
      </c>
      <c r="F101" s="43"/>
      <c r="G101" s="43">
        <v>85.75</v>
      </c>
      <c r="H101" s="43"/>
      <c r="I101" s="43"/>
      <c r="J101" s="43">
        <v>285.83</v>
      </c>
      <c r="K101" s="43"/>
      <c r="L101" s="43">
        <v>0</v>
      </c>
      <c r="M101" s="43"/>
      <c r="N101" s="43"/>
    </row>
    <row r="102" spans="1:14" customFormat="1">
      <c r="A102" s="41" t="s">
        <v>70</v>
      </c>
      <c r="B102" s="42" t="s">
        <v>69</v>
      </c>
      <c r="C102" s="43">
        <v>1.68</v>
      </c>
      <c r="D102" s="43">
        <v>1.68</v>
      </c>
      <c r="E102" s="43"/>
      <c r="F102" s="43"/>
      <c r="G102" s="43">
        <v>0.72</v>
      </c>
      <c r="H102" s="43"/>
      <c r="I102" s="43"/>
      <c r="J102" s="43">
        <v>2.4</v>
      </c>
      <c r="K102" s="43"/>
      <c r="L102" s="43">
        <v>0</v>
      </c>
      <c r="M102" s="43"/>
      <c r="N102" s="43"/>
    </row>
    <row r="103" spans="1:14" customFormat="1">
      <c r="A103" s="41" t="s">
        <v>117</v>
      </c>
      <c r="B103" s="42" t="s">
        <v>116</v>
      </c>
      <c r="C103" s="43">
        <v>78.62</v>
      </c>
      <c r="D103" s="43">
        <v>0</v>
      </c>
      <c r="E103" s="43">
        <v>78.62</v>
      </c>
      <c r="F103" s="43"/>
      <c r="G103" s="43">
        <v>0</v>
      </c>
      <c r="H103" s="43">
        <v>0</v>
      </c>
      <c r="I103" s="43">
        <v>0</v>
      </c>
      <c r="J103" s="43">
        <v>78.62</v>
      </c>
      <c r="K103" s="43">
        <v>0</v>
      </c>
      <c r="L103" s="43">
        <v>0</v>
      </c>
      <c r="M103" s="43"/>
      <c r="N103" s="43"/>
    </row>
    <row r="104" spans="1:14" customFormat="1">
      <c r="A104" s="41" t="s">
        <v>115</v>
      </c>
      <c r="B104" s="42" t="s">
        <v>114</v>
      </c>
      <c r="C104" s="43">
        <v>253.03</v>
      </c>
      <c r="D104" s="43">
        <v>0</v>
      </c>
      <c r="E104" s="43">
        <v>0</v>
      </c>
      <c r="F104" s="43"/>
      <c r="G104" s="43">
        <v>0</v>
      </c>
      <c r="H104" s="43">
        <v>253.03</v>
      </c>
      <c r="I104" s="43">
        <v>0</v>
      </c>
      <c r="J104" s="43">
        <v>253.03</v>
      </c>
      <c r="K104" s="43">
        <v>0</v>
      </c>
      <c r="L104" s="43">
        <v>0</v>
      </c>
      <c r="M104" s="43"/>
      <c r="N104" s="43"/>
    </row>
    <row r="105" spans="1:14" customFormat="1">
      <c r="A105" s="41" t="s">
        <v>113</v>
      </c>
      <c r="B105" s="42" t="s">
        <v>112</v>
      </c>
      <c r="C105" s="43">
        <v>340.4</v>
      </c>
      <c r="D105" s="43">
        <v>340.4</v>
      </c>
      <c r="E105" s="43">
        <v>0</v>
      </c>
      <c r="F105" s="43"/>
      <c r="G105" s="43">
        <v>145.88999999999999</v>
      </c>
      <c r="H105" s="43"/>
      <c r="I105" s="43"/>
      <c r="J105" s="43">
        <v>486.29</v>
      </c>
      <c r="K105" s="43"/>
      <c r="L105" s="43">
        <v>0</v>
      </c>
      <c r="M105" s="43"/>
      <c r="N105" s="43"/>
    </row>
    <row r="106" spans="1:14" customFormat="1">
      <c r="A106" s="41" t="s">
        <v>111</v>
      </c>
      <c r="B106" s="42" t="s">
        <v>110</v>
      </c>
      <c r="C106" s="43">
        <v>4923.42</v>
      </c>
      <c r="D106" s="43">
        <v>4923.42</v>
      </c>
      <c r="E106" s="43">
        <v>0</v>
      </c>
      <c r="F106" s="43"/>
      <c r="G106" s="43">
        <v>2110.02</v>
      </c>
      <c r="H106" s="43">
        <v>0</v>
      </c>
      <c r="I106" s="43">
        <v>0</v>
      </c>
      <c r="J106" s="43">
        <v>7033.44</v>
      </c>
      <c r="K106" s="43">
        <v>0</v>
      </c>
      <c r="L106" s="43">
        <v>0</v>
      </c>
      <c r="M106" s="43"/>
      <c r="N106" s="43"/>
    </row>
    <row r="107" spans="1:14" customFormat="1" ht="18">
      <c r="A107" s="41" t="s">
        <v>109</v>
      </c>
      <c r="B107" s="42" t="s">
        <v>108</v>
      </c>
      <c r="C107" s="43">
        <v>440</v>
      </c>
      <c r="D107" s="43">
        <v>0</v>
      </c>
      <c r="E107" s="43">
        <v>440</v>
      </c>
      <c r="F107" s="43"/>
      <c r="G107" s="43">
        <v>0</v>
      </c>
      <c r="H107" s="43">
        <v>0</v>
      </c>
      <c r="I107" s="43">
        <v>0</v>
      </c>
      <c r="J107" s="43">
        <v>440</v>
      </c>
      <c r="K107" s="43">
        <v>0</v>
      </c>
      <c r="L107" s="43">
        <v>0</v>
      </c>
      <c r="M107" s="43"/>
      <c r="N107" s="43"/>
    </row>
    <row r="108" spans="1:14" customFormat="1">
      <c r="A108" s="41" t="s">
        <v>107</v>
      </c>
      <c r="B108" s="42" t="s">
        <v>106</v>
      </c>
      <c r="C108" s="43">
        <v>6413.94</v>
      </c>
      <c r="D108" s="43">
        <v>6413.94</v>
      </c>
      <c r="E108" s="43">
        <v>0</v>
      </c>
      <c r="F108" s="43"/>
      <c r="G108" s="43">
        <v>2748.84</v>
      </c>
      <c r="H108" s="43">
        <v>0</v>
      </c>
      <c r="I108" s="43">
        <v>0</v>
      </c>
      <c r="J108" s="43">
        <v>9162.7800000000007</v>
      </c>
      <c r="K108" s="43">
        <v>0</v>
      </c>
      <c r="L108" s="43">
        <v>0</v>
      </c>
      <c r="M108" s="43"/>
      <c r="N108" s="43"/>
    </row>
    <row r="109" spans="1:14" customFormat="1">
      <c r="A109" s="41" t="s">
        <v>105</v>
      </c>
      <c r="B109" s="42" t="s">
        <v>104</v>
      </c>
      <c r="C109" s="43">
        <v>246.79</v>
      </c>
      <c r="D109" s="43">
        <v>246.79</v>
      </c>
      <c r="E109" s="43">
        <v>0</v>
      </c>
      <c r="F109" s="43"/>
      <c r="G109" s="43">
        <v>105.77</v>
      </c>
      <c r="H109" s="43"/>
      <c r="I109" s="43"/>
      <c r="J109" s="43">
        <v>352.56</v>
      </c>
      <c r="K109" s="43"/>
      <c r="L109" s="43">
        <v>0</v>
      </c>
      <c r="M109" s="43"/>
      <c r="N109" s="43"/>
    </row>
    <row r="110" spans="1:14" customFormat="1" ht="15.75" thickBot="1">
      <c r="A110" s="41" t="s">
        <v>103</v>
      </c>
      <c r="B110" s="42" t="s">
        <v>102</v>
      </c>
      <c r="C110" s="43">
        <v>534.5</v>
      </c>
      <c r="D110" s="43">
        <v>0</v>
      </c>
      <c r="E110" s="43">
        <v>534.5</v>
      </c>
      <c r="F110" s="43"/>
      <c r="G110" s="43">
        <v>0</v>
      </c>
      <c r="H110" s="43">
        <v>0</v>
      </c>
      <c r="I110" s="43">
        <v>0</v>
      </c>
      <c r="J110" s="43">
        <v>534.5</v>
      </c>
      <c r="K110" s="43">
        <v>0</v>
      </c>
      <c r="L110" s="43">
        <v>0</v>
      </c>
      <c r="M110" s="43"/>
      <c r="N110" s="43"/>
    </row>
    <row r="111" spans="1:14">
      <c r="A111" s="26"/>
      <c r="B111" s="24"/>
      <c r="C111" s="27">
        <f t="shared" ref="C111:N111" si="6">SUM(C28:C110)</f>
        <v>92203.269999999946</v>
      </c>
      <c r="D111" s="27">
        <f t="shared" si="6"/>
        <v>72483.76999999999</v>
      </c>
      <c r="E111" s="27">
        <f t="shared" si="6"/>
        <v>10468.720000000001</v>
      </c>
      <c r="F111" s="27">
        <f t="shared" si="6"/>
        <v>6522.92</v>
      </c>
      <c r="G111" s="27">
        <f t="shared" si="6"/>
        <v>31064.44</v>
      </c>
      <c r="H111" s="27">
        <f t="shared" si="6"/>
        <v>2068.41</v>
      </c>
      <c r="I111" s="27">
        <f t="shared" si="6"/>
        <v>18.09</v>
      </c>
      <c r="J111" s="27">
        <f t="shared" si="6"/>
        <v>122626.34999999998</v>
      </c>
      <c r="K111" s="27">
        <f t="shared" si="6"/>
        <v>0</v>
      </c>
      <c r="L111" s="27">
        <f t="shared" si="6"/>
        <v>0</v>
      </c>
      <c r="M111" s="27">
        <f t="shared" si="6"/>
        <v>625.86</v>
      </c>
      <c r="N111" s="27">
        <f t="shared" si="6"/>
        <v>33.589999999999996</v>
      </c>
    </row>
    <row r="112" spans="1:14">
      <c r="A112" s="26" t="s">
        <v>101</v>
      </c>
      <c r="B112" s="26"/>
      <c r="H112" s="32"/>
      <c r="N112" s="31"/>
    </row>
    <row r="113" spans="1:14" ht="15.75" thickBot="1">
      <c r="A113" s="30" t="s">
        <v>100</v>
      </c>
      <c r="B113" s="29" t="s">
        <v>99</v>
      </c>
      <c r="C113" s="28">
        <v>2562</v>
      </c>
      <c r="D113" s="28">
        <v>0</v>
      </c>
      <c r="E113" s="28">
        <v>0</v>
      </c>
      <c r="F113" s="28">
        <v>0</v>
      </c>
      <c r="G113" s="28">
        <v>0</v>
      </c>
      <c r="H113" s="28">
        <v>306.08999999999997</v>
      </c>
      <c r="I113" s="28">
        <v>133.66999999999999</v>
      </c>
      <c r="J113" s="28">
        <v>439.76</v>
      </c>
      <c r="K113" s="28">
        <v>0</v>
      </c>
      <c r="L113" s="28">
        <v>0</v>
      </c>
      <c r="M113" s="28">
        <v>2479.54</v>
      </c>
      <c r="N113" s="28">
        <v>-223.63</v>
      </c>
    </row>
    <row r="114" spans="1:14">
      <c r="A114" s="26"/>
      <c r="B114" s="24"/>
      <c r="C114" s="27">
        <f t="shared" ref="C114:N114" si="7">SUM(C113)</f>
        <v>2562</v>
      </c>
      <c r="D114" s="27">
        <f t="shared" si="7"/>
        <v>0</v>
      </c>
      <c r="E114" s="27">
        <f t="shared" si="7"/>
        <v>0</v>
      </c>
      <c r="F114" s="27">
        <f t="shared" si="7"/>
        <v>0</v>
      </c>
      <c r="G114" s="27">
        <f t="shared" si="7"/>
        <v>0</v>
      </c>
      <c r="H114" s="27">
        <f t="shared" si="7"/>
        <v>306.08999999999997</v>
      </c>
      <c r="I114" s="27">
        <f t="shared" si="7"/>
        <v>133.66999999999999</v>
      </c>
      <c r="J114" s="27">
        <f t="shared" si="7"/>
        <v>439.76</v>
      </c>
      <c r="K114" s="27">
        <f t="shared" si="7"/>
        <v>0</v>
      </c>
      <c r="L114" s="27">
        <f t="shared" si="7"/>
        <v>0</v>
      </c>
      <c r="M114" s="27">
        <f t="shared" si="7"/>
        <v>2479.54</v>
      </c>
      <c r="N114" s="27">
        <f t="shared" si="7"/>
        <v>-223.63</v>
      </c>
    </row>
    <row r="115" spans="1:14">
      <c r="A115" s="26" t="s">
        <v>98</v>
      </c>
      <c r="B115" s="26"/>
      <c r="H115" s="32"/>
      <c r="N115" s="31"/>
    </row>
    <row r="116" spans="1:14" ht="15.75" thickBot="1">
      <c r="A116" s="30" t="s">
        <v>97</v>
      </c>
      <c r="B116" s="29" t="s">
        <v>96</v>
      </c>
      <c r="C116" s="28">
        <v>126</v>
      </c>
      <c r="D116" s="28"/>
      <c r="E116" s="28"/>
      <c r="F116" s="28">
        <v>23.12</v>
      </c>
      <c r="G116" s="28">
        <v>0</v>
      </c>
      <c r="H116" s="28">
        <v>0</v>
      </c>
      <c r="I116" s="28">
        <v>0</v>
      </c>
      <c r="J116" s="28">
        <v>23.12</v>
      </c>
      <c r="K116" s="28"/>
      <c r="L116" s="28">
        <v>0</v>
      </c>
      <c r="M116" s="28">
        <v>0</v>
      </c>
      <c r="N116" s="28">
        <v>102.88</v>
      </c>
    </row>
    <row r="117" spans="1:14">
      <c r="A117" s="26"/>
      <c r="B117" s="24"/>
      <c r="C117" s="27">
        <f t="shared" ref="C117:N117" si="8">SUM(C116)</f>
        <v>126</v>
      </c>
      <c r="D117" s="27">
        <f t="shared" si="8"/>
        <v>0</v>
      </c>
      <c r="E117" s="27">
        <f t="shared" si="8"/>
        <v>0</v>
      </c>
      <c r="F117" s="27">
        <f t="shared" si="8"/>
        <v>23.12</v>
      </c>
      <c r="G117" s="27">
        <f t="shared" si="8"/>
        <v>0</v>
      </c>
      <c r="H117" s="27">
        <f t="shared" si="8"/>
        <v>0</v>
      </c>
      <c r="I117" s="27">
        <f t="shared" si="8"/>
        <v>0</v>
      </c>
      <c r="J117" s="27">
        <f t="shared" si="8"/>
        <v>23.12</v>
      </c>
      <c r="K117" s="27">
        <f t="shared" si="8"/>
        <v>0</v>
      </c>
      <c r="L117" s="27">
        <f t="shared" si="8"/>
        <v>0</v>
      </c>
      <c r="M117" s="27">
        <f t="shared" si="8"/>
        <v>0</v>
      </c>
      <c r="N117" s="27">
        <f t="shared" si="8"/>
        <v>102.88</v>
      </c>
    </row>
    <row r="118" spans="1:14">
      <c r="A118" s="26" t="s">
        <v>95</v>
      </c>
      <c r="B118" s="26"/>
      <c r="H118" s="32"/>
      <c r="N118" s="31"/>
    </row>
    <row r="119" spans="1:14" customFormat="1">
      <c r="A119" s="41" t="s">
        <v>94</v>
      </c>
      <c r="B119" s="42" t="s">
        <v>93</v>
      </c>
      <c r="C119" s="43">
        <v>601.97</v>
      </c>
      <c r="D119" s="43">
        <v>250.18</v>
      </c>
      <c r="E119" s="43">
        <v>0</v>
      </c>
      <c r="F119" s="43">
        <v>0</v>
      </c>
      <c r="G119" s="43">
        <v>107.22</v>
      </c>
      <c r="H119" s="43">
        <v>0</v>
      </c>
      <c r="I119" s="43">
        <v>0</v>
      </c>
      <c r="J119" s="43">
        <v>357.4</v>
      </c>
      <c r="K119" s="43">
        <v>0</v>
      </c>
      <c r="L119" s="43">
        <v>0</v>
      </c>
      <c r="M119" s="43">
        <v>0</v>
      </c>
      <c r="N119" s="43">
        <v>351.79</v>
      </c>
    </row>
    <row r="120" spans="1:14" customFormat="1">
      <c r="A120" s="41" t="s">
        <v>92</v>
      </c>
      <c r="B120" s="42" t="s">
        <v>91</v>
      </c>
      <c r="C120" s="43">
        <v>611.24</v>
      </c>
      <c r="D120" s="43"/>
      <c r="E120" s="43">
        <v>0</v>
      </c>
      <c r="F120" s="43">
        <v>509.04</v>
      </c>
      <c r="G120" s="43">
        <v>0</v>
      </c>
      <c r="H120" s="43">
        <v>0</v>
      </c>
      <c r="I120" s="43">
        <v>0</v>
      </c>
      <c r="J120" s="43">
        <v>509.04</v>
      </c>
      <c r="K120" s="43"/>
      <c r="L120" s="43">
        <v>0</v>
      </c>
      <c r="M120" s="43">
        <v>101.37</v>
      </c>
      <c r="N120" s="43">
        <v>0.83</v>
      </c>
    </row>
    <row r="121" spans="1:14" customFormat="1">
      <c r="A121" s="41" t="s">
        <v>90</v>
      </c>
      <c r="B121" s="42" t="s">
        <v>89</v>
      </c>
      <c r="C121" s="43">
        <v>1660</v>
      </c>
      <c r="D121" s="43">
        <v>0</v>
      </c>
      <c r="E121" s="43">
        <v>0</v>
      </c>
      <c r="F121" s="43">
        <v>422.84</v>
      </c>
      <c r="G121" s="43">
        <v>0</v>
      </c>
      <c r="H121" s="43">
        <v>0</v>
      </c>
      <c r="I121" s="43">
        <v>0</v>
      </c>
      <c r="J121" s="43">
        <v>422.84</v>
      </c>
      <c r="K121" s="43">
        <v>0</v>
      </c>
      <c r="L121" s="43">
        <v>0</v>
      </c>
      <c r="M121" s="43">
        <v>96.04</v>
      </c>
      <c r="N121" s="43">
        <v>1141.1199999999999</v>
      </c>
    </row>
    <row r="122" spans="1:14" customFormat="1">
      <c r="A122" s="41" t="s">
        <v>88</v>
      </c>
      <c r="B122" s="42" t="s">
        <v>87</v>
      </c>
      <c r="C122" s="43">
        <v>3690.49</v>
      </c>
      <c r="D122" s="43"/>
      <c r="E122" s="43"/>
      <c r="F122" s="43">
        <v>1610.21</v>
      </c>
      <c r="G122" s="43">
        <v>0</v>
      </c>
      <c r="H122" s="43">
        <v>0</v>
      </c>
      <c r="I122" s="43">
        <v>0</v>
      </c>
      <c r="J122" s="43">
        <v>1610.21</v>
      </c>
      <c r="K122" s="43"/>
      <c r="L122" s="43">
        <v>0</v>
      </c>
      <c r="M122" s="43">
        <v>128.26</v>
      </c>
      <c r="N122" s="43">
        <v>1952.02</v>
      </c>
    </row>
    <row r="123" spans="1:14" customFormat="1">
      <c r="A123" s="41" t="s">
        <v>86</v>
      </c>
      <c r="B123" s="42" t="s">
        <v>85</v>
      </c>
      <c r="C123" s="43">
        <v>836.98</v>
      </c>
      <c r="D123" s="43">
        <v>79.63</v>
      </c>
      <c r="E123" s="43">
        <v>19.670000000000002</v>
      </c>
      <c r="F123" s="43">
        <v>471.86</v>
      </c>
      <c r="G123" s="43">
        <v>48.64</v>
      </c>
      <c r="H123" s="43">
        <v>0</v>
      </c>
      <c r="I123" s="43">
        <v>0</v>
      </c>
      <c r="J123" s="43">
        <v>619.79999999999995</v>
      </c>
      <c r="K123" s="43"/>
      <c r="L123" s="43">
        <v>0</v>
      </c>
      <c r="M123" s="43">
        <v>49.1</v>
      </c>
      <c r="N123" s="43">
        <v>216.72</v>
      </c>
    </row>
    <row r="124" spans="1:14" customFormat="1">
      <c r="A124" s="41" t="s">
        <v>84</v>
      </c>
      <c r="B124" s="42" t="s">
        <v>83</v>
      </c>
      <c r="C124" s="43">
        <v>116.22</v>
      </c>
      <c r="D124" s="43">
        <v>116.22</v>
      </c>
      <c r="E124" s="43"/>
      <c r="F124" s="43"/>
      <c r="G124" s="43">
        <v>49.81</v>
      </c>
      <c r="H124" s="43"/>
      <c r="I124" s="43"/>
      <c r="J124" s="43">
        <v>166.03</v>
      </c>
      <c r="K124" s="43"/>
      <c r="L124" s="43">
        <v>0</v>
      </c>
      <c r="M124" s="43"/>
      <c r="N124" s="43"/>
    </row>
    <row r="125" spans="1:14" customFormat="1">
      <c r="A125" s="41" t="s">
        <v>84</v>
      </c>
      <c r="B125" s="42" t="s">
        <v>83</v>
      </c>
      <c r="C125" s="43">
        <v>1213.78</v>
      </c>
      <c r="D125" s="43">
        <v>0</v>
      </c>
      <c r="E125" s="43">
        <v>0</v>
      </c>
      <c r="F125" s="43">
        <v>717.2</v>
      </c>
      <c r="G125" s="43">
        <v>0</v>
      </c>
      <c r="H125" s="43">
        <v>0</v>
      </c>
      <c r="I125" s="43">
        <v>0</v>
      </c>
      <c r="J125" s="43">
        <v>717.2</v>
      </c>
      <c r="K125" s="43">
        <v>0</v>
      </c>
      <c r="L125" s="43">
        <v>0</v>
      </c>
      <c r="M125" s="43">
        <v>1952.13</v>
      </c>
      <c r="N125" s="43">
        <v>-1455.54</v>
      </c>
    </row>
    <row r="126" spans="1:14" customFormat="1">
      <c r="A126" s="41" t="s">
        <v>82</v>
      </c>
      <c r="B126" s="42" t="s">
        <v>81</v>
      </c>
      <c r="C126" s="43">
        <v>7880.79</v>
      </c>
      <c r="D126" s="43">
        <v>2617.1</v>
      </c>
      <c r="E126" s="43">
        <v>190.24</v>
      </c>
      <c r="F126" s="43">
        <v>6.88</v>
      </c>
      <c r="G126" s="43">
        <v>1363.15</v>
      </c>
      <c r="H126" s="43">
        <v>22.37</v>
      </c>
      <c r="I126" s="43">
        <v>2.1</v>
      </c>
      <c r="J126" s="43">
        <v>4201.84</v>
      </c>
      <c r="K126" s="43">
        <v>0</v>
      </c>
      <c r="L126" s="43">
        <v>0</v>
      </c>
      <c r="M126" s="43">
        <v>5044.17</v>
      </c>
      <c r="N126" s="43">
        <v>0.03</v>
      </c>
    </row>
    <row r="127" spans="1:14" customFormat="1">
      <c r="A127" s="41" t="s">
        <v>80</v>
      </c>
      <c r="B127" s="42" t="s">
        <v>79</v>
      </c>
      <c r="C127" s="43">
        <v>37.19</v>
      </c>
      <c r="D127" s="43">
        <v>0</v>
      </c>
      <c r="E127" s="43">
        <v>0</v>
      </c>
      <c r="F127" s="43">
        <v>3.02</v>
      </c>
      <c r="G127" s="43">
        <v>0</v>
      </c>
      <c r="H127" s="43">
        <v>11.46</v>
      </c>
      <c r="I127" s="43">
        <v>0.18</v>
      </c>
      <c r="J127" s="43">
        <v>14.66</v>
      </c>
      <c r="K127" s="43">
        <v>0</v>
      </c>
      <c r="L127" s="43">
        <v>0</v>
      </c>
      <c r="M127" s="43">
        <v>21.15</v>
      </c>
      <c r="N127" s="43">
        <v>1.56</v>
      </c>
    </row>
    <row r="128" spans="1:14" customFormat="1">
      <c r="A128" s="41" t="s">
        <v>78</v>
      </c>
      <c r="B128" s="42" t="s">
        <v>77</v>
      </c>
      <c r="C128" s="43">
        <v>4940.88</v>
      </c>
      <c r="D128" s="43">
        <v>1126.44</v>
      </c>
      <c r="E128" s="43">
        <v>216.89</v>
      </c>
      <c r="F128" s="43">
        <v>74.09</v>
      </c>
      <c r="G128" s="43">
        <v>638.34</v>
      </c>
      <c r="H128" s="43">
        <v>126.57</v>
      </c>
      <c r="I128" s="43">
        <v>17.52</v>
      </c>
      <c r="J128" s="43">
        <v>2199.85</v>
      </c>
      <c r="K128" s="43"/>
      <c r="L128" s="43">
        <v>0</v>
      </c>
      <c r="M128" s="43">
        <v>3194.75</v>
      </c>
      <c r="N128" s="43">
        <v>202.14</v>
      </c>
    </row>
    <row r="129" spans="1:14" customFormat="1">
      <c r="A129" s="41" t="s">
        <v>76</v>
      </c>
      <c r="B129" s="42" t="s">
        <v>75</v>
      </c>
      <c r="C129" s="43">
        <v>6039.44</v>
      </c>
      <c r="D129" s="43">
        <v>0</v>
      </c>
      <c r="E129" s="43">
        <v>0</v>
      </c>
      <c r="F129" s="43">
        <v>0</v>
      </c>
      <c r="G129" s="43">
        <v>0</v>
      </c>
      <c r="H129" s="43">
        <v>674.82</v>
      </c>
      <c r="I129" s="43">
        <v>294.72000000000003</v>
      </c>
      <c r="J129" s="43">
        <v>969.54</v>
      </c>
      <c r="K129" s="43">
        <v>0</v>
      </c>
      <c r="L129" s="43">
        <v>0</v>
      </c>
      <c r="M129" s="43">
        <v>7185.81</v>
      </c>
      <c r="N129" s="43">
        <v>-1821.19</v>
      </c>
    </row>
    <row r="130" spans="1:14" customFormat="1">
      <c r="A130" s="41" t="s">
        <v>74</v>
      </c>
      <c r="B130" s="42" t="s">
        <v>73</v>
      </c>
      <c r="C130" s="43">
        <v>425.29</v>
      </c>
      <c r="D130" s="43">
        <v>0</v>
      </c>
      <c r="E130" s="43">
        <v>0</v>
      </c>
      <c r="F130" s="43">
        <v>242.52</v>
      </c>
      <c r="G130" s="43">
        <v>0</v>
      </c>
      <c r="H130" s="43">
        <v>0</v>
      </c>
      <c r="I130" s="43">
        <v>0</v>
      </c>
      <c r="J130" s="43">
        <v>242.52</v>
      </c>
      <c r="K130" s="43">
        <v>0</v>
      </c>
      <c r="L130" s="43">
        <v>0</v>
      </c>
      <c r="M130" s="43">
        <v>89.64</v>
      </c>
      <c r="N130" s="43">
        <v>93.13</v>
      </c>
    </row>
    <row r="131" spans="1:14" customFormat="1">
      <c r="A131" s="41" t="s">
        <v>72</v>
      </c>
      <c r="B131" s="42" t="s">
        <v>71</v>
      </c>
      <c r="C131" s="43">
        <v>79.599999999999994</v>
      </c>
      <c r="D131" s="43">
        <v>73.010000000000005</v>
      </c>
      <c r="E131" s="43">
        <v>0</v>
      </c>
      <c r="F131" s="43">
        <v>0</v>
      </c>
      <c r="G131" s="43">
        <v>36.450000000000003</v>
      </c>
      <c r="H131" s="43">
        <v>0</v>
      </c>
      <c r="I131" s="43">
        <v>0</v>
      </c>
      <c r="J131" s="43">
        <v>109.46</v>
      </c>
      <c r="K131" s="43">
        <v>0</v>
      </c>
      <c r="L131" s="43">
        <v>0</v>
      </c>
      <c r="M131" s="43">
        <v>0</v>
      </c>
      <c r="N131" s="43">
        <v>6.59</v>
      </c>
    </row>
    <row r="132" spans="1:14" customFormat="1">
      <c r="A132" s="41" t="s">
        <v>70</v>
      </c>
      <c r="B132" s="42" t="s">
        <v>69</v>
      </c>
      <c r="C132" s="43">
        <v>69.569999999999993</v>
      </c>
      <c r="D132" s="43">
        <v>0.28999999999999998</v>
      </c>
      <c r="E132" s="43">
        <v>0</v>
      </c>
      <c r="F132" s="43">
        <v>35.4</v>
      </c>
      <c r="G132" s="43">
        <v>0.13</v>
      </c>
      <c r="H132" s="43">
        <v>0</v>
      </c>
      <c r="I132" s="43">
        <v>0</v>
      </c>
      <c r="J132" s="43">
        <v>35.82</v>
      </c>
      <c r="K132" s="43">
        <v>0</v>
      </c>
      <c r="L132" s="43">
        <v>0</v>
      </c>
      <c r="M132" s="43">
        <v>0</v>
      </c>
      <c r="N132" s="43">
        <v>33.880000000000003</v>
      </c>
    </row>
    <row r="133" spans="1:14" customFormat="1" ht="15.75" thickBot="1">
      <c r="A133" s="41" t="s">
        <v>68</v>
      </c>
      <c r="B133" s="42" t="s">
        <v>67</v>
      </c>
      <c r="C133" s="43">
        <v>6679.51</v>
      </c>
      <c r="D133" s="43">
        <v>3872.5</v>
      </c>
      <c r="E133" s="43">
        <v>304.67</v>
      </c>
      <c r="F133" s="43">
        <v>176.96</v>
      </c>
      <c r="G133" s="43">
        <v>1713.43</v>
      </c>
      <c r="H133" s="43">
        <v>77.400000000000006</v>
      </c>
      <c r="I133" s="43">
        <v>5.16</v>
      </c>
      <c r="J133" s="43">
        <v>6150.12</v>
      </c>
      <c r="K133" s="43"/>
      <c r="L133" s="43">
        <v>0</v>
      </c>
      <c r="M133" s="43">
        <v>2470.3000000000002</v>
      </c>
      <c r="N133" s="43">
        <v>-222.32</v>
      </c>
    </row>
    <row r="134" spans="1:14">
      <c r="A134" s="26"/>
      <c r="B134" s="24"/>
      <c r="C134" s="27">
        <f t="shared" ref="C134:N134" si="9">SUM(C119:C133)</f>
        <v>34882.949999999997</v>
      </c>
      <c r="D134" s="27">
        <f t="shared" si="9"/>
        <v>8135.37</v>
      </c>
      <c r="E134" s="27">
        <f t="shared" si="9"/>
        <v>731.47</v>
      </c>
      <c r="F134" s="27">
        <f t="shared" si="9"/>
        <v>4270.0200000000004</v>
      </c>
      <c r="G134" s="27">
        <f t="shared" si="9"/>
        <v>3957.17</v>
      </c>
      <c r="H134" s="27">
        <f t="shared" si="9"/>
        <v>912.62</v>
      </c>
      <c r="I134" s="27">
        <f t="shared" si="9"/>
        <v>319.68000000000006</v>
      </c>
      <c r="J134" s="27">
        <f t="shared" si="9"/>
        <v>18326.329999999998</v>
      </c>
      <c r="K134" s="27">
        <f t="shared" si="9"/>
        <v>0</v>
      </c>
      <c r="L134" s="27">
        <f t="shared" si="9"/>
        <v>0</v>
      </c>
      <c r="M134" s="27">
        <f t="shared" si="9"/>
        <v>20332.719999999998</v>
      </c>
      <c r="N134" s="27">
        <f t="shared" si="9"/>
        <v>500.75999999999959</v>
      </c>
    </row>
    <row r="135" spans="1:14" ht="15.75" thickBot="1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</row>
    <row r="136" spans="1:14" ht="15.75" thickBot="1">
      <c r="A136" s="26"/>
      <c r="B136" s="26"/>
      <c r="C136" s="25">
        <f t="shared" ref="C136:N136" si="10">SUM(C10,C13,C16,C20,C23,C26,C111,C114,C117,C134)</f>
        <v>132143.98999999993</v>
      </c>
      <c r="D136" s="25">
        <f t="shared" si="10"/>
        <v>80780.739999999991</v>
      </c>
      <c r="E136" s="25">
        <f t="shared" si="10"/>
        <v>11379.19</v>
      </c>
      <c r="F136" s="25">
        <f t="shared" si="10"/>
        <v>12693.730000000001</v>
      </c>
      <c r="G136" s="25">
        <f t="shared" si="10"/>
        <v>35091.11</v>
      </c>
      <c r="H136" s="25">
        <f t="shared" si="10"/>
        <v>3288.1099999999997</v>
      </c>
      <c r="I136" s="25">
        <f t="shared" si="10"/>
        <v>471.47</v>
      </c>
      <c r="J136" s="25">
        <f t="shared" si="10"/>
        <v>143704.34999999995</v>
      </c>
      <c r="K136" s="25">
        <f t="shared" si="10"/>
        <v>0</v>
      </c>
      <c r="L136" s="25">
        <f t="shared" si="10"/>
        <v>0</v>
      </c>
      <c r="M136" s="25">
        <f t="shared" si="10"/>
        <v>23468.659999999996</v>
      </c>
      <c r="N136" s="25">
        <f t="shared" si="10"/>
        <v>533.5699999999996</v>
      </c>
    </row>
    <row r="137" spans="1:14" ht="15.75" thickTop="1">
      <c r="H137" s="40">
        <f>H136+I136</f>
        <v>3759.58</v>
      </c>
      <c r="I137" s="15" t="s">
        <v>293</v>
      </c>
    </row>
    <row r="139" spans="1:14">
      <c r="A139" s="24" t="s">
        <v>66</v>
      </c>
      <c r="B139" s="19"/>
      <c r="C139" s="19"/>
      <c r="D139" s="16"/>
      <c r="E139" s="18">
        <f>SUM(J10,J13,J16,J20,J23,J26,J111,J114,J117,J134)</f>
        <v>143704.34999999995</v>
      </c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1:14">
      <c r="A140" s="24" t="s">
        <v>65</v>
      </c>
      <c r="B140" s="16"/>
      <c r="C140" s="16"/>
      <c r="D140" s="16"/>
      <c r="E140" s="18">
        <v>15705</v>
      </c>
      <c r="F140" s="16"/>
      <c r="G140" s="16"/>
      <c r="H140" s="16"/>
      <c r="I140" s="16"/>
      <c r="J140" s="16"/>
      <c r="K140" s="16"/>
      <c r="L140" s="16"/>
      <c r="M140" s="16"/>
      <c r="N140" s="16"/>
    </row>
    <row r="141" spans="1:14">
      <c r="A141" s="16"/>
      <c r="B141" s="16"/>
      <c r="C141" s="16"/>
      <c r="D141" s="16"/>
      <c r="E141" s="23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1:14">
      <c r="A142" s="22" t="s">
        <v>64</v>
      </c>
      <c r="B142" s="20"/>
      <c r="C142" s="20"/>
      <c r="D142" s="20"/>
      <c r="E142" s="21">
        <f>SUM(E139:E140)</f>
        <v>159409.34999999995</v>
      </c>
      <c r="F142" s="20"/>
      <c r="G142" s="16"/>
      <c r="H142" s="16"/>
      <c r="I142" s="16"/>
      <c r="J142" s="16"/>
      <c r="K142" s="16"/>
      <c r="L142" s="16"/>
      <c r="M142" s="16"/>
      <c r="N142" s="16"/>
    </row>
    <row r="143" spans="1:14">
      <c r="A143" s="19"/>
      <c r="B143" s="16"/>
      <c r="C143" s="16"/>
      <c r="D143" s="16"/>
      <c r="E143" s="18"/>
      <c r="F143" s="16"/>
      <c r="G143" s="16"/>
      <c r="H143" s="16"/>
      <c r="I143" s="16"/>
      <c r="J143" s="16"/>
      <c r="K143" s="16"/>
      <c r="L143" s="16"/>
      <c r="M143" s="16"/>
      <c r="N143" s="16"/>
    </row>
    <row r="144" spans="1:14">
      <c r="A144" s="17" t="s">
        <v>63</v>
      </c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</row>
    <row r="145" spans="1:14">
      <c r="A145" s="17" t="s">
        <v>62</v>
      </c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</row>
    <row r="146" spans="1:14">
      <c r="A146" s="17" t="s">
        <v>61</v>
      </c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</row>
    <row r="147" spans="1:14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</row>
    <row r="148" spans="1:14" s="37" customFormat="1">
      <c r="B148" s="37" t="s">
        <v>291</v>
      </c>
      <c r="C148" s="38">
        <f>'Trust &amp; Dividend Income'!M38+'Trust &amp; Dividend Income'!N38+'Trust &amp; Dividend Income'!O38</f>
        <v>132143.99000000002</v>
      </c>
      <c r="D148" s="38">
        <f>'Trust &amp; Dividend Income'!D38</f>
        <v>80780.740000000005</v>
      </c>
      <c r="E148" s="38">
        <f>'Trust &amp; Dividend Income'!C38</f>
        <v>11379.19</v>
      </c>
      <c r="F148" s="38">
        <f>'Trust &amp; Dividend Income'!B38+'Trust &amp; Dividend Income'!F38</f>
        <v>12693.730000000001</v>
      </c>
      <c r="G148" s="38">
        <f>'Trust &amp; Dividend Income'!E38</f>
        <v>35090.99</v>
      </c>
      <c r="H148" s="38">
        <f>'Trust &amp; Dividend Income'!G38</f>
        <v>3759.58</v>
      </c>
      <c r="I148" s="38">
        <f>'Trust &amp; Dividend Income'!K38</f>
        <v>471.47</v>
      </c>
      <c r="J148" s="38"/>
      <c r="M148" s="38">
        <f>'Trust &amp; Dividend Income'!H38</f>
        <v>23519.280000000002</v>
      </c>
      <c r="N148" s="38">
        <f>'Trust &amp; Dividend Income'!I38-'Trust &amp; Dividend Income'!L38</f>
        <v>482.94000000000051</v>
      </c>
    </row>
    <row r="149" spans="1:14" s="37" customFormat="1">
      <c r="B149" s="37" t="s">
        <v>292</v>
      </c>
      <c r="C149" s="38">
        <f>C136-C148</f>
        <v>0</v>
      </c>
      <c r="D149" s="38">
        <f t="shared" ref="D149:I149" si="11">D136-D148</f>
        <v>0</v>
      </c>
      <c r="E149" s="38">
        <f t="shared" si="11"/>
        <v>0</v>
      </c>
      <c r="F149" s="38">
        <f t="shared" si="11"/>
        <v>0</v>
      </c>
      <c r="G149" s="38">
        <f t="shared" si="11"/>
        <v>0.12000000000261934</v>
      </c>
      <c r="H149" s="38">
        <f>H137-H148</f>
        <v>0</v>
      </c>
      <c r="I149" s="38">
        <f t="shared" si="11"/>
        <v>0</v>
      </c>
      <c r="M149" s="38">
        <f>M136-M148</f>
        <v>-50.620000000006257</v>
      </c>
      <c r="N149" s="38">
        <f>N136-N148</f>
        <v>50.629999999999086</v>
      </c>
    </row>
  </sheetData>
  <mergeCells count="9">
    <mergeCell ref="M5:M6"/>
    <mergeCell ref="N5:N6"/>
    <mergeCell ref="A2:F2"/>
    <mergeCell ref="A3:F3"/>
    <mergeCell ref="A4:F4"/>
    <mergeCell ref="J5:J6"/>
    <mergeCell ref="K5:K6"/>
    <mergeCell ref="L5:L6"/>
    <mergeCell ref="A6:B6"/>
  </mergeCells>
  <pageMargins left="0.25" right="0.25" top="0.75" bottom="0.75" header="0.3" footer="0.3"/>
  <pageSetup paperSize="9" scale="9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2E987-ADF8-4F64-8CB8-BA498391D9F7}">
  <sheetPr>
    <pageSetUpPr fitToPage="1"/>
  </sheetPr>
  <dimension ref="A1:P39"/>
  <sheetViews>
    <sheetView topLeftCell="A28" workbookViewId="0">
      <selection activeCell="M66" sqref="M65:M66"/>
    </sheetView>
  </sheetViews>
  <sheetFormatPr defaultRowHeight="15"/>
  <cols>
    <col min="1" max="1" width="18.5703125" customWidth="1"/>
    <col min="2" max="14" width="14" customWidth="1"/>
    <col min="15" max="15" width="18.85546875" bestFit="1" customWidth="1"/>
  </cols>
  <sheetData>
    <row r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5" s="14" customFormat="1" ht="50.25" customHeight="1">
      <c r="A2" s="12" t="s">
        <v>23</v>
      </c>
      <c r="B2" s="13" t="s">
        <v>24</v>
      </c>
      <c r="C2" s="13" t="s">
        <v>25</v>
      </c>
      <c r="D2" s="13" t="s">
        <v>26</v>
      </c>
      <c r="E2" s="13" t="s">
        <v>27</v>
      </c>
      <c r="F2" s="13" t="s">
        <v>28</v>
      </c>
      <c r="G2" s="13" t="s">
        <v>29</v>
      </c>
      <c r="H2" s="13" t="s">
        <v>30</v>
      </c>
      <c r="I2" s="13" t="s">
        <v>31</v>
      </c>
      <c r="J2" s="13" t="s">
        <v>32</v>
      </c>
      <c r="K2" s="13" t="s">
        <v>33</v>
      </c>
      <c r="L2" s="13" t="s">
        <v>34</v>
      </c>
      <c r="M2" s="13" t="s">
        <v>35</v>
      </c>
      <c r="N2" s="13" t="s">
        <v>36</v>
      </c>
      <c r="O2" s="13" t="s">
        <v>54</v>
      </c>
    </row>
    <row r="3" spans="1:15">
      <c r="A3" s="3" t="s">
        <v>1</v>
      </c>
      <c r="B3" s="3">
        <v>0</v>
      </c>
      <c r="C3" s="3">
        <v>0</v>
      </c>
      <c r="D3" s="3">
        <v>0</v>
      </c>
      <c r="E3" s="4">
        <v>0</v>
      </c>
      <c r="F3" s="3">
        <v>509.04</v>
      </c>
      <c r="G3" s="3">
        <v>0</v>
      </c>
      <c r="H3" s="3">
        <v>152.06</v>
      </c>
      <c r="I3" s="3">
        <v>0</v>
      </c>
      <c r="J3" s="3">
        <v>661.1</v>
      </c>
      <c r="K3" s="3">
        <v>0</v>
      </c>
      <c r="L3" s="3">
        <v>104.9</v>
      </c>
      <c r="M3" s="3">
        <v>556.20000000000005</v>
      </c>
      <c r="N3" s="3">
        <v>0</v>
      </c>
      <c r="O3" s="10">
        <f>Table1[[#This Row],[Cash $]]+Table1[[#This Row],[To be received $]]</f>
        <v>556.20000000000005</v>
      </c>
    </row>
    <row r="4" spans="1:15">
      <c r="A4" s="3" t="s">
        <v>2</v>
      </c>
      <c r="B4" s="3">
        <v>0</v>
      </c>
      <c r="C4" s="3">
        <v>0</v>
      </c>
      <c r="D4" s="3">
        <v>0</v>
      </c>
      <c r="E4" s="4">
        <v>0</v>
      </c>
      <c r="F4" s="3">
        <v>0</v>
      </c>
      <c r="G4" s="3">
        <v>0</v>
      </c>
      <c r="H4" s="3">
        <v>0</v>
      </c>
      <c r="I4" s="3">
        <v>26.33</v>
      </c>
      <c r="J4" s="3">
        <v>26.33</v>
      </c>
      <c r="K4" s="3">
        <v>0</v>
      </c>
      <c r="L4" s="3">
        <v>0</v>
      </c>
      <c r="M4" s="3">
        <v>26.33</v>
      </c>
      <c r="N4" s="3">
        <v>0</v>
      </c>
      <c r="O4" s="10">
        <f>Table1[[#This Row],[Cash $]]+Table1[[#This Row],[To be received $]]</f>
        <v>26.33</v>
      </c>
    </row>
    <row r="5" spans="1:15">
      <c r="A5" s="3" t="s">
        <v>3</v>
      </c>
      <c r="B5" s="3">
        <v>0</v>
      </c>
      <c r="C5" s="3">
        <v>0</v>
      </c>
      <c r="D5" s="3">
        <v>0</v>
      </c>
      <c r="E5" s="4">
        <v>0</v>
      </c>
      <c r="F5" s="3">
        <v>0</v>
      </c>
      <c r="G5" s="3">
        <v>0</v>
      </c>
      <c r="H5" s="3">
        <v>0</v>
      </c>
      <c r="I5" s="3">
        <v>28.71</v>
      </c>
      <c r="J5" s="3">
        <v>28.71</v>
      </c>
      <c r="K5" s="3">
        <v>0</v>
      </c>
      <c r="L5" s="3">
        <v>0</v>
      </c>
      <c r="M5" s="3">
        <v>28.71</v>
      </c>
      <c r="N5" s="3">
        <v>0</v>
      </c>
      <c r="O5" s="10">
        <f>Table1[[#This Row],[Cash $]]+Table1[[#This Row],[To be received $]]</f>
        <v>28.71</v>
      </c>
    </row>
    <row r="6" spans="1:15">
      <c r="A6" s="3" t="s">
        <v>55</v>
      </c>
      <c r="B6" s="3">
        <v>0</v>
      </c>
      <c r="C6" s="3">
        <v>0</v>
      </c>
      <c r="D6" s="3">
        <v>0</v>
      </c>
      <c r="E6" s="4">
        <v>0</v>
      </c>
      <c r="F6" s="3">
        <v>0</v>
      </c>
      <c r="G6" s="3">
        <v>66.239999999999995</v>
      </c>
      <c r="H6" s="3">
        <v>0</v>
      </c>
      <c r="I6" s="3">
        <v>0</v>
      </c>
      <c r="J6" s="3">
        <v>66.239999999999995</v>
      </c>
      <c r="K6" s="3">
        <v>0</v>
      </c>
      <c r="L6" s="3">
        <v>0</v>
      </c>
      <c r="M6" s="3">
        <v>66.239999999999995</v>
      </c>
      <c r="N6" s="3">
        <v>0</v>
      </c>
      <c r="O6" s="10">
        <f>Table1[[#This Row],[Cash $]]+Table1[[#This Row],[To be received $]]</f>
        <v>66.239999999999995</v>
      </c>
    </row>
    <row r="7" spans="1:15">
      <c r="A7" s="3" t="s">
        <v>4</v>
      </c>
      <c r="B7" s="3">
        <v>0</v>
      </c>
      <c r="C7" s="3">
        <v>0</v>
      </c>
      <c r="D7" s="3">
        <f>188.6+61.58</f>
        <v>250.18</v>
      </c>
      <c r="E7" s="4">
        <f>80.83+26.39</f>
        <v>107.22</v>
      </c>
      <c r="F7" s="3">
        <v>0</v>
      </c>
      <c r="G7" s="3">
        <v>0</v>
      </c>
      <c r="H7" s="3">
        <v>0</v>
      </c>
      <c r="I7" s="3">
        <f>213.8+137.99</f>
        <v>351.79</v>
      </c>
      <c r="J7" s="3">
        <f>402.4+199.57</f>
        <v>601.97</v>
      </c>
      <c r="K7" s="3">
        <v>0</v>
      </c>
      <c r="L7" s="3">
        <v>0</v>
      </c>
      <c r="M7" s="3">
        <f>402.4+199.57</f>
        <v>601.97</v>
      </c>
      <c r="N7" s="3">
        <v>0</v>
      </c>
      <c r="O7" s="10">
        <f>Table1[[#This Row],[Cash $]]+Table1[[#This Row],[To be received $]]</f>
        <v>601.97</v>
      </c>
    </row>
    <row r="8" spans="1:15">
      <c r="A8" s="3" t="s">
        <v>5</v>
      </c>
      <c r="B8" s="3">
        <f>49.49+16.15</f>
        <v>65.64</v>
      </c>
      <c r="C8" s="3">
        <v>0</v>
      </c>
      <c r="D8" s="3">
        <v>0</v>
      </c>
      <c r="E8" s="4">
        <v>0</v>
      </c>
      <c r="F8" s="3">
        <v>0</v>
      </c>
      <c r="G8" s="3">
        <v>0</v>
      </c>
      <c r="H8" s="3">
        <v>0</v>
      </c>
      <c r="I8" s="3">
        <f>71+47.7</f>
        <v>118.7</v>
      </c>
      <c r="J8" s="3">
        <f>120.49+63.85</f>
        <v>184.34</v>
      </c>
      <c r="K8" s="3">
        <v>0</v>
      </c>
      <c r="L8" s="3">
        <v>0</v>
      </c>
      <c r="M8" s="3">
        <f>97.6+56.38</f>
        <v>153.97999999999999</v>
      </c>
      <c r="N8" s="3">
        <f>22.89+7.47</f>
        <v>30.36</v>
      </c>
      <c r="O8" s="10">
        <f>Table1[[#This Row],[Cash $]]+Table1[[#This Row],[To be received $]]</f>
        <v>184.33999999999997</v>
      </c>
    </row>
    <row r="9" spans="1:15">
      <c r="A9" s="3" t="s">
        <v>6</v>
      </c>
      <c r="B9" s="3">
        <v>0</v>
      </c>
      <c r="C9" s="3">
        <v>0</v>
      </c>
      <c r="D9" s="3">
        <v>0</v>
      </c>
      <c r="E9" s="4">
        <v>0</v>
      </c>
      <c r="F9" s="3">
        <v>422.84</v>
      </c>
      <c r="G9" s="3">
        <v>0</v>
      </c>
      <c r="H9" s="3">
        <v>96</v>
      </c>
      <c r="I9" s="3">
        <v>1141.1600000000001</v>
      </c>
      <c r="J9" s="3">
        <v>1660</v>
      </c>
      <c r="K9" s="3">
        <v>0</v>
      </c>
      <c r="L9" s="3">
        <v>0</v>
      </c>
      <c r="M9" s="3">
        <v>1245</v>
      </c>
      <c r="N9" s="3">
        <v>415</v>
      </c>
      <c r="O9" s="10">
        <f>Table1[[#This Row],[Cash $]]+Table1[[#This Row],[To be received $]]</f>
        <v>1660</v>
      </c>
    </row>
    <row r="10" spans="1:15">
      <c r="A10" s="3" t="s">
        <v>7</v>
      </c>
      <c r="B10" s="3">
        <v>471.86</v>
      </c>
      <c r="C10" s="3">
        <v>19.670000000000002</v>
      </c>
      <c r="D10" s="3">
        <v>79.63</v>
      </c>
      <c r="E10" s="4">
        <v>48.64</v>
      </c>
      <c r="F10" s="3">
        <v>0</v>
      </c>
      <c r="G10" s="3">
        <v>0</v>
      </c>
      <c r="H10" s="3">
        <v>49.1</v>
      </c>
      <c r="I10" s="3">
        <v>216.72</v>
      </c>
      <c r="J10" s="3">
        <v>836.98</v>
      </c>
      <c r="K10" s="3">
        <v>0</v>
      </c>
      <c r="L10" s="3">
        <v>0</v>
      </c>
      <c r="M10" s="3">
        <v>618.59</v>
      </c>
      <c r="N10" s="3">
        <v>218.39</v>
      </c>
      <c r="O10" s="10">
        <f>Table1[[#This Row],[Cash $]]+Table1[[#This Row],[To be received $]]</f>
        <v>836.98</v>
      </c>
    </row>
    <row r="11" spans="1:15">
      <c r="A11" s="3" t="s">
        <v>8</v>
      </c>
      <c r="B11" s="3">
        <v>0</v>
      </c>
      <c r="C11" s="3">
        <v>0</v>
      </c>
      <c r="D11" s="3">
        <v>0</v>
      </c>
      <c r="E11" s="4">
        <v>0</v>
      </c>
      <c r="F11" s="3">
        <v>1889.92</v>
      </c>
      <c r="G11" s="3">
        <v>0</v>
      </c>
      <c r="H11" s="3">
        <v>564.58000000000004</v>
      </c>
      <c r="I11" s="3">
        <v>0</v>
      </c>
      <c r="J11" s="3">
        <v>2454.5</v>
      </c>
      <c r="K11" s="3">
        <v>0</v>
      </c>
      <c r="L11" s="3">
        <v>389.47</v>
      </c>
      <c r="M11" s="3">
        <v>1358.38</v>
      </c>
      <c r="N11" s="3">
        <v>706.65</v>
      </c>
      <c r="O11" s="10">
        <f>Table1[[#This Row],[Cash $]]+Table1[[#This Row],[To be received $]]</f>
        <v>2065.0300000000002</v>
      </c>
    </row>
    <row r="12" spans="1:15">
      <c r="A12" s="3" t="s">
        <v>9</v>
      </c>
      <c r="B12" s="3">
        <v>0</v>
      </c>
      <c r="C12" s="3">
        <v>0</v>
      </c>
      <c r="D12" s="3">
        <v>0</v>
      </c>
      <c r="E12" s="4">
        <v>0</v>
      </c>
      <c r="F12" s="3">
        <v>0</v>
      </c>
      <c r="G12" s="3">
        <v>0</v>
      </c>
      <c r="H12" s="3">
        <v>0</v>
      </c>
      <c r="I12" s="3">
        <v>9.01</v>
      </c>
      <c r="J12" s="3">
        <v>9.01</v>
      </c>
      <c r="K12" s="3">
        <v>0</v>
      </c>
      <c r="L12" s="3">
        <v>0</v>
      </c>
      <c r="M12" s="3">
        <v>0</v>
      </c>
      <c r="N12" s="3">
        <v>9.01</v>
      </c>
      <c r="O12" s="10">
        <f>Table1[[#This Row],[Cash $]]+Table1[[#This Row],[To be received $]]</f>
        <v>9.01</v>
      </c>
    </row>
    <row r="13" spans="1:15">
      <c r="A13" s="3" t="s">
        <v>10</v>
      </c>
      <c r="B13" s="3">
        <v>0</v>
      </c>
      <c r="C13" s="3">
        <v>0</v>
      </c>
      <c r="D13" s="3">
        <v>0</v>
      </c>
      <c r="E13" s="4">
        <v>0</v>
      </c>
      <c r="F13" s="3">
        <v>0</v>
      </c>
      <c r="G13" s="3">
        <v>0</v>
      </c>
      <c r="H13" s="3">
        <v>0</v>
      </c>
      <c r="I13" s="3">
        <v>370.98</v>
      </c>
      <c r="J13" s="3">
        <v>370.98</v>
      </c>
      <c r="K13" s="3">
        <v>0</v>
      </c>
      <c r="L13" s="3">
        <v>0</v>
      </c>
      <c r="M13" s="3">
        <v>271.63</v>
      </c>
      <c r="N13" s="3">
        <v>99.35</v>
      </c>
      <c r="O13" s="10">
        <f>Table1[[#This Row],[Cash $]]+Table1[[#This Row],[To be received $]]</f>
        <v>370.98</v>
      </c>
    </row>
    <row r="14" spans="1:15">
      <c r="A14" s="3" t="s">
        <v>11</v>
      </c>
      <c r="B14" s="3">
        <v>69.13</v>
      </c>
      <c r="C14" s="3">
        <v>0</v>
      </c>
      <c r="D14" s="3">
        <v>0</v>
      </c>
      <c r="E14" s="4">
        <v>0</v>
      </c>
      <c r="F14" s="3">
        <v>648.07000000000005</v>
      </c>
      <c r="G14" s="3">
        <v>0</v>
      </c>
      <c r="H14" s="3">
        <v>1952.13</v>
      </c>
      <c r="I14" s="3">
        <v>0</v>
      </c>
      <c r="J14" s="3">
        <v>2669.33</v>
      </c>
      <c r="K14" s="3">
        <v>0</v>
      </c>
      <c r="L14" s="3">
        <v>1455.55</v>
      </c>
      <c r="M14" s="3">
        <v>700</v>
      </c>
      <c r="N14" s="3">
        <v>513.78</v>
      </c>
      <c r="O14" s="10">
        <f>Table1[[#This Row],[Cash $]]+Table1[[#This Row],[To be received $]]</f>
        <v>1213.78</v>
      </c>
    </row>
    <row r="15" spans="1:15">
      <c r="A15" s="3" t="s">
        <v>12</v>
      </c>
      <c r="B15" s="3">
        <v>0.33</v>
      </c>
      <c r="C15" s="3">
        <v>190.24</v>
      </c>
      <c r="D15" s="3">
        <v>2617.1</v>
      </c>
      <c r="E15" s="4">
        <v>1363.15</v>
      </c>
      <c r="F15" s="3">
        <v>6.55</v>
      </c>
      <c r="G15" s="3">
        <v>24.47</v>
      </c>
      <c r="H15" s="3">
        <v>5044.16</v>
      </c>
      <c r="I15" s="3">
        <v>0.04</v>
      </c>
      <c r="J15" s="3">
        <v>7882.89</v>
      </c>
      <c r="K15" s="3">
        <v>2.1</v>
      </c>
      <c r="L15" s="3">
        <v>0</v>
      </c>
      <c r="M15" s="3">
        <v>1881.21</v>
      </c>
      <c r="N15" s="3">
        <v>5999.58</v>
      </c>
      <c r="O15" s="10">
        <f>Table1[[#This Row],[Cash $]]+Table1[[#This Row],[To be received $]]</f>
        <v>7880.79</v>
      </c>
    </row>
    <row r="16" spans="1:15">
      <c r="A16" s="3" t="s">
        <v>13</v>
      </c>
      <c r="B16" s="3">
        <v>3660.01</v>
      </c>
      <c r="C16" s="3">
        <v>0</v>
      </c>
      <c r="D16" s="3">
        <v>0</v>
      </c>
      <c r="E16" s="4">
        <v>0</v>
      </c>
      <c r="F16" s="3">
        <v>120.39</v>
      </c>
      <c r="G16" s="3">
        <v>0</v>
      </c>
      <c r="H16" s="3">
        <v>0</v>
      </c>
      <c r="I16" s="3">
        <v>7.6</v>
      </c>
      <c r="J16" s="3">
        <v>3788</v>
      </c>
      <c r="K16" s="3">
        <v>0</v>
      </c>
      <c r="L16" s="3">
        <v>0</v>
      </c>
      <c r="M16" s="3">
        <v>3348</v>
      </c>
      <c r="N16" s="3">
        <v>440</v>
      </c>
      <c r="O16" s="10">
        <f>Table1[[#This Row],[Cash $]]+Table1[[#This Row],[To be received $]]</f>
        <v>3788</v>
      </c>
    </row>
    <row r="17" spans="1:16">
      <c r="A17" s="3" t="s">
        <v>14</v>
      </c>
      <c r="B17" s="3">
        <v>1.92</v>
      </c>
      <c r="C17" s="3">
        <v>0</v>
      </c>
      <c r="D17" s="3">
        <v>0</v>
      </c>
      <c r="E17" s="4">
        <v>0</v>
      </c>
      <c r="F17" s="3">
        <v>21.2</v>
      </c>
      <c r="G17" s="3">
        <v>0</v>
      </c>
      <c r="H17" s="3">
        <v>0</v>
      </c>
      <c r="I17" s="3">
        <v>102.88</v>
      </c>
      <c r="J17" s="3">
        <v>126</v>
      </c>
      <c r="K17" s="3">
        <v>0</v>
      </c>
      <c r="L17" s="3">
        <v>0</v>
      </c>
      <c r="M17" s="3">
        <v>0</v>
      </c>
      <c r="N17" s="3">
        <v>126</v>
      </c>
      <c r="O17" s="10">
        <f>Table1[[#This Row],[Cash $]]+Table1[[#This Row],[To be received $]]</f>
        <v>126</v>
      </c>
    </row>
    <row r="18" spans="1:16">
      <c r="A18" s="3" t="s">
        <v>56</v>
      </c>
      <c r="B18" s="3">
        <v>0.56000000000000005</v>
      </c>
      <c r="C18" s="3">
        <v>0</v>
      </c>
      <c r="D18" s="3">
        <v>0</v>
      </c>
      <c r="E18" s="4">
        <v>0</v>
      </c>
      <c r="F18" s="3">
        <v>2.46</v>
      </c>
      <c r="G18" s="3">
        <v>4.8</v>
      </c>
      <c r="H18" s="3">
        <v>21.15</v>
      </c>
      <c r="I18" s="3">
        <v>1.56</v>
      </c>
      <c r="J18" s="3">
        <v>30.53</v>
      </c>
      <c r="K18" s="3">
        <v>0.18</v>
      </c>
      <c r="L18" s="3">
        <v>0</v>
      </c>
      <c r="M18" s="3">
        <v>17.100000000000001</v>
      </c>
      <c r="N18" s="3">
        <v>13.25</v>
      </c>
      <c r="O18" s="3">
        <f>Table1[[#This Row],[Cash $]]+Table1[[#This Row],[To be received $]]</f>
        <v>30.35</v>
      </c>
    </row>
    <row r="19" spans="1:16">
      <c r="A19" s="3" t="s">
        <v>57</v>
      </c>
      <c r="B19" s="3">
        <v>0</v>
      </c>
      <c r="C19" s="3">
        <v>0</v>
      </c>
      <c r="D19" s="3">
        <v>0</v>
      </c>
      <c r="E19" s="4">
        <v>0</v>
      </c>
      <c r="F19" s="3">
        <v>0</v>
      </c>
      <c r="G19" s="3">
        <v>6.84</v>
      </c>
      <c r="H19" s="3">
        <v>0</v>
      </c>
      <c r="I19" s="3">
        <v>0</v>
      </c>
      <c r="J19" s="3">
        <v>6.84</v>
      </c>
      <c r="K19" s="3">
        <v>0</v>
      </c>
      <c r="L19" s="3">
        <v>0</v>
      </c>
      <c r="M19" s="3">
        <v>6.84</v>
      </c>
      <c r="N19" s="3">
        <v>0</v>
      </c>
      <c r="O19" s="10">
        <f>Table1[[#This Row],[Cash $]]+Table1[[#This Row],[To be received $]]</f>
        <v>6.84</v>
      </c>
    </row>
    <row r="20" spans="1:16">
      <c r="A20" s="3" t="s">
        <v>15</v>
      </c>
      <c r="B20" s="3">
        <v>7.68</v>
      </c>
      <c r="C20" s="3">
        <v>216.89</v>
      </c>
      <c r="D20" s="3">
        <v>1126.44</v>
      </c>
      <c r="E20" s="4">
        <v>638.34</v>
      </c>
      <c r="F20" s="3">
        <v>66.41</v>
      </c>
      <c r="G20" s="3">
        <v>144.09</v>
      </c>
      <c r="H20" s="3">
        <v>3194.75</v>
      </c>
      <c r="I20" s="3">
        <v>732.27</v>
      </c>
      <c r="J20" s="3">
        <v>5488.53</v>
      </c>
      <c r="K20" s="3">
        <v>17.52</v>
      </c>
      <c r="L20" s="3">
        <v>530.13</v>
      </c>
      <c r="M20" s="3">
        <v>940.11</v>
      </c>
      <c r="N20" s="3">
        <v>4000.77</v>
      </c>
      <c r="O20" s="10">
        <f>Table1[[#This Row],[Cash $]]+Table1[[#This Row],[To be received $]]</f>
        <v>4940.88</v>
      </c>
    </row>
    <row r="21" spans="1:16">
      <c r="A21" s="3" t="s">
        <v>16</v>
      </c>
      <c r="B21" s="3">
        <f>52.95+9.46</f>
        <v>62.410000000000004</v>
      </c>
      <c r="C21" s="3">
        <v>0</v>
      </c>
      <c r="D21" s="3">
        <v>0</v>
      </c>
      <c r="E21" s="4">
        <v>0</v>
      </c>
      <c r="F21" s="3">
        <f>77.26+14.99</f>
        <v>92.25</v>
      </c>
      <c r="G21" s="3">
        <f>79.4+13.36</f>
        <v>92.76</v>
      </c>
      <c r="H21" s="3">
        <f>49.64+11.64</f>
        <v>61.28</v>
      </c>
      <c r="I21" s="3">
        <f>33.27+4.1</f>
        <v>37.370000000000005</v>
      </c>
      <c r="J21" s="3">
        <f>292.52+53.55</f>
        <v>346.07</v>
      </c>
      <c r="K21" s="3">
        <f>7.18+1.22</f>
        <v>8.4</v>
      </c>
      <c r="L21" s="3">
        <f>0.04+0.02</f>
        <v>0.06</v>
      </c>
      <c r="M21" s="3">
        <f>138.87+0</f>
        <v>138.87</v>
      </c>
      <c r="N21" s="3">
        <f>146.43+52.31</f>
        <v>198.74</v>
      </c>
      <c r="O21" s="10">
        <f>Table1[[#This Row],[Cash $]]+Table1[[#This Row],[To be received $]]</f>
        <v>337.61</v>
      </c>
    </row>
    <row r="22" spans="1:16">
      <c r="A22" s="3" t="s">
        <v>17</v>
      </c>
      <c r="B22" s="3">
        <v>0</v>
      </c>
      <c r="C22" s="3">
        <v>0</v>
      </c>
      <c r="D22" s="3">
        <v>0</v>
      </c>
      <c r="E22" s="4">
        <v>0</v>
      </c>
      <c r="F22" s="3">
        <v>1610.21</v>
      </c>
      <c r="G22" s="3">
        <v>0</v>
      </c>
      <c r="H22" s="3">
        <v>128.26</v>
      </c>
      <c r="I22" s="3">
        <v>1952.02</v>
      </c>
      <c r="J22" s="3">
        <v>3690.49</v>
      </c>
      <c r="K22" s="3">
        <v>0</v>
      </c>
      <c r="L22" s="3">
        <v>0</v>
      </c>
      <c r="M22" s="3">
        <v>2768.29</v>
      </c>
      <c r="N22" s="3">
        <v>922.2</v>
      </c>
      <c r="O22" s="10">
        <f>Table1[[#This Row],[Cash $]]+Table1[[#This Row],[To be received $]]</f>
        <v>3690.49</v>
      </c>
    </row>
    <row r="23" spans="1:16">
      <c r="A23" s="3" t="s">
        <v>18</v>
      </c>
      <c r="B23" s="3">
        <v>0</v>
      </c>
      <c r="C23" s="3">
        <v>0</v>
      </c>
      <c r="D23" s="3">
        <v>0</v>
      </c>
      <c r="E23" s="4">
        <v>0</v>
      </c>
      <c r="F23" s="3">
        <v>0</v>
      </c>
      <c r="G23" s="3">
        <v>969.54</v>
      </c>
      <c r="H23" s="3">
        <v>7185.81</v>
      </c>
      <c r="I23" s="3">
        <v>0</v>
      </c>
      <c r="J23" s="3">
        <v>8155.35</v>
      </c>
      <c r="K23" s="3">
        <v>294.72000000000003</v>
      </c>
      <c r="L23" s="3">
        <v>1821.19</v>
      </c>
      <c r="M23" s="3">
        <v>3019.72</v>
      </c>
      <c r="N23" s="3">
        <v>3019.72</v>
      </c>
      <c r="O23" s="10">
        <f>Table1[[#This Row],[Cash $]]+Table1[[#This Row],[To be received $]]</f>
        <v>6039.44</v>
      </c>
    </row>
    <row r="24" spans="1:16">
      <c r="A24" s="3" t="s">
        <v>19</v>
      </c>
      <c r="B24" s="3">
        <v>0</v>
      </c>
      <c r="C24" s="3">
        <v>0</v>
      </c>
      <c r="D24" s="3">
        <v>0</v>
      </c>
      <c r="E24" s="4">
        <v>0</v>
      </c>
      <c r="F24" s="3">
        <v>0</v>
      </c>
      <c r="G24" s="3">
        <v>439.76</v>
      </c>
      <c r="H24" s="3">
        <v>2479.52</v>
      </c>
      <c r="I24" s="3">
        <v>0</v>
      </c>
      <c r="J24" s="3">
        <v>2919.28</v>
      </c>
      <c r="K24" s="3">
        <v>133.66999999999999</v>
      </c>
      <c r="L24" s="3">
        <v>223.61</v>
      </c>
      <c r="M24" s="3">
        <v>1281</v>
      </c>
      <c r="N24" s="3">
        <v>1281</v>
      </c>
      <c r="O24" s="10">
        <f>Table1[[#This Row],[Cash $]]+Table1[[#This Row],[To be received $]]</f>
        <v>2562</v>
      </c>
    </row>
    <row r="25" spans="1:16">
      <c r="A25" s="3" t="s">
        <v>20</v>
      </c>
      <c r="B25" s="3">
        <v>0.02</v>
      </c>
      <c r="C25" s="3">
        <v>0</v>
      </c>
      <c r="D25" s="3">
        <v>0</v>
      </c>
      <c r="E25" s="4">
        <v>0</v>
      </c>
      <c r="F25" s="3">
        <f>232.64+9.86</f>
        <v>242.5</v>
      </c>
      <c r="G25" s="3">
        <v>0</v>
      </c>
      <c r="H25" s="3">
        <f>86+3.64</f>
        <v>89.64</v>
      </c>
      <c r="I25" s="3">
        <f>89.34+3.79</f>
        <v>93.13000000000001</v>
      </c>
      <c r="J25" s="3">
        <f>408+17.29</f>
        <v>425.29</v>
      </c>
      <c r="K25" s="3">
        <v>0</v>
      </c>
      <c r="L25" s="3">
        <v>0</v>
      </c>
      <c r="M25" s="3">
        <v>0</v>
      </c>
      <c r="N25" s="3">
        <f>408+17.29</f>
        <v>425.29</v>
      </c>
      <c r="O25" s="10">
        <f>Table1[[#This Row],[Cash $]]+Table1[[#This Row],[To be received $]]</f>
        <v>425.29</v>
      </c>
    </row>
    <row r="26" spans="1:16">
      <c r="A26" s="3" t="s">
        <v>21</v>
      </c>
      <c r="B26" s="3">
        <v>697.94</v>
      </c>
      <c r="C26" s="3">
        <v>0</v>
      </c>
      <c r="D26" s="3">
        <v>0</v>
      </c>
      <c r="E26" s="4">
        <v>0</v>
      </c>
      <c r="F26" s="3">
        <v>0</v>
      </c>
      <c r="G26" s="3">
        <v>0</v>
      </c>
      <c r="H26" s="3">
        <v>0</v>
      </c>
      <c r="I26" s="3">
        <v>0</v>
      </c>
      <c r="J26" s="3">
        <v>697.94</v>
      </c>
      <c r="K26" s="3">
        <v>0</v>
      </c>
      <c r="L26" s="3">
        <v>1.84</v>
      </c>
      <c r="M26" s="3">
        <v>599.99</v>
      </c>
      <c r="N26" s="3">
        <v>96.11</v>
      </c>
      <c r="O26" s="10">
        <f>Table1[[#This Row],[Cash $]]+Table1[[#This Row],[To be received $]]</f>
        <v>696.1</v>
      </c>
    </row>
    <row r="27" spans="1:16">
      <c r="A27" s="3" t="s">
        <v>58</v>
      </c>
      <c r="B27" s="3">
        <v>0</v>
      </c>
      <c r="C27" s="3">
        <v>0</v>
      </c>
      <c r="D27" s="3">
        <v>73.010000000000005</v>
      </c>
      <c r="E27" s="4">
        <v>36.450000000000003</v>
      </c>
      <c r="F27" s="3">
        <v>0</v>
      </c>
      <c r="G27" s="3">
        <v>0</v>
      </c>
      <c r="H27" s="3">
        <v>0</v>
      </c>
      <c r="I27" s="3">
        <v>6.59</v>
      </c>
      <c r="J27" s="3">
        <v>79.599999999999994</v>
      </c>
      <c r="K27" s="3">
        <v>0</v>
      </c>
      <c r="L27" s="3">
        <v>0</v>
      </c>
      <c r="M27" s="3">
        <v>79.599999999999994</v>
      </c>
      <c r="N27" s="3">
        <v>0</v>
      </c>
      <c r="O27" s="10">
        <f>Table1[[#This Row],[Cash $]]+Table1[[#This Row],[To be received $]]</f>
        <v>79.599999999999994</v>
      </c>
    </row>
    <row r="28" spans="1:16">
      <c r="A28" s="3" t="s">
        <v>59</v>
      </c>
      <c r="B28" s="3">
        <v>0.83</v>
      </c>
      <c r="C28" s="3">
        <v>1.72</v>
      </c>
      <c r="D28" s="3">
        <v>43.41</v>
      </c>
      <c r="E28" s="4">
        <v>18.850000000000001</v>
      </c>
      <c r="F28" s="3">
        <v>0.79</v>
      </c>
      <c r="G28" s="3">
        <v>1.02</v>
      </c>
      <c r="H28" s="3">
        <v>30.54</v>
      </c>
      <c r="I28" s="3">
        <v>1.27</v>
      </c>
      <c r="J28" s="3">
        <v>79.58</v>
      </c>
      <c r="K28" s="3">
        <v>0.03</v>
      </c>
      <c r="L28" s="3">
        <v>0</v>
      </c>
      <c r="M28" s="3">
        <v>0</v>
      </c>
      <c r="N28" s="3">
        <v>79.55</v>
      </c>
      <c r="O28" s="10">
        <f>Table1[[#This Row],[Cash $]]+Table1[[#This Row],[To be received $]]</f>
        <v>79.55</v>
      </c>
    </row>
    <row r="29" spans="1:16">
      <c r="A29" s="3" t="s">
        <v>60</v>
      </c>
      <c r="B29" s="3">
        <v>15.83</v>
      </c>
      <c r="C29" s="3">
        <v>0</v>
      </c>
      <c r="D29" s="3">
        <v>0.28999999999999998</v>
      </c>
      <c r="E29" s="4">
        <v>0.13</v>
      </c>
      <c r="F29" s="3">
        <v>19.57</v>
      </c>
      <c r="G29" s="3">
        <v>0</v>
      </c>
      <c r="H29" s="3">
        <v>0</v>
      </c>
      <c r="I29" s="3">
        <v>33.880000000000003</v>
      </c>
      <c r="J29" s="3">
        <v>69.569999999999993</v>
      </c>
      <c r="K29" s="3">
        <v>0</v>
      </c>
      <c r="L29" s="3">
        <v>0</v>
      </c>
      <c r="M29" s="3">
        <v>28.05</v>
      </c>
      <c r="N29" s="3">
        <v>41.52</v>
      </c>
      <c r="O29" s="3">
        <f>Table1[[#This Row],[Cash $]]+Table1[[#This Row],[To be received $]]</f>
        <v>69.570000000000007</v>
      </c>
      <c r="P29" s="39"/>
    </row>
    <row r="30" spans="1:16">
      <c r="A30" s="3" t="s">
        <v>22</v>
      </c>
      <c r="B30" s="3">
        <v>52.09</v>
      </c>
      <c r="C30" s="3">
        <v>304.67</v>
      </c>
      <c r="D30" s="3">
        <v>3872.5</v>
      </c>
      <c r="E30" s="4">
        <v>1713.43</v>
      </c>
      <c r="F30" s="3">
        <v>124.87</v>
      </c>
      <c r="G30" s="3">
        <v>82.56</v>
      </c>
      <c r="H30" s="3">
        <v>2470.3000000000002</v>
      </c>
      <c r="I30" s="3">
        <v>0</v>
      </c>
      <c r="J30" s="3">
        <v>6906.99</v>
      </c>
      <c r="K30" s="3">
        <v>5.16</v>
      </c>
      <c r="L30" s="3">
        <v>222.32</v>
      </c>
      <c r="M30" s="3">
        <v>4061.79</v>
      </c>
      <c r="N30" s="3">
        <v>2617.7199999999998</v>
      </c>
      <c r="O30" s="10">
        <f>Table1[[#This Row],[Cash $]]+Table1[[#This Row],[To be received $]]</f>
        <v>6679.51</v>
      </c>
      <c r="P30" s="39"/>
    </row>
    <row r="31" spans="1:16" s="1" customFormat="1">
      <c r="A31" s="5" t="s">
        <v>37</v>
      </c>
      <c r="B31" s="5">
        <f>SUBTOTAL(109,B3:B30)</f>
        <v>5106.2500000000018</v>
      </c>
      <c r="C31" s="5">
        <f t="shared" ref="C31:N31" si="0">SUBTOTAL(109,C3:C30)</f>
        <v>733.19</v>
      </c>
      <c r="D31" s="5">
        <f t="shared" si="0"/>
        <v>8062.5599999999995</v>
      </c>
      <c r="E31" s="5">
        <f t="shared" si="0"/>
        <v>3926.21</v>
      </c>
      <c r="F31" s="5">
        <f t="shared" si="0"/>
        <v>5777.07</v>
      </c>
      <c r="G31" s="5">
        <f t="shared" si="0"/>
        <v>1832.08</v>
      </c>
      <c r="H31" s="5">
        <f t="shared" si="0"/>
        <v>23519.280000000002</v>
      </c>
      <c r="I31" s="5">
        <f t="shared" si="0"/>
        <v>5232.01</v>
      </c>
      <c r="J31" s="5">
        <f t="shared" si="0"/>
        <v>50262.439999999995</v>
      </c>
      <c r="K31" s="5">
        <f t="shared" si="0"/>
        <v>461.78000000000003</v>
      </c>
      <c r="L31" s="5">
        <f t="shared" si="0"/>
        <v>4749.07</v>
      </c>
      <c r="M31" s="5">
        <f t="shared" si="0"/>
        <v>23797.600000000006</v>
      </c>
      <c r="N31" s="5">
        <f t="shared" si="0"/>
        <v>21253.99</v>
      </c>
      <c r="O31" s="11">
        <f>Table1[[#This Row],[Cash $]]+Table1[[#This Row],[To be received $]]</f>
        <v>45051.590000000011</v>
      </c>
    </row>
    <row r="34" spans="1:15">
      <c r="A34" s="1" t="s">
        <v>38</v>
      </c>
    </row>
    <row r="35" spans="1:15" ht="14.25" customHeight="1">
      <c r="A35" s="8" t="s">
        <v>23</v>
      </c>
      <c r="B35" s="9" t="s">
        <v>39</v>
      </c>
      <c r="C35" s="9" t="s">
        <v>40</v>
      </c>
      <c r="D35" s="9" t="s">
        <v>41</v>
      </c>
      <c r="E35" s="9" t="s">
        <v>42</v>
      </c>
      <c r="F35" s="9" t="s">
        <v>43</v>
      </c>
      <c r="G35" s="9" t="s">
        <v>44</v>
      </c>
      <c r="H35" s="9" t="s">
        <v>45</v>
      </c>
      <c r="I35" s="9" t="s">
        <v>46</v>
      </c>
      <c r="J35" s="9" t="s">
        <v>47</v>
      </c>
      <c r="K35" s="9" t="s">
        <v>48</v>
      </c>
      <c r="L35" s="9" t="s">
        <v>49</v>
      </c>
      <c r="M35" s="9" t="s">
        <v>50</v>
      </c>
      <c r="N35" s="9" t="s">
        <v>51</v>
      </c>
      <c r="O35" s="9" t="s">
        <v>294</v>
      </c>
    </row>
    <row r="36" spans="1:15">
      <c r="A36" s="6" t="s">
        <v>52</v>
      </c>
      <c r="B36" s="6">
        <f>1761.32+49.09</f>
        <v>1810.4099999999999</v>
      </c>
      <c r="C36" s="6">
        <f>9410.34+1235.66</f>
        <v>10646</v>
      </c>
      <c r="D36" s="6">
        <f>56478.05+16240.13</f>
        <v>72718.180000000008</v>
      </c>
      <c r="E36" s="6">
        <f>24204.86+6959.92</f>
        <v>31164.78</v>
      </c>
      <c r="F36" s="6">
        <f>0+0</f>
        <v>0</v>
      </c>
      <c r="G36" s="6">
        <f>1650.42+277.08</f>
        <v>1927.5</v>
      </c>
      <c r="H36" s="6">
        <f>0+0</f>
        <v>0</v>
      </c>
      <c r="I36" s="6">
        <f>0+0</f>
        <v>0</v>
      </c>
      <c r="J36" s="6">
        <f>65888.39+1650.42+1761.32+17475.79+277.08+49.09</f>
        <v>87102.090000000011</v>
      </c>
      <c r="K36" s="6">
        <f>7.35+2.34</f>
        <v>9.69</v>
      </c>
      <c r="L36" s="6">
        <f>0+0</f>
        <v>0</v>
      </c>
      <c r="M36" s="6">
        <f>58924.55+1643.07+1761.32+13815.31+274.74+49.09</f>
        <v>76468.08</v>
      </c>
      <c r="N36" s="6"/>
      <c r="O36" s="44">
        <f>6963.84+3660.48</f>
        <v>10624.32</v>
      </c>
    </row>
    <row r="38" spans="1:15" ht="15.75" thickBot="1">
      <c r="A38" s="1" t="s">
        <v>53</v>
      </c>
      <c r="B38" s="7">
        <f>B31+B36</f>
        <v>6916.6600000000017</v>
      </c>
      <c r="C38" s="7">
        <f>C31+C36</f>
        <v>11379.19</v>
      </c>
      <c r="D38" s="7">
        <f t="shared" ref="D38:L38" si="1">D31+D36</f>
        <v>80780.740000000005</v>
      </c>
      <c r="E38" s="7">
        <f t="shared" si="1"/>
        <v>35090.99</v>
      </c>
      <c r="F38" s="7">
        <f t="shared" si="1"/>
        <v>5777.07</v>
      </c>
      <c r="G38" s="7">
        <f t="shared" si="1"/>
        <v>3759.58</v>
      </c>
      <c r="H38" s="7">
        <f t="shared" si="1"/>
        <v>23519.280000000002</v>
      </c>
      <c r="I38" s="7">
        <f t="shared" si="1"/>
        <v>5232.01</v>
      </c>
      <c r="J38" s="7">
        <f t="shared" si="1"/>
        <v>137364.53</v>
      </c>
      <c r="K38" s="7">
        <f t="shared" si="1"/>
        <v>471.47</v>
      </c>
      <c r="L38" s="7">
        <f t="shared" si="1"/>
        <v>4749.07</v>
      </c>
      <c r="M38" s="7">
        <f>M31+M36</f>
        <v>100265.68000000001</v>
      </c>
      <c r="N38" s="7">
        <f>N31+N36</f>
        <v>21253.99</v>
      </c>
      <c r="O38" s="7">
        <f>O36</f>
        <v>10624.32</v>
      </c>
    </row>
    <row r="39" spans="1:15" ht="15.75" thickTop="1"/>
  </sheetData>
  <pageMargins left="0.7" right="0.7" top="0.75" bottom="0.75" header="0.3" footer="0.3"/>
  <pageSetup paperSize="9" scale="41" orientation="landscape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BGL</vt:lpstr>
      <vt:lpstr>Trust &amp; Dividend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Melina Beresford</dc:creator>
  <cp:lastModifiedBy>Melina Beresford</cp:lastModifiedBy>
  <cp:lastPrinted>2023-03-08T05:58:59Z</cp:lastPrinted>
  <dcterms:created xsi:type="dcterms:W3CDTF">2023-03-07T01:32:04Z</dcterms:created>
  <dcterms:modified xsi:type="dcterms:W3CDTF">2023-04-04T21:09:34Z</dcterms:modified>
</cp:coreProperties>
</file>