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Soft\DOC\DocBase\Clients\SOUV0004\2022\Year End\"/>
    </mc:Choice>
  </mc:AlternateContent>
  <xr:revisionPtr revIDLastSave="0" documentId="13_ncr:1_{76FB9BCB-FF25-44C2-852B-39C74CA70072}" xr6:coauthVersionLast="47" xr6:coauthVersionMax="47" xr10:uidLastSave="{00000000-0000-0000-0000-000000000000}"/>
  <bookViews>
    <workbookView xWindow="25080" yWindow="-570" windowWidth="29040" windowHeight="15840" xr2:uid="{0EF5FCA0-5AFD-45D8-899B-67141E1A99DB}"/>
  </bookViews>
  <sheets>
    <sheet name="BGL" sheetId="3" r:id="rId1"/>
    <sheet name="Burrell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7" i="3" l="1"/>
  <c r="G160" i="3"/>
  <c r="G119" i="1"/>
  <c r="G117" i="1"/>
  <c r="G116" i="1"/>
  <c r="G112" i="1"/>
  <c r="C112" i="1"/>
  <c r="B112" i="1"/>
  <c r="G111" i="1"/>
  <c r="C108" i="1"/>
  <c r="C113" i="1"/>
  <c r="G113" i="1"/>
  <c r="C109" i="1"/>
  <c r="L151" i="3"/>
  <c r="J151" i="3"/>
  <c r="I151" i="3"/>
  <c r="G151" i="3"/>
  <c r="G156" i="3" l="1"/>
  <c r="G10" i="3"/>
  <c r="I10" i="3"/>
  <c r="J10" i="3"/>
  <c r="K10" i="3"/>
  <c r="L10" i="3"/>
  <c r="G13" i="3"/>
  <c r="I13" i="3"/>
  <c r="J13" i="3"/>
  <c r="K13" i="3"/>
  <c r="L13" i="3"/>
  <c r="G18" i="3"/>
  <c r="I18" i="3"/>
  <c r="J18" i="3"/>
  <c r="K18" i="3"/>
  <c r="L18" i="3"/>
  <c r="G22" i="3"/>
  <c r="I22" i="3"/>
  <c r="J22" i="3"/>
  <c r="K22" i="3"/>
  <c r="L22" i="3"/>
  <c r="G125" i="3"/>
  <c r="I125" i="3"/>
  <c r="J125" i="3"/>
  <c r="K125" i="3"/>
  <c r="L125" i="3"/>
  <c r="G128" i="3"/>
  <c r="I128" i="3"/>
  <c r="J128" i="3"/>
  <c r="K128" i="3"/>
  <c r="L128" i="3"/>
  <c r="G131" i="3"/>
  <c r="I131" i="3"/>
  <c r="J131" i="3"/>
  <c r="K131" i="3"/>
  <c r="L131" i="3"/>
  <c r="G150" i="3"/>
  <c r="I150" i="3"/>
  <c r="J150" i="3"/>
  <c r="K150" i="3"/>
  <c r="L150" i="3"/>
  <c r="K151" i="3" l="1"/>
  <c r="E106" i="1"/>
  <c r="F106" i="1"/>
  <c r="G106" i="1"/>
  <c r="D106" i="1"/>
  <c r="C106" i="1"/>
  <c r="G102" i="1"/>
  <c r="E102" i="1"/>
  <c r="D102" i="1" s="1"/>
  <c r="C102" i="1"/>
  <c r="E101" i="1"/>
  <c r="C101" i="1"/>
  <c r="G101" i="1" s="1"/>
  <c r="E100" i="1"/>
  <c r="C100" i="1"/>
  <c r="G100" i="1" s="1"/>
  <c r="E96" i="1"/>
  <c r="C96" i="1"/>
  <c r="G96" i="1" s="1"/>
  <c r="E92" i="1"/>
  <c r="C92" i="1"/>
  <c r="G92" i="1" s="1"/>
  <c r="E87" i="1"/>
  <c r="C87" i="1"/>
  <c r="G87" i="1" s="1"/>
  <c r="E84" i="1"/>
  <c r="C84" i="1"/>
  <c r="G84" i="1" s="1"/>
  <c r="E83" i="1"/>
  <c r="C83" i="1"/>
  <c r="G83" i="1" s="1"/>
  <c r="E81" i="1"/>
  <c r="C81" i="1"/>
  <c r="G81" i="1" s="1"/>
  <c r="E80" i="1"/>
  <c r="C80" i="1"/>
  <c r="G80" i="1" s="1"/>
  <c r="E74" i="1"/>
  <c r="C74" i="1"/>
  <c r="G74" i="1" s="1"/>
  <c r="E73" i="1"/>
  <c r="C73" i="1"/>
  <c r="G73" i="1" s="1"/>
  <c r="E69" i="1"/>
  <c r="C69" i="1"/>
  <c r="G69" i="1" s="1"/>
  <c r="E67" i="1"/>
  <c r="C67" i="1"/>
  <c r="G67" i="1" s="1"/>
  <c r="E65" i="1"/>
  <c r="C65" i="1"/>
  <c r="G65" i="1" s="1"/>
  <c r="E63" i="1"/>
  <c r="C63" i="1"/>
  <c r="G63" i="1" s="1"/>
  <c r="E58" i="1"/>
  <c r="C58" i="1"/>
  <c r="G58" i="1" s="1"/>
  <c r="E54" i="1"/>
  <c r="C54" i="1"/>
  <c r="G54" i="1" s="1"/>
  <c r="E48" i="1"/>
  <c r="C48" i="1"/>
  <c r="G48" i="1" s="1"/>
  <c r="E33" i="1"/>
  <c r="C33" i="1"/>
  <c r="G33" i="1" s="1"/>
  <c r="E27" i="1"/>
  <c r="C27" i="1"/>
  <c r="G27" i="1" s="1"/>
  <c r="E23" i="1"/>
  <c r="C23" i="1"/>
  <c r="G23" i="1" s="1"/>
  <c r="C22" i="1"/>
  <c r="E21" i="1"/>
  <c r="C21" i="1"/>
  <c r="G21" i="1" s="1"/>
  <c r="E20" i="1"/>
  <c r="C20" i="1"/>
  <c r="G20" i="1" s="1"/>
  <c r="E19" i="1"/>
  <c r="C19" i="1"/>
  <c r="G19" i="1" s="1"/>
  <c r="E18" i="1"/>
  <c r="C18" i="1"/>
  <c r="G18" i="1" s="1"/>
  <c r="E16" i="1"/>
  <c r="C16" i="1"/>
  <c r="G16" i="1" s="1"/>
  <c r="E15" i="1"/>
  <c r="C15" i="1"/>
  <c r="G15" i="1" s="1"/>
  <c r="E10" i="1"/>
  <c r="C10" i="1"/>
  <c r="G10" i="1" s="1"/>
  <c r="E9" i="1"/>
  <c r="C9" i="1"/>
  <c r="G9" i="1" s="1"/>
  <c r="E8" i="1"/>
  <c r="C8" i="1"/>
  <c r="G8" i="1" s="1"/>
  <c r="D101" i="1" l="1"/>
  <c r="D100" i="1"/>
  <c r="D96" i="1"/>
  <c r="D92" i="1"/>
  <c r="D87" i="1"/>
  <c r="D81" i="1"/>
  <c r="D84" i="1"/>
  <c r="D83" i="1"/>
  <c r="D80" i="1"/>
  <c r="D74" i="1"/>
  <c r="D73" i="1"/>
  <c r="D69" i="1"/>
  <c r="D67" i="1"/>
  <c r="D65" i="1"/>
  <c r="D63" i="1"/>
  <c r="D54" i="1"/>
  <c r="D58" i="1"/>
  <c r="D48" i="1"/>
  <c r="D33" i="1"/>
  <c r="D27" i="1"/>
  <c r="D23" i="1"/>
  <c r="D21" i="1"/>
  <c r="D20" i="1"/>
  <c r="D19" i="1"/>
  <c r="D18" i="1"/>
  <c r="D16" i="1"/>
  <c r="D15" i="1"/>
  <c r="D10" i="1"/>
  <c r="D9" i="1"/>
  <c r="D8" i="1"/>
</calcChain>
</file>

<file path=xl/sharedStrings.xml><?xml version="1.0" encoding="utf-8"?>
<sst xmlns="http://schemas.openxmlformats.org/spreadsheetml/2006/main" count="503" uniqueCount="485">
  <si>
    <t>Asset</t>
  </si>
  <si>
    <t>Quantity</t>
  </si>
  <si>
    <t>Avg unit cost $</t>
  </si>
  <si>
    <t>Actual cost $</t>
  </si>
  <si>
    <t>Unit price $</t>
  </si>
  <si>
    <t>Market value $</t>
  </si>
  <si>
    <t>1MC</t>
  </si>
  <si>
    <t>MORELLA CORPORATION LIMITED FPO</t>
  </si>
  <si>
    <t>AHX</t>
  </si>
  <si>
    <t>APIAM ANIMAL HEALTH LIMITED FPO</t>
  </si>
  <si>
    <t>AKE</t>
  </si>
  <si>
    <t>ALLKEM LIMITED FPO</t>
  </si>
  <si>
    <t>AMC</t>
  </si>
  <si>
    <t>AMCOR PLC CDI 1:1 FOREIGN EXEMPT NYSE</t>
  </si>
  <si>
    <t>ANZ</t>
  </si>
  <si>
    <t>AUSTRALIA AND NEW ZEALAND BANKING GROUP LIMITED FPO</t>
  </si>
  <si>
    <t>APA</t>
  </si>
  <si>
    <t>APA GROUP FULLY PAID UNITS STAPLED SECURITIES</t>
  </si>
  <si>
    <t>BEN</t>
  </si>
  <si>
    <t>BENDIGO AND ADELAIDE BANK LIMITED FPO</t>
  </si>
  <si>
    <t>BGA</t>
  </si>
  <si>
    <t>BEGA CHEESE LIMITED FPO</t>
  </si>
  <si>
    <t>BHP</t>
  </si>
  <si>
    <t>BHP GROUP LIMITED FPO</t>
  </si>
  <si>
    <t>BLD</t>
  </si>
  <si>
    <t>BORAL LIMITED. FPO</t>
  </si>
  <si>
    <t>BOQ</t>
  </si>
  <si>
    <t>BANK OF QUEENSLAND LIMITED. FPO</t>
  </si>
  <si>
    <t>BPT</t>
  </si>
  <si>
    <t>BEACH ENERGY LIMITED FPO</t>
  </si>
  <si>
    <t>BXB</t>
  </si>
  <si>
    <t>BRAMBLES LIMITED FPO</t>
  </si>
  <si>
    <t>CAR</t>
  </si>
  <si>
    <t>CARSALES.COM LIMITED. FPO</t>
  </si>
  <si>
    <t>CAR_R</t>
  </si>
  <si>
    <t>CARSALES.COM LIMITED. FPO NON REN RIGHTS</t>
  </si>
  <si>
    <t>CBA</t>
  </si>
  <si>
    <t>COMMONWEALTH BANK OF AUSTRALIA. FPO</t>
  </si>
  <si>
    <t>CBAPD</t>
  </si>
  <si>
    <t>COMMONWEALTH BANK OF AUSTRALIA. CAP NOTE 3-BBSW+2.80% PERP NON-CUM RED T-12-22</t>
  </si>
  <si>
    <t>CBAPG</t>
  </si>
  <si>
    <t>COMMONWEALTH BANK OF AUSTRALIA. CAP NOTE 3-BBSW+3.40% PERP NON-CUM RED T-04-25</t>
  </si>
  <si>
    <t>CBAPJ</t>
  </si>
  <si>
    <t>COMMONWEALTH BANK OF AUSTRALIA. CAP NOTE 3-BBSW+2.75% PERP NON-CUM RED T-10-26</t>
  </si>
  <si>
    <t>CGF</t>
  </si>
  <si>
    <t>CHALLENGER LIMITED FPO</t>
  </si>
  <si>
    <t>CGFPC</t>
  </si>
  <si>
    <t>CHALLENGER LIMITED CAP NOTE 3-BBSW+4.60% PERP NON-CUM RED T-05-26</t>
  </si>
  <si>
    <t>COF</t>
  </si>
  <si>
    <t>CENTURIA OFFICE REIT ORDINARY UNITS FULLY PAID</t>
  </si>
  <si>
    <t>CSL</t>
  </si>
  <si>
    <t>CSL LIMITED FPO</t>
  </si>
  <si>
    <t>CTP</t>
  </si>
  <si>
    <t>CENTRAL PETROLEUM LIMITED FPO</t>
  </si>
  <si>
    <t>CWNHB</t>
  </si>
  <si>
    <t>CROWN RESORTS LIMITED HYBRID 3-BBSW+4.00% 23-04-75 SUB CUM RED T-07-21</t>
  </si>
  <si>
    <t>DXI</t>
  </si>
  <si>
    <t>DEXUS INDUSTRIA REIT. FULLY PAID ORDINARY/UNITS STAPLED SECURITIES</t>
  </si>
  <si>
    <t>DXS</t>
  </si>
  <si>
    <t>DEXUS FULLY PAID UNITS STAPLED SECURITIES</t>
  </si>
  <si>
    <t>EDV</t>
  </si>
  <si>
    <t>ENDEAVOUR GROUP LIMITED FPO</t>
  </si>
  <si>
    <t>GCI</t>
  </si>
  <si>
    <t>GRYPHON CAPITAL INCOME TRUST ORDINARY UNITS FULLY PAID</t>
  </si>
  <si>
    <t>GDF</t>
  </si>
  <si>
    <t>GARDA PROPERTY GROUP FULLY PAID ORDINARY/UNITS STAPLED SECURITIES</t>
  </si>
  <si>
    <t>GWA</t>
  </si>
  <si>
    <t>GWA GROUP LIMITED. FPO</t>
  </si>
  <si>
    <t>ING</t>
  </si>
  <si>
    <t>INGHAMS GROUP LIMITED FPO</t>
  </si>
  <si>
    <t>IVC</t>
  </si>
  <si>
    <t>INVOCARE LIMITED FPO</t>
  </si>
  <si>
    <t>LLC</t>
  </si>
  <si>
    <t>LENDLEASE GROUP FULLY PAID ORDINARY/UNITS STAPLED SECURITIES</t>
  </si>
  <si>
    <t>MBLPD</t>
  </si>
  <si>
    <t>MACQUARIE BANK LIMITED CAP NOTE 3-BBSW+2.90% PERP NON-CUM RED T-09-28</t>
  </si>
  <si>
    <t>MFG</t>
  </si>
  <si>
    <t>MAGELLAN FINANCIAL GROUP LIMITED FPO</t>
  </si>
  <si>
    <t>MFGO</t>
  </si>
  <si>
    <t>MAGELLAN FINANCIAL GROUP LIMITED OPTION EXPIRING 16-APR-2027</t>
  </si>
  <si>
    <t>MGF</t>
  </si>
  <si>
    <t>MAGELLAN GLOBAL FUND. ORDINARY UNITS FULLY PAID CLOSED CLASS</t>
  </si>
  <si>
    <t>MGFO</t>
  </si>
  <si>
    <t>MAGELLAN GLOBAL FUND. OPTION EXPIRING 01-MAR-2024 EX AT DISC TO EST NAV</t>
  </si>
  <si>
    <t>MGR</t>
  </si>
  <si>
    <t>MIRVAC GROUP FULLY PAID ORDINARY/UNITS STAPLED SECURITIES</t>
  </si>
  <si>
    <t>MQG</t>
  </si>
  <si>
    <t>MACQUARIE GROUP LIMITED FPO</t>
  </si>
  <si>
    <t>NAB</t>
  </si>
  <si>
    <t>NATIONAL AUSTRALIA BANK LIMITED FPO</t>
  </si>
  <si>
    <t>NABPE</t>
  </si>
  <si>
    <t>NATIONAL AUSTRALIA BANK LIMITED CAP NOTE 3-BBSW+2.20% 20-09-28 CUM RED T-09-23</t>
  </si>
  <si>
    <t>NCM</t>
  </si>
  <si>
    <t>NEWCREST MINING LIMITED FPO</t>
  </si>
  <si>
    <t>OML</t>
  </si>
  <si>
    <t>OOH!MEDIA LIMITED FPO</t>
  </si>
  <si>
    <t>ORI</t>
  </si>
  <si>
    <t>ORICA LIMITED FPO</t>
  </si>
  <si>
    <t>PL8</t>
  </si>
  <si>
    <t>PLATO INCOME MAXIMISER LIMITED. FPO</t>
  </si>
  <si>
    <t>PWR</t>
  </si>
  <si>
    <t>PETER WARREN AUTOMOTIVE HOLDINGS LIMITED FPO</t>
  </si>
  <si>
    <t>QRI</t>
  </si>
  <si>
    <t>QUALITAS REAL ESTATE INCOME FUND ORDINARY UNITS FULLY PAID</t>
  </si>
  <si>
    <t>RIC</t>
  </si>
  <si>
    <t>RIDLEY CORPORATION LIMITED FPO</t>
  </si>
  <si>
    <t>RMD</t>
  </si>
  <si>
    <t>RESMED INC CDI 10:1 FOREIGN EXEMPT NYSE</t>
  </si>
  <si>
    <t>S32</t>
  </si>
  <si>
    <t>SOUTH32 LIMITED FPO</t>
  </si>
  <si>
    <t>SHL</t>
  </si>
  <si>
    <t>SONIC HEALTHCARE LIMITED FPO</t>
  </si>
  <si>
    <t>STO</t>
  </si>
  <si>
    <t>SANTOS LIMITED FPO</t>
  </si>
  <si>
    <t>SUN</t>
  </si>
  <si>
    <t>SUNCORP GROUP LIMITED FPO</t>
  </si>
  <si>
    <t>SUNPH</t>
  </si>
  <si>
    <t>SUNCORP GROUP LIMITED CAP NOTE 3-BBSW+3.00% PERP NON-CUM RED T-06-26</t>
  </si>
  <si>
    <t>TAH</t>
  </si>
  <si>
    <t>TABCORP HOLDINGS LIMITED FPO</t>
  </si>
  <si>
    <t>TGR</t>
  </si>
  <si>
    <t>TASSAL GROUP LIMITED FPO</t>
  </si>
  <si>
    <t>TLC</t>
  </si>
  <si>
    <t>THE LOTTERY CORPORATION LIMITED FPO</t>
  </si>
  <si>
    <t>TPG</t>
  </si>
  <si>
    <t>TPG TELECOM LIMITED. FPO</t>
  </si>
  <si>
    <t>UMG</t>
  </si>
  <si>
    <t>UNITED MALT GROUP LIMITED FPO</t>
  </si>
  <si>
    <t>URW</t>
  </si>
  <si>
    <t>UNIBAIL-RODAMCO-WESTFIELD CDI 20:1 FOREIGN EXEMPT XPAR</t>
  </si>
  <si>
    <t>VUK</t>
  </si>
  <si>
    <t>VIRGIN MONEY UK PLC CDI 1:1 FOREIGN EXEMPT LSE</t>
  </si>
  <si>
    <t>WBC</t>
  </si>
  <si>
    <t>WESTPAC BANKING CORPORATION FPO</t>
  </si>
  <si>
    <t>WDS</t>
  </si>
  <si>
    <t>WOODSIDE ENERGY GROUP LTD FPO</t>
  </si>
  <si>
    <t>WES</t>
  </si>
  <si>
    <t>WESFARMERS LIMITED FPO</t>
  </si>
  <si>
    <t>WHC</t>
  </si>
  <si>
    <t>WHITEHAVEN COAL LIMITED FPO</t>
  </si>
  <si>
    <t>WOR</t>
  </si>
  <si>
    <t>WORLEY LIMITED FPO</t>
  </si>
  <si>
    <t>DDH0001AU</t>
  </si>
  <si>
    <t>ARCULUS PREFERRED INCOME FUND</t>
  </si>
  <si>
    <t>FID0008AU</t>
  </si>
  <si>
    <t>FIDELITY AUSTRALIAN EQUITIES</t>
  </si>
  <si>
    <t>IML0002AU</t>
  </si>
  <si>
    <t>INVESTORS MUTUAL WS AUSTRALIAN SHARE</t>
  </si>
  <si>
    <t>MAQ0448AU</t>
  </si>
  <si>
    <t>CHARTER HALL DIRECT OFFICE WHOLESALE</t>
  </si>
  <si>
    <t>MGE0001AU</t>
  </si>
  <si>
    <t>MAGELLAN GLOBAL OPEN CLASS</t>
  </si>
  <si>
    <t>VAN0002AU</t>
  </si>
  <si>
    <t>VANGUARD AUSTRALIAN SHARES INDEX</t>
  </si>
  <si>
    <t>+HEALTHINDUSTRY</t>
  </si>
  <si>
    <t>Health Industry.com.au Pty Ltd</t>
  </si>
  <si>
    <t>ALL</t>
  </si>
  <si>
    <t>ARISTOCRAT LEISURE LIMITED FPO</t>
  </si>
  <si>
    <t>ALX</t>
  </si>
  <si>
    <t>ATLAS ARTERIA FPO STAP US PROHIBITED EXCLUDING QUP</t>
  </si>
  <si>
    <t>APE</t>
  </si>
  <si>
    <t>EAGERS AUTOMOTIVE LIMITED FPO</t>
  </si>
  <si>
    <t>ASX</t>
  </si>
  <si>
    <t>ASX LIMITED FPO</t>
  </si>
  <si>
    <t>AUB</t>
  </si>
  <si>
    <t>AUB GROUP LIMITED FPO</t>
  </si>
  <si>
    <t>CNU</t>
  </si>
  <si>
    <t>CHORUS LIMITED FPO FOREIGN EXEMPT NZX</t>
  </si>
  <si>
    <t>COL</t>
  </si>
  <si>
    <t>COLES GROUP LIMITED. FPO</t>
  </si>
  <si>
    <t>CPU</t>
  </si>
  <si>
    <t>COMPUTERSHARE LIMITED. FPO</t>
  </si>
  <si>
    <t>FMG</t>
  </si>
  <si>
    <t>FORTESCUE METALS GROUP LTD FPO</t>
  </si>
  <si>
    <t>GMG</t>
  </si>
  <si>
    <t>GOODMAN GROUP FULLY PAID ORDINARY/UNITS STAPLED SECURITIES</t>
  </si>
  <si>
    <t>HVN</t>
  </si>
  <si>
    <t>HARVEY NORMAN HOLDINGS LIMITED FPO</t>
  </si>
  <si>
    <t>IPL</t>
  </si>
  <si>
    <t>INCITEC PIVOT LIMITED FPO</t>
  </si>
  <si>
    <t>IRE</t>
  </si>
  <si>
    <t>IRESS LIMITED FPO</t>
  </si>
  <si>
    <t>JBH</t>
  </si>
  <si>
    <t>JB HI-FI LIMITED FPO</t>
  </si>
  <si>
    <t>JHX</t>
  </si>
  <si>
    <t>JAMES HARDIE INDUSTRIES PLC CDIS 1:1</t>
  </si>
  <si>
    <t>LNK</t>
  </si>
  <si>
    <t>LINK ADMINISTRATION HOLDINGS LIMITED FPO</t>
  </si>
  <si>
    <t>MPL</t>
  </si>
  <si>
    <t>MEDIBANK PRIVATE LIMITED FPO</t>
  </si>
  <si>
    <t>MTS</t>
  </si>
  <si>
    <t>METCASH LIMITED FPO</t>
  </si>
  <si>
    <t>NEC</t>
  </si>
  <si>
    <t>NINE ENTERTAINMENT CO. HOLDINGS LIMITED FPO</t>
  </si>
  <si>
    <t>NHF</t>
  </si>
  <si>
    <t>NIB HOLDINGS LIMITED FPO</t>
  </si>
  <si>
    <t>PPT</t>
  </si>
  <si>
    <t>PERPETUAL LIMITED FPO</t>
  </si>
  <si>
    <t>RIO</t>
  </si>
  <si>
    <t>RIO TINTO LIMITED FPO</t>
  </si>
  <si>
    <t>SDF</t>
  </si>
  <si>
    <t>STEADFAST GROUP LIMITED FPO</t>
  </si>
  <si>
    <t>STW</t>
  </si>
  <si>
    <t>SPDR S&amp;P/ASX 200 FUND</t>
  </si>
  <si>
    <t>SUL</t>
  </si>
  <si>
    <t>SUPER RETAIL GROUP LIMITED FPO</t>
  </si>
  <si>
    <t>SVW</t>
  </si>
  <si>
    <t>SEVEN GROUP HOLDINGS LIMITED FPO</t>
  </si>
  <si>
    <t>TCL</t>
  </si>
  <si>
    <t>TRANSURBAN GROUP FULLY PAID ORDINARY/UNITS STAPLED SECURITIES</t>
  </si>
  <si>
    <t>TLS</t>
  </si>
  <si>
    <t>TELSTRA GROUP LIMITED FPO</t>
  </si>
  <si>
    <t>WOW</t>
  </si>
  <si>
    <t>WOOLWORTHS GROUP LIMITED FPO</t>
  </si>
  <si>
    <t>Column1</t>
  </si>
  <si>
    <t xml:space="preserve">Vanguard Australian Shares </t>
  </si>
  <si>
    <t xml:space="preserve">Transurban Group </t>
  </si>
  <si>
    <t>TCL.AX</t>
  </si>
  <si>
    <t xml:space="preserve">Spark Infrastructure Group </t>
  </si>
  <si>
    <t>SKI.AX</t>
  </si>
  <si>
    <t xml:space="preserve">National Storage Reit </t>
  </si>
  <si>
    <t>NSR.AX</t>
  </si>
  <si>
    <t xml:space="preserve">Mirvac Group </t>
  </si>
  <si>
    <t>MGR.AX</t>
  </si>
  <si>
    <t xml:space="preserve">Magellan Global Fund. </t>
  </si>
  <si>
    <t>MGFO.AX</t>
  </si>
  <si>
    <t xml:space="preserve">Magellan Global </t>
  </si>
  <si>
    <t xml:space="preserve">Investors Mutual Australian </t>
  </si>
  <si>
    <t xml:space="preserve">Gryphon Capital Income Trust </t>
  </si>
  <si>
    <t>GCI.AX</t>
  </si>
  <si>
    <t xml:space="preserve">Goodman Group </t>
  </si>
  <si>
    <t>GMG.AX</t>
  </si>
  <si>
    <t xml:space="preserve">Fidelity Aust Equities Fd </t>
  </si>
  <si>
    <t xml:space="preserve">Dexus </t>
  </si>
  <si>
    <t>DXS.AX</t>
  </si>
  <si>
    <t xml:space="preserve">DDH Pref Income Fund </t>
  </si>
  <si>
    <t xml:space="preserve">Charter Hall Dir Office W/S </t>
  </si>
  <si>
    <t xml:space="preserve">Centuria Office Reit </t>
  </si>
  <si>
    <t>COF.AX</t>
  </si>
  <si>
    <t xml:space="preserve">Apn Industria Reit </t>
  </si>
  <si>
    <t>ADI.AX</t>
  </si>
  <si>
    <t xml:space="preserve">APA Group </t>
  </si>
  <si>
    <t>APA.AX</t>
  </si>
  <si>
    <t>Units in Listed Unit Trusts (Australian)</t>
  </si>
  <si>
    <t xml:space="preserve">Garda Property Group </t>
  </si>
  <si>
    <t>GDF.AX</t>
  </si>
  <si>
    <t>Stapled Securities</t>
  </si>
  <si>
    <t>MGF.AX</t>
  </si>
  <si>
    <t>Shares in Listed Companies (Overseas)</t>
  </si>
  <si>
    <t xml:space="preserve">Worleyparsons Limited </t>
  </si>
  <si>
    <t>WOR.AX</t>
  </si>
  <si>
    <t xml:space="preserve">Woolworths Group Limited </t>
  </si>
  <si>
    <t>WOW.AX</t>
  </si>
  <si>
    <t xml:space="preserve">Woodside Petroleum Ltd </t>
  </si>
  <si>
    <t>WPL.AX</t>
  </si>
  <si>
    <t xml:space="preserve">Woodside Energy Group Ltd </t>
  </si>
  <si>
    <t>WDS.AX</t>
  </si>
  <si>
    <t xml:space="preserve">Whitehaven Coal Limited - Ordinary Fully Paid </t>
  </si>
  <si>
    <t>WHC.AX</t>
  </si>
  <si>
    <t xml:space="preserve">Westpac Banking Corporation </t>
  </si>
  <si>
    <t>WBC.AX</t>
  </si>
  <si>
    <t xml:space="preserve">Wesfarmers Limited </t>
  </si>
  <si>
    <t>WES.AX</t>
  </si>
  <si>
    <t xml:space="preserve">Washington H Soul Pattinson &amp; Company Limited </t>
  </si>
  <si>
    <t>SOL.AX</t>
  </si>
  <si>
    <t xml:space="preserve">Virgin Money Uk Plc </t>
  </si>
  <si>
    <t>VUK.AX</t>
  </si>
  <si>
    <t xml:space="preserve">United Malt Group Limited </t>
  </si>
  <si>
    <t>UMG.AX</t>
  </si>
  <si>
    <t xml:space="preserve">Unibail-rodamco-westfield </t>
  </si>
  <si>
    <t>URW.AX</t>
  </si>
  <si>
    <t xml:space="preserve">The Lottery Corporation Limited </t>
  </si>
  <si>
    <t>TLC.AX</t>
  </si>
  <si>
    <t xml:space="preserve">Telstra Corporation Limited. </t>
  </si>
  <si>
    <t>TLS.AX</t>
  </si>
  <si>
    <t xml:space="preserve">Tassal Group Limited </t>
  </si>
  <si>
    <t>TGR.AX</t>
  </si>
  <si>
    <t xml:space="preserve">Tabcorp Holdings Limited </t>
  </si>
  <si>
    <t>TAH.AX</t>
  </si>
  <si>
    <t xml:space="preserve">TPG Telecom Limited. </t>
  </si>
  <si>
    <t>TPG.AX</t>
  </si>
  <si>
    <t xml:space="preserve">Super Retail Group Limited </t>
  </si>
  <si>
    <t>SUL.AX</t>
  </si>
  <si>
    <t xml:space="preserve">Suncorp Group Limited </t>
  </si>
  <si>
    <t>SUNPH.AX</t>
  </si>
  <si>
    <t>SUN.AX</t>
  </si>
  <si>
    <t xml:space="preserve">Steadfast Group Limited </t>
  </si>
  <si>
    <t>SDF.AX</t>
  </si>
  <si>
    <t xml:space="preserve">Spdr S&amp;p/asx 200 Fund </t>
  </si>
  <si>
    <t>STW.AX</t>
  </si>
  <si>
    <t xml:space="preserve">South32 Limited </t>
  </si>
  <si>
    <t>S32.AX</t>
  </si>
  <si>
    <t xml:space="preserve">Sonic Healthcare Limited </t>
  </si>
  <si>
    <t>SHL.AX</t>
  </si>
  <si>
    <t xml:space="preserve">Seven Group Holdings Limited </t>
  </si>
  <si>
    <t>SVW.AX</t>
  </si>
  <si>
    <t xml:space="preserve">Santos Limited </t>
  </si>
  <si>
    <t>STO.AX</t>
  </si>
  <si>
    <t xml:space="preserve">Ridley Corporation Limited </t>
  </si>
  <si>
    <t>RIC.AX</t>
  </si>
  <si>
    <t xml:space="preserve">Resmed Inc </t>
  </si>
  <si>
    <t>RMD.AX</t>
  </si>
  <si>
    <t xml:space="preserve">RIO Tinto Limited </t>
  </si>
  <si>
    <t>RIO.AX</t>
  </si>
  <si>
    <t xml:space="preserve">Qv Equities Limited </t>
  </si>
  <si>
    <t>QVE.AX</t>
  </si>
  <si>
    <t xml:space="preserve">Qualitas Real Estate Income Fund </t>
  </si>
  <si>
    <t>QRI.AX</t>
  </si>
  <si>
    <t xml:space="preserve">Premier Investments Limited </t>
  </si>
  <si>
    <t>PMV.AX</t>
  </si>
  <si>
    <t xml:space="preserve">Plato Income Maximiser Limited. </t>
  </si>
  <si>
    <t>PL8.AX</t>
  </si>
  <si>
    <t xml:space="preserve">Peter Warren Automotive Holdings Limited </t>
  </si>
  <si>
    <t>PWR.AX</t>
  </si>
  <si>
    <t xml:space="preserve">Perpetual Limited </t>
  </si>
  <si>
    <t>PPT.AX</t>
  </si>
  <si>
    <t xml:space="preserve">Over The Wire Holdings Limited </t>
  </si>
  <si>
    <t>OTW.AX</t>
  </si>
  <si>
    <t xml:space="preserve">Orocobre Limited </t>
  </si>
  <si>
    <t>ORE.AX</t>
  </si>
  <si>
    <t xml:space="preserve">Orica Limited </t>
  </si>
  <si>
    <t>ORI.AX</t>
  </si>
  <si>
    <t xml:space="preserve">Ooh!media Limited </t>
  </si>
  <si>
    <t>OML.AX</t>
  </si>
  <si>
    <t xml:space="preserve">Nine Entertainment Co. Holdings Limited </t>
  </si>
  <si>
    <t>NEC.AX</t>
  </si>
  <si>
    <t xml:space="preserve">Nib Holdings Limited </t>
  </si>
  <si>
    <t>NHF.AX</t>
  </si>
  <si>
    <t xml:space="preserve">Newcrest Mining Limited </t>
  </si>
  <si>
    <t>NCM.AX</t>
  </si>
  <si>
    <t xml:space="preserve">National Australia Bank Limited </t>
  </si>
  <si>
    <t>NAB.AX</t>
  </si>
  <si>
    <t xml:space="preserve">Morella Corporation Limited </t>
  </si>
  <si>
    <t>1MC.AX</t>
  </si>
  <si>
    <t xml:space="preserve">Mineral Resources Limited </t>
  </si>
  <si>
    <t>MIN.AX</t>
  </si>
  <si>
    <t xml:space="preserve">Metcash Limited </t>
  </si>
  <si>
    <t>MTS.AX</t>
  </si>
  <si>
    <t xml:space="preserve">Medibank Private Limited Fpo </t>
  </si>
  <si>
    <t>MPL.AX</t>
  </si>
  <si>
    <t xml:space="preserve">Magellan Financial Group Limited </t>
  </si>
  <si>
    <t>MFG.AX</t>
  </si>
  <si>
    <t xml:space="preserve">Macquarie Group Limited </t>
  </si>
  <si>
    <t>MQG.AX</t>
  </si>
  <si>
    <t xml:space="preserve">Lionhub Group Limited </t>
  </si>
  <si>
    <t>LHB.AX</t>
  </si>
  <si>
    <t xml:space="preserve">Link Administration Holdings Limited </t>
  </si>
  <si>
    <t>LNK.AX</t>
  </si>
  <si>
    <t xml:space="preserve">Lendlease Group </t>
  </si>
  <si>
    <t>LLC.AX</t>
  </si>
  <si>
    <t xml:space="preserve">Jb Hi-fi Limited </t>
  </si>
  <si>
    <t>JBH.AX</t>
  </si>
  <si>
    <t xml:space="preserve">James Hardie Industries Se - Chess Depositary Interests </t>
  </si>
  <si>
    <t>JHX.AX</t>
  </si>
  <si>
    <t xml:space="preserve">Iress Limited </t>
  </si>
  <si>
    <t>IRE.AX</t>
  </si>
  <si>
    <t xml:space="preserve">Invocare Limited </t>
  </si>
  <si>
    <t>IVC.AX</t>
  </si>
  <si>
    <t xml:space="preserve">Inghams Group Limited </t>
  </si>
  <si>
    <t>ING.AX</t>
  </si>
  <si>
    <t xml:space="preserve">Incitec Pivot Limited </t>
  </si>
  <si>
    <t>IPL.AX</t>
  </si>
  <si>
    <t xml:space="preserve">IPH Limited </t>
  </si>
  <si>
    <t>IPH.AX</t>
  </si>
  <si>
    <t xml:space="preserve">Harvey Norman Holdings Limited </t>
  </si>
  <si>
    <t>HVN.AX</t>
  </si>
  <si>
    <t xml:space="preserve">GWA Group Limited. </t>
  </si>
  <si>
    <t>GWA.AX</t>
  </si>
  <si>
    <t xml:space="preserve">Fortescue Metals Group Ltd </t>
  </si>
  <si>
    <t>FMG.AX</t>
  </si>
  <si>
    <t xml:space="preserve">Evolution Mining Limited </t>
  </si>
  <si>
    <t>EVN.AX</t>
  </si>
  <si>
    <t xml:space="preserve">Endeavour Group Limited </t>
  </si>
  <si>
    <t>EDV.AX</t>
  </si>
  <si>
    <t xml:space="preserve">Dexus Industria Reit. </t>
  </si>
  <si>
    <t>DXI.AX</t>
  </si>
  <si>
    <t xml:space="preserve">Deterra Royalties Limited </t>
  </si>
  <si>
    <t>DRR.AX</t>
  </si>
  <si>
    <t xml:space="preserve">Computershare Limited. </t>
  </si>
  <si>
    <t>CPU.AX</t>
  </si>
  <si>
    <t xml:space="preserve">Commonwealth Bank Of Australia. </t>
  </si>
  <si>
    <t>CBAPJ.AX</t>
  </si>
  <si>
    <t>CBAPD.AX</t>
  </si>
  <si>
    <t>CBA.AX</t>
  </si>
  <si>
    <t xml:space="preserve">Commonwealth Bank </t>
  </si>
  <si>
    <t>CBAPG.AX</t>
  </si>
  <si>
    <t xml:space="preserve">Coles Group Limited. </t>
  </si>
  <si>
    <t>COL.AX</t>
  </si>
  <si>
    <t xml:space="preserve">Cimic Group Limited </t>
  </si>
  <si>
    <t>CIM.AX</t>
  </si>
  <si>
    <t xml:space="preserve">Chorus Limited </t>
  </si>
  <si>
    <t>CNU.AX</t>
  </si>
  <si>
    <t xml:space="preserve">Challenger Limited </t>
  </si>
  <si>
    <t>CGF.AX</t>
  </si>
  <si>
    <t xml:space="preserve">Central Petroleum Limited </t>
  </si>
  <si>
    <t>CTP.AX</t>
  </si>
  <si>
    <t xml:space="preserve">Carsales.com Limited. </t>
  </si>
  <si>
    <t>CAR.AX</t>
  </si>
  <si>
    <t xml:space="preserve">CSL Limited </t>
  </si>
  <si>
    <t>CSL.AX</t>
  </si>
  <si>
    <t xml:space="preserve">CAR_R </t>
  </si>
  <si>
    <t xml:space="preserve">Brambles Limited </t>
  </si>
  <si>
    <t>BXB.AX</t>
  </si>
  <si>
    <t xml:space="preserve">Boral Limited. </t>
  </si>
  <si>
    <t>BLD.AX</t>
  </si>
  <si>
    <t xml:space="preserve">Block Inc. </t>
  </si>
  <si>
    <t>SQ2.AX</t>
  </si>
  <si>
    <t xml:space="preserve">Bendigo And Adelaide Bank Limited </t>
  </si>
  <si>
    <t>BEN.AX</t>
  </si>
  <si>
    <t xml:space="preserve">Bega Cheese Limited </t>
  </si>
  <si>
    <t>BGA.AX</t>
  </si>
  <si>
    <t xml:space="preserve">Beach Energy Limited </t>
  </si>
  <si>
    <t>BPT.AX</t>
  </si>
  <si>
    <t xml:space="preserve">Bank Of Queensland Limited. </t>
  </si>
  <si>
    <t>BOQ.AX</t>
  </si>
  <si>
    <t xml:space="preserve">BHP Group Limited </t>
  </si>
  <si>
    <t>BHP.AX</t>
  </si>
  <si>
    <t xml:space="preserve">Australia And New Zealand Banking Group Limited </t>
  </si>
  <si>
    <t>ANZ.AX</t>
  </si>
  <si>
    <t xml:space="preserve">Aussie Broadband Limited </t>
  </si>
  <si>
    <t>ABB.AX</t>
  </si>
  <si>
    <t xml:space="preserve">Ausnet Services Limited </t>
  </si>
  <si>
    <t>AST.AX</t>
  </si>
  <si>
    <t xml:space="preserve">Atlas Arteria </t>
  </si>
  <si>
    <t>ALX.AX</t>
  </si>
  <si>
    <t xml:space="preserve">Aristocrat Leisure Limited </t>
  </si>
  <si>
    <t>ALL.AX</t>
  </si>
  <si>
    <t xml:space="preserve">Appen Limited </t>
  </si>
  <si>
    <t>APX.AX</t>
  </si>
  <si>
    <t xml:space="preserve">Apiam Animal Health Limited </t>
  </si>
  <si>
    <t>AHX.AX</t>
  </si>
  <si>
    <t xml:space="preserve">Ap Eagers Limited </t>
  </si>
  <si>
    <t>APE.AX</t>
  </si>
  <si>
    <t xml:space="preserve">Amcor Plc </t>
  </si>
  <si>
    <t>AMC.AX</t>
  </si>
  <si>
    <t xml:space="preserve">Alumina Limited </t>
  </si>
  <si>
    <t>AWC.AX</t>
  </si>
  <si>
    <t xml:space="preserve">Allkem Limited </t>
  </si>
  <si>
    <t>AKE.AX</t>
  </si>
  <si>
    <t xml:space="preserve">Afterpay Limited </t>
  </si>
  <si>
    <t>APT.AX</t>
  </si>
  <si>
    <t xml:space="preserve">AUB Group Limited </t>
  </si>
  <si>
    <t>AUB.AX</t>
  </si>
  <si>
    <t xml:space="preserve">ASX Limited </t>
  </si>
  <si>
    <t>ASX.AX</t>
  </si>
  <si>
    <t xml:space="preserve">ANZ Group Capital Notes 2 </t>
  </si>
  <si>
    <t>ANZPE.AX</t>
  </si>
  <si>
    <t>Shares in Listed Companies (Australian)</t>
  </si>
  <si>
    <t>NABPE.AX</t>
  </si>
  <si>
    <t xml:space="preserve">Crown Resorts Limited </t>
  </si>
  <si>
    <t>CWNHB.AX</t>
  </si>
  <si>
    <t>Hybrid Securities with Debt (Swaps, futures contracts, Options.)</t>
  </si>
  <si>
    <t xml:space="preserve">Macquarie Bank Limited CAP Note 3 </t>
  </si>
  <si>
    <t>CGFPC.AX</t>
  </si>
  <si>
    <t>BENPH.AX</t>
  </si>
  <si>
    <t>Fixed Interest Securities (Australian) - Unitised</t>
  </si>
  <si>
    <t>MFGO.AX</t>
  </si>
  <si>
    <t>Derivatives (Options, Hybrids, Future Contracts)</t>
  </si>
  <si>
    <t xml:space="preserve">SMA Cash Account </t>
  </si>
  <si>
    <t xml:space="preserve">DDH </t>
  </si>
  <si>
    <t>Cash/Bank Accounts</t>
  </si>
  <si>
    <t>Realised Movement</t>
  </si>
  <si>
    <t>Current Year</t>
  </si>
  <si>
    <t>Overall</t>
  </si>
  <si>
    <t>Accounting Cost</t>
  </si>
  <si>
    <t>Average Cost</t>
  </si>
  <si>
    <t>Market Value</t>
  </si>
  <si>
    <t>Market Price</t>
  </si>
  <si>
    <t>Units</t>
  </si>
  <si>
    <t>Investment</t>
  </si>
  <si>
    <t>Unrealised Movement</t>
  </si>
  <si>
    <t>As at 30 June 2022</t>
  </si>
  <si>
    <t>Investment Summary with Market Movement</t>
  </si>
  <si>
    <t xml:space="preserve">The Souvlis Family Super Fund </t>
  </si>
  <si>
    <t>Portfolio</t>
  </si>
  <si>
    <t>SMA</t>
  </si>
  <si>
    <t>Difference</t>
  </si>
  <si>
    <t xml:space="preserve">+Healthindustry included in 158589 portfolio but not a part of the sfund </t>
  </si>
  <si>
    <t>Lionhub market value + misc summarised in Burrells tab</t>
  </si>
  <si>
    <t>SOUV0004 - 2022 Financial Year Burrell Report 158589.pdf</t>
  </si>
  <si>
    <t>SOUV0004 - 2022 Financial Year Burrell Report SMA00219029.pdf</t>
  </si>
  <si>
    <t>BGL</t>
  </si>
  <si>
    <t>Lionhub</t>
  </si>
  <si>
    <t>SMA Cash Acc</t>
  </si>
  <si>
    <t>DDH Bank Acc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</si>
</sst>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####;\-#,##0.####;_-* &quot;-&quot;??_-"/>
    <numFmt numFmtId="165" formatCode="#,##0.00##;\-#,##0.00##;_-* &quot;-&quot;??_-"/>
    <numFmt numFmtId="166" formatCode="#,##0.000000"/>
    <numFmt numFmtId="167" formatCode="#,##0.000000000000_ ;\-#,##0.000000000000\ "/>
    <numFmt numFmtId="178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theme="8"/>
      </top>
      <bottom style="medium">
        <color indexed="64"/>
      </bottom>
      <diagonal/>
    </border>
    <border>
      <left/>
      <right/>
      <top style="medium">
        <color theme="8"/>
      </top>
      <bottom/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164" fontId="0" fillId="0" borderId="0" xfId="0" applyNumberFormat="1"/>
    <xf numFmtId="164" fontId="3" fillId="0" borderId="0" xfId="0" applyNumberFormat="1" applyFont="1"/>
    <xf numFmtId="165" fontId="3" fillId="0" borderId="0" xfId="0" applyNumberFormat="1" applyFont="1"/>
    <xf numFmtId="0" fontId="4" fillId="2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165" fontId="4" fillId="3" borderId="0" xfId="0" applyNumberFormat="1" applyFont="1" applyFill="1"/>
    <xf numFmtId="4" fontId="2" fillId="0" borderId="1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0" fillId="0" borderId="0" xfId="0" applyNumberFormat="1" applyAlignment="1">
      <alignment horizontal="right" vertical="top"/>
    </xf>
    <xf numFmtId="166" fontId="0" fillId="0" borderId="0" xfId="0" applyNumberFormat="1" applyAlignment="1">
      <alignment horizontal="righ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/>
    </xf>
    <xf numFmtId="0" fontId="0" fillId="0" borderId="3" xfId="0" applyBorder="1"/>
    <xf numFmtId="0" fontId="2" fillId="0" borderId="3" xfId="0" applyFont="1" applyBorder="1" applyAlignment="1">
      <alignment horizontal="left" vertical="center"/>
    </xf>
    <xf numFmtId="0" fontId="0" fillId="0" borderId="4" xfId="0" applyBorder="1"/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5" fillId="0" borderId="0" xfId="0" applyFont="1"/>
    <xf numFmtId="0" fontId="0" fillId="0" borderId="0" xfId="0" applyAlignment="1">
      <alignment horizontal="left"/>
    </xf>
    <xf numFmtId="4" fontId="0" fillId="0" borderId="7" xfId="0" applyNumberFormat="1" applyBorder="1" applyAlignment="1">
      <alignment horizontal="right" vertical="top"/>
    </xf>
    <xf numFmtId="4" fontId="0" fillId="0" borderId="8" xfId="0" applyNumberFormat="1" applyBorder="1" applyAlignment="1">
      <alignment horizontal="right" vertical="top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6" fillId="0" borderId="0" xfId="1"/>
    <xf numFmtId="0" fontId="3" fillId="4" borderId="0" xfId="0" applyFont="1" applyFill="1"/>
    <xf numFmtId="0" fontId="3" fillId="5" borderId="0" xfId="0" applyFont="1" applyFill="1"/>
    <xf numFmtId="0" fontId="1" fillId="0" borderId="0" xfId="0" applyFont="1"/>
    <xf numFmtId="4" fontId="0" fillId="0" borderId="0" xfId="0" applyNumberFormat="1"/>
    <xf numFmtId="167" fontId="0" fillId="0" borderId="0" xfId="0" applyNumberFormat="1"/>
    <xf numFmtId="164" fontId="0" fillId="0" borderId="7" xfId="0" applyNumberFormat="1" applyBorder="1"/>
    <xf numFmtId="178" fontId="0" fillId="0" borderId="0" xfId="0" applyNumberFormat="1"/>
    <xf numFmtId="4" fontId="6" fillId="0" borderId="0" xfId="1" applyNumberFormat="1"/>
  </cellXfs>
  <cellStyles count="2">
    <cellStyle name="Hyperlink" xfId="1" builtinId="8"/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rgb="FFF2F2F2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#,##0.00##;\-#,##0.00##;_-* &quot;-&quot;??_-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#,##0.00##;\-#,##0.00##;_-* &quot;-&quot;??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####;\-#,##0.####;_-* &quot;-&quot;??_-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9BB9A1E-F1BE-4DE6-9AFB-3CE6501CB2B5}" name="Table1" displayName="Table1" ref="A1:G106" totalsRowShown="0" headerRowDxfId="1" dataDxfId="0">
  <autoFilter ref="A1:G106" xr:uid="{49BB9A1E-F1BE-4DE6-9AFB-3CE6501CB2B5}"/>
  <tableColumns count="7">
    <tableColumn id="1" xr3:uid="{B510A1C9-B4FE-429D-A296-4006517D1852}" name="Asset" dataDxfId="8"/>
    <tableColumn id="2" xr3:uid="{E9D9F8B5-77B3-4765-8A71-01BC7F361333}" name="Column1" dataDxfId="7"/>
    <tableColumn id="3" xr3:uid="{FE8012AB-3D4C-4461-B797-A8061214F0C1}" name="Quantity" dataDxfId="6"/>
    <tableColumn id="4" xr3:uid="{737B0260-62B3-4EB0-B590-F7053B606CDE}" name="Avg unit cost $" dataDxfId="5"/>
    <tableColumn id="5" xr3:uid="{1EBCCF52-7EE4-474E-AA96-F4152AFC5B1A}" name="Actual cost $" dataDxfId="4"/>
    <tableColumn id="6" xr3:uid="{18B7C9DB-0233-4EB8-8691-3BE675B020C3}" name="Unit price $" dataDxfId="3"/>
    <tableColumn id="7" xr3:uid="{B75EE690-5830-4C86-B86B-6B8EB5A5BA65}" name="Market value $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SOUV0004%20-%202022%20Financial%20Year%20Burrell%20Report%20SMA00219029.pdf" TargetMode="External"/><Relationship Id="rId1" Type="http://schemas.openxmlformats.org/officeDocument/2006/relationships/hyperlink" Target="SOUV0004%20-%202022%20Financial%20Year%20Burrell%20Report%20158589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0FD15-553A-42A4-AE30-E257ABE86346}">
  <dimension ref="A2:L170"/>
  <sheetViews>
    <sheetView tabSelected="1" workbookViewId="0">
      <pane ySplit="7" topLeftCell="A143" activePane="bottomLeft" state="frozen"/>
      <selection pane="bottomLeft" activeCell="I163" sqref="I163"/>
    </sheetView>
  </sheetViews>
  <sheetFormatPr defaultColWidth="8.85546875" defaultRowHeight="15" x14ac:dyDescent="0.25"/>
  <cols>
    <col min="1" max="1" width="14" customWidth="1"/>
    <col min="2" max="2" width="8.85546875" customWidth="1"/>
    <col min="3" max="3" width="9.140625" customWidth="1"/>
    <col min="4" max="4" width="22.85546875" customWidth="1"/>
    <col min="5" max="5" width="9.42578125" customWidth="1"/>
    <col min="6" max="6" width="15.42578125" customWidth="1"/>
    <col min="7" max="7" width="18.7109375" customWidth="1"/>
    <col min="8" max="8" width="17.140625" customWidth="1"/>
    <col min="9" max="9" width="17.7109375" customWidth="1"/>
    <col min="10" max="10" width="21.140625" customWidth="1"/>
    <col min="11" max="11" width="15.140625" customWidth="1"/>
    <col min="12" max="12" width="16.42578125" customWidth="1"/>
  </cols>
  <sheetData>
    <row r="2" spans="1:12" x14ac:dyDescent="0.25">
      <c r="A2" t="s">
        <v>473</v>
      </c>
    </row>
    <row r="3" spans="1:12" ht="21" x14ac:dyDescent="0.35">
      <c r="A3" s="26" t="s">
        <v>472</v>
      </c>
    </row>
    <row r="4" spans="1:12" ht="15.75" thickBot="1" x14ac:dyDescent="0.3">
      <c r="A4" s="25" t="s">
        <v>471</v>
      </c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5.75" thickBot="1" x14ac:dyDescent="0.3">
      <c r="A5" s="24"/>
      <c r="B5" s="24"/>
      <c r="C5" s="24"/>
      <c r="D5" s="24"/>
      <c r="J5" s="23" t="s">
        <v>470</v>
      </c>
      <c r="K5" s="22"/>
    </row>
    <row r="6" spans="1:12" ht="44.25" customHeight="1" thickBot="1" x14ac:dyDescent="0.3">
      <c r="A6" s="21" t="s">
        <v>469</v>
      </c>
      <c r="B6" s="20"/>
      <c r="C6" s="20"/>
      <c r="D6" s="20"/>
      <c r="E6" s="19" t="s">
        <v>468</v>
      </c>
      <c r="F6" s="18" t="s">
        <v>467</v>
      </c>
      <c r="G6" s="18" t="s">
        <v>466</v>
      </c>
      <c r="H6" s="18" t="s">
        <v>465</v>
      </c>
      <c r="I6" s="18" t="s">
        <v>464</v>
      </c>
      <c r="J6" s="18" t="s">
        <v>463</v>
      </c>
      <c r="K6" s="18" t="s">
        <v>462</v>
      </c>
      <c r="L6" s="18" t="s">
        <v>461</v>
      </c>
    </row>
    <row r="7" spans="1:12" ht="14.1" customHeight="1" x14ac:dyDescent="0.25">
      <c r="A7" s="17" t="s">
        <v>460</v>
      </c>
      <c r="B7" s="16"/>
      <c r="C7" s="16"/>
      <c r="D7" s="16"/>
    </row>
    <row r="8" spans="1:12" ht="22.5" customHeight="1" x14ac:dyDescent="0.25">
      <c r="A8" s="15"/>
      <c r="B8" s="14" t="s">
        <v>459</v>
      </c>
      <c r="E8" s="12"/>
      <c r="F8" s="13">
        <v>20440.900000000001</v>
      </c>
      <c r="G8" s="12">
        <v>20440.900000000001</v>
      </c>
      <c r="H8" s="12">
        <v>20440.900000000001</v>
      </c>
      <c r="I8" s="12">
        <v>20440.900000000001</v>
      </c>
      <c r="J8" s="12"/>
      <c r="K8" s="12"/>
      <c r="L8" s="12"/>
    </row>
    <row r="9" spans="1:12" ht="22.5" customHeight="1" thickBot="1" x14ac:dyDescent="0.3">
      <c r="A9" s="15"/>
      <c r="B9" s="14" t="s">
        <v>458</v>
      </c>
      <c r="E9" s="12"/>
      <c r="F9" s="13">
        <v>12679.69</v>
      </c>
      <c r="G9" s="12">
        <v>12679.69</v>
      </c>
      <c r="H9" s="12">
        <v>12679.69</v>
      </c>
      <c r="I9" s="12">
        <v>12679.69</v>
      </c>
      <c r="J9" s="12"/>
      <c r="K9" s="12"/>
      <c r="L9" s="12"/>
    </row>
    <row r="10" spans="1:12" ht="14.1" customHeight="1" x14ac:dyDescent="0.25">
      <c r="G10" s="11">
        <f>SUM(G8:G9)</f>
        <v>33120.590000000004</v>
      </c>
      <c r="H10" s="11"/>
      <c r="I10" s="11">
        <f>SUM(I8:I9)</f>
        <v>33120.590000000004</v>
      </c>
      <c r="J10" s="11">
        <f>SUM(J8:J9)</f>
        <v>0</v>
      </c>
      <c r="K10" s="11">
        <f>SUM(K8:K9)</f>
        <v>0</v>
      </c>
      <c r="L10" s="11">
        <f>SUM(L8:L9)</f>
        <v>0</v>
      </c>
    </row>
    <row r="11" spans="1:12" ht="14.1" customHeight="1" x14ac:dyDescent="0.25">
      <c r="A11" s="17" t="s">
        <v>457</v>
      </c>
      <c r="B11" s="16"/>
      <c r="C11" s="16"/>
      <c r="D11" s="16"/>
    </row>
    <row r="12" spans="1:12" ht="22.5" customHeight="1" thickBot="1" x14ac:dyDescent="0.3">
      <c r="A12" s="15" t="s">
        <v>456</v>
      </c>
      <c r="B12" s="14" t="s">
        <v>340</v>
      </c>
      <c r="E12" s="12">
        <v>625</v>
      </c>
      <c r="F12" s="13">
        <v>0.73499999999999999</v>
      </c>
      <c r="G12" s="12">
        <v>459.38</v>
      </c>
      <c r="H12" s="12">
        <v>0</v>
      </c>
      <c r="I12" s="12">
        <v>0</v>
      </c>
      <c r="J12" s="12">
        <v>459.38</v>
      </c>
      <c r="K12" s="12">
        <v>459.38</v>
      </c>
      <c r="L12" s="12">
        <v>16</v>
      </c>
    </row>
    <row r="13" spans="1:12" ht="14.1" customHeight="1" x14ac:dyDescent="0.25">
      <c r="G13" s="11">
        <f>SUM(G12:G12)</f>
        <v>459.38</v>
      </c>
      <c r="H13" s="11"/>
      <c r="I13" s="11">
        <f>SUM(I12:I12)</f>
        <v>0</v>
      </c>
      <c r="J13" s="11">
        <f>SUM(J12:J12)</f>
        <v>459.38</v>
      </c>
      <c r="K13" s="11">
        <f>SUM(K12:K12)</f>
        <v>459.38</v>
      </c>
      <c r="L13" s="11">
        <f>SUM(L12:L12)</f>
        <v>16</v>
      </c>
    </row>
    <row r="14" spans="1:12" ht="14.1" customHeight="1" x14ac:dyDescent="0.25">
      <c r="A14" s="17" t="s">
        <v>455</v>
      </c>
      <c r="B14" s="16"/>
      <c r="C14" s="16"/>
      <c r="D14" s="16"/>
    </row>
    <row r="15" spans="1:12" ht="22.5" customHeight="1" x14ac:dyDescent="0.25">
      <c r="A15" s="15" t="s">
        <v>454</v>
      </c>
      <c r="B15" s="14" t="s">
        <v>407</v>
      </c>
      <c r="E15" s="12">
        <v>0</v>
      </c>
      <c r="F15" s="13">
        <v>99.96</v>
      </c>
      <c r="G15" s="12">
        <v>0</v>
      </c>
      <c r="H15" s="12">
        <v>0</v>
      </c>
      <c r="I15" s="12">
        <v>0</v>
      </c>
      <c r="J15" s="12">
        <v>0</v>
      </c>
      <c r="K15" s="12">
        <v>-1375</v>
      </c>
      <c r="L15" s="12">
        <v>854.07</v>
      </c>
    </row>
    <row r="16" spans="1:12" ht="22.5" customHeight="1" x14ac:dyDescent="0.25">
      <c r="A16" s="15" t="s">
        <v>453</v>
      </c>
      <c r="B16" s="14" t="s">
        <v>392</v>
      </c>
      <c r="E16" s="12">
        <v>300</v>
      </c>
      <c r="F16" s="13">
        <v>101.9</v>
      </c>
      <c r="G16" s="12">
        <v>30570</v>
      </c>
      <c r="H16" s="12">
        <v>103.13</v>
      </c>
      <c r="I16" s="12">
        <v>30939.27</v>
      </c>
      <c r="J16" s="12">
        <v>-369.27</v>
      </c>
      <c r="K16" s="12">
        <v>-2154.27</v>
      </c>
      <c r="L16" s="12">
        <v>1462.56</v>
      </c>
    </row>
    <row r="17" spans="1:12" ht="22.5" customHeight="1" thickBot="1" x14ac:dyDescent="0.3">
      <c r="A17" s="15" t="s">
        <v>74</v>
      </c>
      <c r="B17" s="14" t="s">
        <v>452</v>
      </c>
      <c r="E17" s="12">
        <v>150</v>
      </c>
      <c r="F17" s="13">
        <v>97.15</v>
      </c>
      <c r="G17" s="12">
        <v>14572.5</v>
      </c>
      <c r="H17" s="12">
        <v>100.07</v>
      </c>
      <c r="I17" s="12">
        <v>15011</v>
      </c>
      <c r="J17" s="12">
        <v>-438.5</v>
      </c>
      <c r="K17" s="12">
        <v>-438.5</v>
      </c>
      <c r="L17" s="12">
        <v>0</v>
      </c>
    </row>
    <row r="18" spans="1:12" ht="14.1" customHeight="1" x14ac:dyDescent="0.25">
      <c r="G18" s="11">
        <f>SUM(G15:G17)</f>
        <v>45142.5</v>
      </c>
      <c r="H18" s="11"/>
      <c r="I18" s="11">
        <f>SUM(I15:I17)</f>
        <v>45950.270000000004</v>
      </c>
      <c r="J18" s="11">
        <f>SUM(J15:J17)</f>
        <v>-807.77</v>
      </c>
      <c r="K18" s="11">
        <f>SUM(K15:K17)</f>
        <v>-3967.77</v>
      </c>
      <c r="L18" s="11">
        <f>SUM(L15:L17)</f>
        <v>2316.63</v>
      </c>
    </row>
    <row r="19" spans="1:12" ht="14.1" customHeight="1" x14ac:dyDescent="0.25">
      <c r="A19" s="17" t="s">
        <v>451</v>
      </c>
      <c r="B19" s="16"/>
      <c r="C19" s="16"/>
      <c r="D19" s="16"/>
    </row>
    <row r="20" spans="1:12" ht="22.5" customHeight="1" x14ac:dyDescent="0.25">
      <c r="A20" s="15" t="s">
        <v>450</v>
      </c>
      <c r="B20" s="14" t="s">
        <v>449</v>
      </c>
      <c r="E20" s="12">
        <v>200</v>
      </c>
      <c r="F20" s="13">
        <v>101.93</v>
      </c>
      <c r="G20" s="12">
        <v>20386</v>
      </c>
      <c r="H20" s="12">
        <v>102.18</v>
      </c>
      <c r="I20" s="12">
        <v>20436.87</v>
      </c>
      <c r="J20" s="12">
        <v>-50.87</v>
      </c>
      <c r="K20" s="12">
        <v>2753.8</v>
      </c>
      <c r="L20" s="12">
        <v>-5327.6233329999995</v>
      </c>
    </row>
    <row r="21" spans="1:12" ht="22.5" customHeight="1" thickBot="1" x14ac:dyDescent="0.3">
      <c r="A21" s="15" t="s">
        <v>448</v>
      </c>
      <c r="B21" s="14" t="s">
        <v>330</v>
      </c>
      <c r="E21" s="12">
        <v>300</v>
      </c>
      <c r="F21" s="13">
        <v>100.5</v>
      </c>
      <c r="G21" s="12">
        <v>30150</v>
      </c>
      <c r="H21" s="12">
        <v>100</v>
      </c>
      <c r="I21" s="12">
        <v>30000</v>
      </c>
      <c r="J21" s="12">
        <v>150</v>
      </c>
      <c r="K21" s="12">
        <v>-342</v>
      </c>
      <c r="L21" s="12">
        <v>0</v>
      </c>
    </row>
    <row r="22" spans="1:12" ht="14.1" customHeight="1" x14ac:dyDescent="0.25">
      <c r="G22" s="11">
        <f>SUM(G20:G21)</f>
        <v>50536</v>
      </c>
      <c r="H22" s="11"/>
      <c r="I22" s="11">
        <f>SUM(I20:I21)</f>
        <v>50436.869999999995</v>
      </c>
      <c r="J22" s="11">
        <f>SUM(J20:J21)</f>
        <v>99.13</v>
      </c>
      <c r="K22" s="11">
        <f>SUM(K20:K21)</f>
        <v>2411.8000000000002</v>
      </c>
      <c r="L22" s="11">
        <f>SUM(L20:L21)</f>
        <v>-5327.6233329999995</v>
      </c>
    </row>
    <row r="23" spans="1:12" ht="14.1" customHeight="1" x14ac:dyDescent="0.25">
      <c r="A23" s="17" t="s">
        <v>447</v>
      </c>
      <c r="B23" s="16"/>
      <c r="C23" s="16"/>
      <c r="D23" s="16"/>
    </row>
    <row r="24" spans="1:12" ht="22.5" customHeight="1" x14ac:dyDescent="0.25">
      <c r="A24" s="15" t="s">
        <v>446</v>
      </c>
      <c r="B24" s="14" t="s">
        <v>445</v>
      </c>
      <c r="E24" s="12">
        <v>0</v>
      </c>
      <c r="F24" s="13">
        <v>101</v>
      </c>
      <c r="G24" s="12">
        <v>0</v>
      </c>
      <c r="H24" s="12">
        <v>0</v>
      </c>
      <c r="I24" s="12">
        <v>0</v>
      </c>
      <c r="J24" s="12">
        <v>0</v>
      </c>
      <c r="K24" s="12">
        <v>-599.27</v>
      </c>
      <c r="L24" s="12">
        <v>49.27</v>
      </c>
    </row>
    <row r="25" spans="1:12" ht="22.5" customHeight="1" x14ac:dyDescent="0.25">
      <c r="A25" s="15" t="s">
        <v>444</v>
      </c>
      <c r="B25" s="14" t="s">
        <v>443</v>
      </c>
      <c r="E25" s="12">
        <v>35</v>
      </c>
      <c r="F25" s="13">
        <v>81.709999999999994</v>
      </c>
      <c r="G25" s="12">
        <v>2859.85</v>
      </c>
      <c r="H25" s="12">
        <v>72.52</v>
      </c>
      <c r="I25" s="12">
        <v>2538.13</v>
      </c>
      <c r="J25" s="12">
        <v>321.72000000000003</v>
      </c>
      <c r="K25" s="12">
        <v>236.32</v>
      </c>
      <c r="L25" s="12">
        <v>-58.657648000000002</v>
      </c>
    </row>
    <row r="26" spans="1:12" ht="22.5" customHeight="1" x14ac:dyDescent="0.25">
      <c r="A26" s="15" t="s">
        <v>442</v>
      </c>
      <c r="B26" s="14" t="s">
        <v>441</v>
      </c>
      <c r="E26" s="12">
        <v>40</v>
      </c>
      <c r="F26" s="13">
        <v>17.68</v>
      </c>
      <c r="G26" s="12">
        <v>707.2</v>
      </c>
      <c r="H26" s="12">
        <v>22.44</v>
      </c>
      <c r="I26" s="12">
        <v>897.51</v>
      </c>
      <c r="J26" s="12">
        <v>-190.31</v>
      </c>
      <c r="K26" s="12">
        <v>-190.31</v>
      </c>
      <c r="L26" s="12">
        <v>0</v>
      </c>
    </row>
    <row r="27" spans="1:12" ht="22.5" customHeight="1" x14ac:dyDescent="0.25">
      <c r="A27" s="15" t="s">
        <v>440</v>
      </c>
      <c r="B27" s="14" t="s">
        <v>439</v>
      </c>
      <c r="E27" s="12">
        <v>0</v>
      </c>
      <c r="F27" s="13">
        <v>66.47</v>
      </c>
      <c r="G27" s="12">
        <v>0</v>
      </c>
      <c r="H27" s="12">
        <v>0</v>
      </c>
      <c r="I27" s="12">
        <v>0</v>
      </c>
      <c r="J27" s="12">
        <v>0</v>
      </c>
      <c r="K27" s="12">
        <v>-92.73</v>
      </c>
      <c r="L27" s="12">
        <v>-835.93</v>
      </c>
    </row>
    <row r="28" spans="1:12" ht="22.5" customHeight="1" x14ac:dyDescent="0.25">
      <c r="A28" s="15" t="s">
        <v>438</v>
      </c>
      <c r="B28" s="14" t="s">
        <v>437</v>
      </c>
      <c r="E28" s="12">
        <v>2400</v>
      </c>
      <c r="F28" s="13">
        <v>10.31</v>
      </c>
      <c r="G28" s="12">
        <v>24744</v>
      </c>
      <c r="H28" s="12">
        <v>2.72</v>
      </c>
      <c r="I28" s="12">
        <v>6518.79</v>
      </c>
      <c r="J28" s="12">
        <v>18225.21</v>
      </c>
      <c r="K28" s="12">
        <v>18225.21</v>
      </c>
      <c r="L28" s="12">
        <v>0</v>
      </c>
    </row>
    <row r="29" spans="1:12" ht="22.5" customHeight="1" x14ac:dyDescent="0.25">
      <c r="A29" s="15" t="s">
        <v>436</v>
      </c>
      <c r="B29" s="14" t="s">
        <v>435</v>
      </c>
      <c r="E29" s="12">
        <v>0</v>
      </c>
      <c r="F29" s="13">
        <v>1.4650000000000001</v>
      </c>
      <c r="G29" s="12">
        <v>0</v>
      </c>
      <c r="H29" s="12">
        <v>0</v>
      </c>
      <c r="I29" s="12">
        <v>0</v>
      </c>
      <c r="J29" s="12">
        <v>0</v>
      </c>
      <c r="K29" s="12">
        <v>26.69</v>
      </c>
      <c r="L29" s="12">
        <v>-44.95</v>
      </c>
    </row>
    <row r="30" spans="1:12" ht="22.5" customHeight="1" x14ac:dyDescent="0.25">
      <c r="A30" s="15" t="s">
        <v>434</v>
      </c>
      <c r="B30" s="14" t="s">
        <v>433</v>
      </c>
      <c r="E30" s="12">
        <v>2891</v>
      </c>
      <c r="F30" s="13">
        <v>18.04</v>
      </c>
      <c r="G30" s="12">
        <v>52153.64</v>
      </c>
      <c r="H30" s="12">
        <v>12.79</v>
      </c>
      <c r="I30" s="12">
        <v>36983.019999999997</v>
      </c>
      <c r="J30" s="12">
        <v>15170.62</v>
      </c>
      <c r="K30" s="12">
        <v>8604.08</v>
      </c>
      <c r="L30" s="12">
        <v>3.0122059999999999</v>
      </c>
    </row>
    <row r="31" spans="1:12" ht="22.5" customHeight="1" x14ac:dyDescent="0.25">
      <c r="A31" s="15" t="s">
        <v>432</v>
      </c>
      <c r="B31" s="14" t="s">
        <v>431</v>
      </c>
      <c r="E31" s="12">
        <v>39</v>
      </c>
      <c r="F31" s="13">
        <v>9.7200000000000006</v>
      </c>
      <c r="G31" s="12">
        <v>379.08</v>
      </c>
      <c r="H31" s="12">
        <v>13.71</v>
      </c>
      <c r="I31" s="12">
        <v>534.65</v>
      </c>
      <c r="J31" s="12">
        <v>-155.57</v>
      </c>
      <c r="K31" s="12">
        <v>-155.57</v>
      </c>
      <c r="L31" s="12">
        <v>0</v>
      </c>
    </row>
    <row r="32" spans="1:12" ht="22.5" customHeight="1" x14ac:dyDescent="0.25">
      <c r="A32" s="15" t="s">
        <v>430</v>
      </c>
      <c r="B32" s="14" t="s">
        <v>429</v>
      </c>
      <c r="E32" s="12">
        <v>15104</v>
      </c>
      <c r="F32" s="13">
        <v>0.68500000000000005</v>
      </c>
      <c r="G32" s="12">
        <v>10346.24</v>
      </c>
      <c r="H32" s="12">
        <v>0.79</v>
      </c>
      <c r="I32" s="12">
        <v>11965.8</v>
      </c>
      <c r="J32" s="12">
        <v>-1619.56</v>
      </c>
      <c r="K32" s="12">
        <v>-1619.56</v>
      </c>
      <c r="L32" s="12">
        <v>0</v>
      </c>
    </row>
    <row r="33" spans="1:12" ht="22.5" customHeight="1" x14ac:dyDescent="0.25">
      <c r="A33" s="15" t="s">
        <v>428</v>
      </c>
      <c r="B33" s="14" t="s">
        <v>427</v>
      </c>
      <c r="E33" s="12">
        <v>0</v>
      </c>
      <c r="F33" s="13">
        <v>5.61</v>
      </c>
      <c r="G33" s="12">
        <v>0</v>
      </c>
      <c r="H33" s="12">
        <v>0</v>
      </c>
      <c r="I33" s="12">
        <v>0</v>
      </c>
      <c r="J33" s="12">
        <v>0</v>
      </c>
      <c r="K33" s="12">
        <v>1441.4</v>
      </c>
      <c r="L33" s="12">
        <v>-2671.778718</v>
      </c>
    </row>
    <row r="34" spans="1:12" ht="22.5" customHeight="1" x14ac:dyDescent="0.25">
      <c r="A34" s="15" t="s">
        <v>426</v>
      </c>
      <c r="B34" s="14" t="s">
        <v>425</v>
      </c>
      <c r="E34" s="12">
        <v>41</v>
      </c>
      <c r="F34" s="13">
        <v>34.380000000000003</v>
      </c>
      <c r="G34" s="12">
        <v>1409.58</v>
      </c>
      <c r="H34" s="12">
        <v>27.05</v>
      </c>
      <c r="I34" s="12">
        <v>1108.99</v>
      </c>
      <c r="J34" s="12">
        <v>300.58999999999997</v>
      </c>
      <c r="K34" s="12">
        <v>-354.63</v>
      </c>
      <c r="L34" s="12">
        <v>0</v>
      </c>
    </row>
    <row r="35" spans="1:12" ht="22.5" customHeight="1" x14ac:dyDescent="0.25">
      <c r="A35" s="15" t="s">
        <v>424</v>
      </c>
      <c r="B35" s="14" t="s">
        <v>423</v>
      </c>
      <c r="E35" s="12">
        <v>208</v>
      </c>
      <c r="F35" s="13">
        <v>8.06</v>
      </c>
      <c r="G35" s="12">
        <v>1676.48</v>
      </c>
      <c r="H35" s="12">
        <v>6.83</v>
      </c>
      <c r="I35" s="12">
        <v>1419.67</v>
      </c>
      <c r="J35" s="12">
        <v>256.81</v>
      </c>
      <c r="K35" s="12">
        <v>256.81</v>
      </c>
      <c r="L35" s="12">
        <v>0</v>
      </c>
    </row>
    <row r="36" spans="1:12" ht="22.5" customHeight="1" x14ac:dyDescent="0.25">
      <c r="A36" s="15" t="s">
        <v>422</v>
      </c>
      <c r="B36" s="14" t="s">
        <v>421</v>
      </c>
      <c r="E36" s="12">
        <v>0</v>
      </c>
      <c r="F36" s="13">
        <v>2.59</v>
      </c>
      <c r="G36" s="12">
        <v>0</v>
      </c>
      <c r="H36" s="12">
        <v>0</v>
      </c>
      <c r="I36" s="12">
        <v>0</v>
      </c>
      <c r="J36" s="12">
        <v>0</v>
      </c>
      <c r="K36" s="12">
        <v>91.05</v>
      </c>
      <c r="L36" s="12">
        <v>470.85213700000003</v>
      </c>
    </row>
    <row r="37" spans="1:12" ht="22.5" customHeight="1" x14ac:dyDescent="0.25">
      <c r="A37" s="15" t="s">
        <v>420</v>
      </c>
      <c r="B37" s="14" t="s">
        <v>419</v>
      </c>
      <c r="E37" s="12">
        <v>0</v>
      </c>
      <c r="F37" s="13">
        <v>3.31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409.03</v>
      </c>
    </row>
    <row r="38" spans="1:12" ht="22.5" customHeight="1" x14ac:dyDescent="0.25">
      <c r="A38" s="15" t="s">
        <v>418</v>
      </c>
      <c r="B38" s="14" t="s">
        <v>417</v>
      </c>
      <c r="E38" s="12">
        <v>3959</v>
      </c>
      <c r="F38" s="13">
        <v>22.03</v>
      </c>
      <c r="G38" s="12">
        <v>87216.77</v>
      </c>
      <c r="H38" s="12">
        <v>27</v>
      </c>
      <c r="I38" s="12">
        <v>106904.38</v>
      </c>
      <c r="J38" s="12">
        <v>-19687.61</v>
      </c>
      <c r="K38" s="12">
        <v>-22680.959999999999</v>
      </c>
      <c r="L38" s="12">
        <v>-51.795299999999997</v>
      </c>
    </row>
    <row r="39" spans="1:12" ht="22.5" customHeight="1" x14ac:dyDescent="0.25">
      <c r="A39" s="15" t="s">
        <v>416</v>
      </c>
      <c r="B39" s="14" t="s">
        <v>415</v>
      </c>
      <c r="E39" s="12">
        <v>2388</v>
      </c>
      <c r="F39" s="13">
        <v>41.25</v>
      </c>
      <c r="G39" s="12">
        <v>98505</v>
      </c>
      <c r="H39" s="12">
        <v>31.36</v>
      </c>
      <c r="I39" s="12">
        <v>74879.360000000001</v>
      </c>
      <c r="J39" s="12">
        <v>23625.64</v>
      </c>
      <c r="K39" s="12">
        <v>-15459.06</v>
      </c>
      <c r="L39" s="12">
        <v>-2.3457140000000001</v>
      </c>
    </row>
    <row r="40" spans="1:12" ht="22.5" customHeight="1" x14ac:dyDescent="0.25">
      <c r="A40" s="15" t="s">
        <v>414</v>
      </c>
      <c r="B40" s="14" t="s">
        <v>413</v>
      </c>
      <c r="E40" s="12">
        <v>4134</v>
      </c>
      <c r="F40" s="13">
        <v>6.67</v>
      </c>
      <c r="G40" s="12">
        <v>27573.78</v>
      </c>
      <c r="H40" s="12">
        <v>7.32</v>
      </c>
      <c r="I40" s="12">
        <v>30258.19</v>
      </c>
      <c r="J40" s="12">
        <v>-2684.41</v>
      </c>
      <c r="K40" s="12">
        <v>-3072.84</v>
      </c>
      <c r="L40" s="12">
        <v>-6293.7606889999997</v>
      </c>
    </row>
    <row r="41" spans="1:12" ht="22.5" customHeight="1" x14ac:dyDescent="0.25">
      <c r="A41" s="15" t="s">
        <v>412</v>
      </c>
      <c r="B41" s="14" t="s">
        <v>411</v>
      </c>
      <c r="E41" s="12">
        <v>21095</v>
      </c>
      <c r="F41" s="13">
        <v>1.7250000000000001</v>
      </c>
      <c r="G41" s="12">
        <v>36388.879999999997</v>
      </c>
      <c r="H41" s="12">
        <v>1.5</v>
      </c>
      <c r="I41" s="12">
        <v>31743.56</v>
      </c>
      <c r="J41" s="12">
        <v>4645.32</v>
      </c>
      <c r="K41" s="12">
        <v>4886.8100000000004</v>
      </c>
      <c r="L41" s="12">
        <v>1877.2171510000001</v>
      </c>
    </row>
    <row r="42" spans="1:12" ht="22.5" customHeight="1" x14ac:dyDescent="0.25">
      <c r="A42" s="15" t="s">
        <v>410</v>
      </c>
      <c r="B42" s="14" t="s">
        <v>409</v>
      </c>
      <c r="E42" s="12">
        <v>3194</v>
      </c>
      <c r="F42" s="13">
        <v>3.82</v>
      </c>
      <c r="G42" s="12">
        <v>12201.08</v>
      </c>
      <c r="H42" s="12">
        <v>5.45</v>
      </c>
      <c r="I42" s="12">
        <v>17400.900000000001</v>
      </c>
      <c r="J42" s="12">
        <v>-5199.82</v>
      </c>
      <c r="K42" s="12">
        <v>-5199.82</v>
      </c>
      <c r="L42" s="12">
        <v>0</v>
      </c>
    </row>
    <row r="43" spans="1:12" ht="22.5" customHeight="1" x14ac:dyDescent="0.25">
      <c r="A43" s="15" t="s">
        <v>408</v>
      </c>
      <c r="B43" s="14" t="s">
        <v>407</v>
      </c>
      <c r="E43" s="12">
        <v>2000</v>
      </c>
      <c r="F43" s="13">
        <v>9.07</v>
      </c>
      <c r="G43" s="12">
        <v>18140</v>
      </c>
      <c r="H43" s="12">
        <v>9.33</v>
      </c>
      <c r="I43" s="12">
        <v>18655.62</v>
      </c>
      <c r="J43" s="12">
        <v>-515.62</v>
      </c>
      <c r="K43" s="12">
        <v>-515.62</v>
      </c>
      <c r="L43" s="12">
        <v>0</v>
      </c>
    </row>
    <row r="44" spans="1:12" ht="22.5" customHeight="1" x14ac:dyDescent="0.25">
      <c r="A44" s="15" t="s">
        <v>406</v>
      </c>
      <c r="B44" s="14" t="s">
        <v>405</v>
      </c>
      <c r="E44" s="12">
        <v>0</v>
      </c>
      <c r="F44" s="13">
        <v>90.5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-36.68</v>
      </c>
    </row>
    <row r="45" spans="1:12" ht="22.5" customHeight="1" x14ac:dyDescent="0.25">
      <c r="A45" s="15" t="s">
        <v>404</v>
      </c>
      <c r="B45" s="14" t="s">
        <v>403</v>
      </c>
      <c r="E45" s="12">
        <v>3000</v>
      </c>
      <c r="F45" s="13">
        <v>2.59</v>
      </c>
      <c r="G45" s="12">
        <v>7770</v>
      </c>
      <c r="H45" s="12">
        <v>3.39</v>
      </c>
      <c r="I45" s="12">
        <v>10174.32</v>
      </c>
      <c r="J45" s="12">
        <v>-2404.3200000000002</v>
      </c>
      <c r="K45" s="12">
        <v>-17461.57</v>
      </c>
      <c r="L45" s="12">
        <v>13998.624961</v>
      </c>
    </row>
    <row r="46" spans="1:12" ht="22.5" customHeight="1" x14ac:dyDescent="0.25">
      <c r="A46" s="15" t="s">
        <v>402</v>
      </c>
      <c r="B46" s="14" t="s">
        <v>401</v>
      </c>
      <c r="E46" s="12">
        <v>3384</v>
      </c>
      <c r="F46" s="13">
        <v>10.71</v>
      </c>
      <c r="G46" s="12">
        <v>36242.639999999999</v>
      </c>
      <c r="H46" s="12">
        <v>10.06</v>
      </c>
      <c r="I46" s="12">
        <v>34026.71</v>
      </c>
      <c r="J46" s="12">
        <v>2215.9299999999998</v>
      </c>
      <c r="K46" s="12">
        <v>-523.48</v>
      </c>
      <c r="L46" s="12">
        <v>12.12241</v>
      </c>
    </row>
    <row r="47" spans="1:12" ht="22.5" customHeight="1" x14ac:dyDescent="0.25">
      <c r="A47" s="15" t="s">
        <v>34</v>
      </c>
      <c r="B47" s="14" t="s">
        <v>400</v>
      </c>
      <c r="E47" s="12">
        <v>148</v>
      </c>
      <c r="F47" s="13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</row>
    <row r="48" spans="1:12" ht="22.5" customHeight="1" x14ac:dyDescent="0.25">
      <c r="A48" s="15" t="s">
        <v>399</v>
      </c>
      <c r="B48" s="14" t="s">
        <v>398</v>
      </c>
      <c r="E48" s="12">
        <v>197</v>
      </c>
      <c r="F48" s="13">
        <v>269.06</v>
      </c>
      <c r="G48" s="12">
        <v>53004.82</v>
      </c>
      <c r="H48" s="12">
        <v>239.15</v>
      </c>
      <c r="I48" s="12">
        <v>47112.54</v>
      </c>
      <c r="J48" s="12">
        <v>5892.28</v>
      </c>
      <c r="K48" s="12">
        <v>-1724.33</v>
      </c>
      <c r="L48" s="12">
        <v>-77.42</v>
      </c>
    </row>
    <row r="49" spans="1:12" ht="22.5" customHeight="1" x14ac:dyDescent="0.25">
      <c r="A49" s="15" t="s">
        <v>397</v>
      </c>
      <c r="B49" s="14" t="s">
        <v>396</v>
      </c>
      <c r="E49" s="12">
        <v>686</v>
      </c>
      <c r="F49" s="13">
        <v>18.39</v>
      </c>
      <c r="G49" s="12">
        <v>12615.54</v>
      </c>
      <c r="H49" s="12">
        <v>12.9</v>
      </c>
      <c r="I49" s="12">
        <v>8849.3700000000008</v>
      </c>
      <c r="J49" s="12">
        <v>3766.17</v>
      </c>
      <c r="K49" s="12">
        <v>-4704.62</v>
      </c>
      <c r="L49" s="12">
        <v>7306.1154690000003</v>
      </c>
    </row>
    <row r="50" spans="1:12" ht="22.5" customHeight="1" x14ac:dyDescent="0.25">
      <c r="A50" s="15" t="s">
        <v>395</v>
      </c>
      <c r="B50" s="14" t="s">
        <v>394</v>
      </c>
      <c r="E50" s="12">
        <v>75000</v>
      </c>
      <c r="F50" s="13">
        <v>0.11</v>
      </c>
      <c r="G50" s="12">
        <v>8250</v>
      </c>
      <c r="H50" s="12">
        <v>0.14000000000000001</v>
      </c>
      <c r="I50" s="12">
        <v>10258.379999999999</v>
      </c>
      <c r="J50" s="12">
        <v>-2008.38</v>
      </c>
      <c r="K50" s="12">
        <v>-525</v>
      </c>
      <c r="L50" s="12">
        <v>0</v>
      </c>
    </row>
    <row r="51" spans="1:12" ht="22.5" customHeight="1" x14ac:dyDescent="0.25">
      <c r="A51" s="15" t="s">
        <v>393</v>
      </c>
      <c r="B51" s="14" t="s">
        <v>392</v>
      </c>
      <c r="E51" s="12">
        <v>6839</v>
      </c>
      <c r="F51" s="13">
        <v>6.84</v>
      </c>
      <c r="G51" s="12">
        <v>46778.76</v>
      </c>
      <c r="H51" s="12">
        <v>5.84</v>
      </c>
      <c r="I51" s="12">
        <v>39961.32</v>
      </c>
      <c r="J51" s="12">
        <v>6817.44</v>
      </c>
      <c r="K51" s="12">
        <v>10430.969999999999</v>
      </c>
      <c r="L51" s="12">
        <v>-504.33165400000001</v>
      </c>
    </row>
    <row r="52" spans="1:12" ht="22.5" customHeight="1" x14ac:dyDescent="0.25">
      <c r="A52" s="15" t="s">
        <v>391</v>
      </c>
      <c r="B52" s="14" t="s">
        <v>390</v>
      </c>
      <c r="E52" s="12">
        <v>91</v>
      </c>
      <c r="F52" s="13">
        <v>6.42</v>
      </c>
      <c r="G52" s="12">
        <v>584.22</v>
      </c>
      <c r="H52" s="12">
        <v>6.73</v>
      </c>
      <c r="I52" s="12">
        <v>612.67999999999995</v>
      </c>
      <c r="J52" s="12">
        <v>-28.46</v>
      </c>
      <c r="K52" s="12">
        <v>-28.46</v>
      </c>
      <c r="L52" s="12">
        <v>0</v>
      </c>
    </row>
    <row r="53" spans="1:12" ht="22.5" customHeight="1" x14ac:dyDescent="0.25">
      <c r="A53" s="15" t="s">
        <v>389</v>
      </c>
      <c r="B53" s="14" t="s">
        <v>388</v>
      </c>
      <c r="E53" s="12">
        <v>0</v>
      </c>
      <c r="F53" s="13">
        <v>22</v>
      </c>
      <c r="G53" s="12">
        <v>0</v>
      </c>
      <c r="H53" s="12">
        <v>0</v>
      </c>
      <c r="I53" s="12">
        <v>0</v>
      </c>
      <c r="J53" s="12">
        <v>0</v>
      </c>
      <c r="K53" s="12">
        <v>7631.67</v>
      </c>
      <c r="L53" s="12">
        <v>-5514.7799990000003</v>
      </c>
    </row>
    <row r="54" spans="1:12" ht="22.5" customHeight="1" x14ac:dyDescent="0.25">
      <c r="A54" s="15" t="s">
        <v>387</v>
      </c>
      <c r="B54" s="14" t="s">
        <v>386</v>
      </c>
      <c r="E54" s="12">
        <v>442</v>
      </c>
      <c r="F54" s="13">
        <v>17.809999999999999</v>
      </c>
      <c r="G54" s="12">
        <v>7872.02</v>
      </c>
      <c r="H54" s="12">
        <v>16.87</v>
      </c>
      <c r="I54" s="12">
        <v>7456.11</v>
      </c>
      <c r="J54" s="12">
        <v>415.91</v>
      </c>
      <c r="K54" s="12">
        <v>296.14999999999998</v>
      </c>
      <c r="L54" s="12">
        <v>-19.237857000000002</v>
      </c>
    </row>
    <row r="55" spans="1:12" ht="22.5" customHeight="1" x14ac:dyDescent="0.25">
      <c r="A55" s="15" t="s">
        <v>385</v>
      </c>
      <c r="B55" s="14" t="s">
        <v>384</v>
      </c>
      <c r="E55" s="12">
        <v>200</v>
      </c>
      <c r="F55" s="13">
        <v>101.7</v>
      </c>
      <c r="G55" s="12">
        <v>20340</v>
      </c>
      <c r="H55" s="12">
        <v>100</v>
      </c>
      <c r="I55" s="12">
        <v>20000</v>
      </c>
      <c r="J55" s="12">
        <v>340</v>
      </c>
      <c r="K55" s="12">
        <v>-460</v>
      </c>
      <c r="L55" s="12">
        <v>0</v>
      </c>
    </row>
    <row r="56" spans="1:12" ht="22.5" customHeight="1" x14ac:dyDescent="0.25">
      <c r="A56" s="15" t="s">
        <v>383</v>
      </c>
      <c r="B56" s="14" t="s">
        <v>380</v>
      </c>
      <c r="E56" s="12">
        <v>428</v>
      </c>
      <c r="F56" s="13">
        <v>90.38</v>
      </c>
      <c r="G56" s="12">
        <v>38682.639999999999</v>
      </c>
      <c r="H56" s="12">
        <v>74.45</v>
      </c>
      <c r="I56" s="12">
        <v>31866.45</v>
      </c>
      <c r="J56" s="12">
        <v>6816.19</v>
      </c>
      <c r="K56" s="12">
        <v>-4965.7</v>
      </c>
      <c r="L56" s="12">
        <v>834.54924300000005</v>
      </c>
    </row>
    <row r="57" spans="1:12" ht="22.5" customHeight="1" x14ac:dyDescent="0.25">
      <c r="A57" s="15" t="s">
        <v>382</v>
      </c>
      <c r="B57" s="14" t="s">
        <v>380</v>
      </c>
      <c r="E57" s="12">
        <v>200</v>
      </c>
      <c r="F57" s="13">
        <v>99.96</v>
      </c>
      <c r="G57" s="12">
        <v>19992</v>
      </c>
      <c r="H57" s="12">
        <v>101.92</v>
      </c>
      <c r="I57" s="12">
        <v>20383.54</v>
      </c>
      <c r="J57" s="12">
        <v>-391.54</v>
      </c>
      <c r="K57" s="12">
        <v>-278</v>
      </c>
      <c r="L57" s="12">
        <v>0</v>
      </c>
    </row>
    <row r="58" spans="1:12" ht="22.5" customHeight="1" x14ac:dyDescent="0.25">
      <c r="A58" s="15" t="s">
        <v>381</v>
      </c>
      <c r="B58" s="14" t="s">
        <v>380</v>
      </c>
      <c r="E58" s="12">
        <v>200</v>
      </c>
      <c r="F58" s="13">
        <v>98.34</v>
      </c>
      <c r="G58" s="12">
        <v>19668</v>
      </c>
      <c r="H58" s="12">
        <v>99.83</v>
      </c>
      <c r="I58" s="12">
        <v>19965.88</v>
      </c>
      <c r="J58" s="12">
        <v>-297.88</v>
      </c>
      <c r="K58" s="12">
        <v>-297.88</v>
      </c>
      <c r="L58" s="12">
        <v>0</v>
      </c>
    </row>
    <row r="59" spans="1:12" ht="22.5" customHeight="1" x14ac:dyDescent="0.25">
      <c r="A59" s="15" t="s">
        <v>379</v>
      </c>
      <c r="B59" s="14" t="s">
        <v>378</v>
      </c>
      <c r="E59" s="12">
        <v>87</v>
      </c>
      <c r="F59" s="13">
        <v>24.64</v>
      </c>
      <c r="G59" s="12">
        <v>2143.6799999999998</v>
      </c>
      <c r="H59" s="12">
        <v>13.3</v>
      </c>
      <c r="I59" s="12">
        <v>1157.1400000000001</v>
      </c>
      <c r="J59" s="12">
        <v>986.54</v>
      </c>
      <c r="K59" s="12">
        <v>366.32</v>
      </c>
      <c r="L59" s="12">
        <v>569.15069200000005</v>
      </c>
    </row>
    <row r="60" spans="1:12" ht="22.5" customHeight="1" x14ac:dyDescent="0.25">
      <c r="A60" s="15" t="s">
        <v>377</v>
      </c>
      <c r="B60" s="14" t="s">
        <v>376</v>
      </c>
      <c r="E60" s="12">
        <v>0</v>
      </c>
      <c r="F60" s="13">
        <v>4.24</v>
      </c>
      <c r="G60" s="12">
        <v>0</v>
      </c>
      <c r="H60" s="12">
        <v>0</v>
      </c>
      <c r="I60" s="12">
        <v>0</v>
      </c>
      <c r="J60" s="12">
        <v>0</v>
      </c>
      <c r="K60" s="12">
        <v>-3633.47</v>
      </c>
      <c r="L60" s="12">
        <v>2888.24</v>
      </c>
    </row>
    <row r="61" spans="1:12" ht="22.5" customHeight="1" x14ac:dyDescent="0.25">
      <c r="A61" s="15" t="s">
        <v>375</v>
      </c>
      <c r="B61" s="14" t="s">
        <v>374</v>
      </c>
      <c r="E61" s="12">
        <v>18844</v>
      </c>
      <c r="F61" s="13">
        <v>2.7</v>
      </c>
      <c r="G61" s="12">
        <v>50878.8</v>
      </c>
      <c r="H61" s="12">
        <v>2.74</v>
      </c>
      <c r="I61" s="12">
        <v>51572.97</v>
      </c>
      <c r="J61" s="12">
        <v>-694.17</v>
      </c>
      <c r="K61" s="12">
        <v>-694.17</v>
      </c>
      <c r="L61" s="12">
        <v>0</v>
      </c>
    </row>
    <row r="62" spans="1:12" ht="22.5" customHeight="1" x14ac:dyDescent="0.25">
      <c r="A62" s="15" t="s">
        <v>373</v>
      </c>
      <c r="B62" s="14" t="s">
        <v>372</v>
      </c>
      <c r="E62" s="12">
        <v>5000</v>
      </c>
      <c r="F62" s="13">
        <v>7.57</v>
      </c>
      <c r="G62" s="12">
        <v>37850</v>
      </c>
      <c r="H62" s="12">
        <v>6.45</v>
      </c>
      <c r="I62" s="12">
        <v>32239.98</v>
      </c>
      <c r="J62" s="12">
        <v>5610.02</v>
      </c>
      <c r="K62" s="12">
        <v>5308.66</v>
      </c>
      <c r="L62" s="12">
        <v>324.21148799999997</v>
      </c>
    </row>
    <row r="63" spans="1:12" ht="22.5" customHeight="1" x14ac:dyDescent="0.25">
      <c r="A63" s="15" t="s">
        <v>371</v>
      </c>
      <c r="B63" s="14" t="s">
        <v>370</v>
      </c>
      <c r="E63" s="12">
        <v>0</v>
      </c>
      <c r="F63" s="13">
        <v>2.38</v>
      </c>
      <c r="G63" s="12">
        <v>0</v>
      </c>
      <c r="H63" s="12">
        <v>0</v>
      </c>
      <c r="I63" s="12">
        <v>0</v>
      </c>
      <c r="J63" s="12">
        <v>0</v>
      </c>
      <c r="K63" s="12">
        <v>-27.76</v>
      </c>
      <c r="L63" s="12">
        <v>18.22</v>
      </c>
    </row>
    <row r="64" spans="1:12" ht="22.5" customHeight="1" x14ac:dyDescent="0.25">
      <c r="A64" s="15" t="s">
        <v>369</v>
      </c>
      <c r="B64" s="14" t="s">
        <v>368</v>
      </c>
      <c r="E64" s="12">
        <v>558</v>
      </c>
      <c r="F64" s="13">
        <v>17.53</v>
      </c>
      <c r="G64" s="12">
        <v>9781.74</v>
      </c>
      <c r="H64" s="12">
        <v>12.8</v>
      </c>
      <c r="I64" s="12">
        <v>7141.61</v>
      </c>
      <c r="J64" s="12">
        <v>2640.13</v>
      </c>
      <c r="K64" s="12">
        <v>-2562.77</v>
      </c>
      <c r="L64" s="12">
        <v>37.56</v>
      </c>
    </row>
    <row r="65" spans="1:12" ht="22.5" customHeight="1" x14ac:dyDescent="0.25">
      <c r="A65" s="15" t="s">
        <v>367</v>
      </c>
      <c r="B65" s="14" t="s">
        <v>366</v>
      </c>
      <c r="E65" s="12">
        <v>5000</v>
      </c>
      <c r="F65" s="13">
        <v>1.9650000000000001</v>
      </c>
      <c r="G65" s="12">
        <v>9825</v>
      </c>
      <c r="H65" s="12">
        <v>2.35</v>
      </c>
      <c r="I65" s="12">
        <v>11760.6</v>
      </c>
      <c r="J65" s="12">
        <v>-1935.6</v>
      </c>
      <c r="K65" s="12">
        <v>-1935.6</v>
      </c>
      <c r="L65" s="12">
        <v>0</v>
      </c>
    </row>
    <row r="66" spans="1:12" ht="22.5" customHeight="1" x14ac:dyDescent="0.25">
      <c r="A66" s="15" t="s">
        <v>365</v>
      </c>
      <c r="B66" s="14" t="s">
        <v>364</v>
      </c>
      <c r="E66" s="12">
        <v>340</v>
      </c>
      <c r="F66" s="13">
        <v>3.71</v>
      </c>
      <c r="G66" s="12">
        <v>1261.4000000000001</v>
      </c>
      <c r="H66" s="12">
        <v>5</v>
      </c>
      <c r="I66" s="12">
        <v>1700.1</v>
      </c>
      <c r="J66" s="12">
        <v>-438.7</v>
      </c>
      <c r="K66" s="12">
        <v>-438.7</v>
      </c>
      <c r="L66" s="12">
        <v>0</v>
      </c>
    </row>
    <row r="67" spans="1:12" ht="22.5" customHeight="1" x14ac:dyDescent="0.25">
      <c r="A67" s="15" t="s">
        <v>363</v>
      </c>
      <c r="B67" s="14" t="s">
        <v>362</v>
      </c>
      <c r="E67" s="12">
        <v>0</v>
      </c>
      <c r="F67" s="13">
        <v>8.16</v>
      </c>
      <c r="G67" s="12">
        <v>0</v>
      </c>
      <c r="H67" s="12">
        <v>0</v>
      </c>
      <c r="I67" s="12">
        <v>0</v>
      </c>
      <c r="J67" s="12">
        <v>0</v>
      </c>
      <c r="K67" s="12">
        <v>-76.400000000000006</v>
      </c>
      <c r="L67" s="12">
        <v>147.01</v>
      </c>
    </row>
    <row r="68" spans="1:12" ht="22.5" customHeight="1" x14ac:dyDescent="0.25">
      <c r="A68" s="15" t="s">
        <v>361</v>
      </c>
      <c r="B68" s="14" t="s">
        <v>360</v>
      </c>
      <c r="E68" s="12">
        <v>667</v>
      </c>
      <c r="F68" s="13">
        <v>3.31</v>
      </c>
      <c r="G68" s="12">
        <v>2207.77</v>
      </c>
      <c r="H68" s="12">
        <v>2.15</v>
      </c>
      <c r="I68" s="12">
        <v>1435.72</v>
      </c>
      <c r="J68" s="12">
        <v>772.05</v>
      </c>
      <c r="K68" s="12">
        <v>614.07000000000005</v>
      </c>
      <c r="L68" s="12">
        <v>200.84494000000001</v>
      </c>
    </row>
    <row r="69" spans="1:12" ht="22.5" customHeight="1" x14ac:dyDescent="0.25">
      <c r="A69" s="15" t="s">
        <v>359</v>
      </c>
      <c r="B69" s="14" t="s">
        <v>358</v>
      </c>
      <c r="E69" s="12">
        <v>10764</v>
      </c>
      <c r="F69" s="13">
        <v>2.58</v>
      </c>
      <c r="G69" s="12">
        <v>27771.119999999999</v>
      </c>
      <c r="H69" s="12">
        <v>3.29</v>
      </c>
      <c r="I69" s="12">
        <v>35367.9</v>
      </c>
      <c r="J69" s="12">
        <v>-7596.78</v>
      </c>
      <c r="K69" s="12">
        <v>-7993.1</v>
      </c>
      <c r="L69" s="12">
        <v>112.103796</v>
      </c>
    </row>
    <row r="70" spans="1:12" ht="22.5" customHeight="1" x14ac:dyDescent="0.25">
      <c r="A70" s="15" t="s">
        <v>357</v>
      </c>
      <c r="B70" s="14" t="s">
        <v>356</v>
      </c>
      <c r="E70" s="12">
        <v>1000</v>
      </c>
      <c r="F70" s="13">
        <v>10.46</v>
      </c>
      <c r="G70" s="12">
        <v>10460</v>
      </c>
      <c r="H70" s="12">
        <v>10.53</v>
      </c>
      <c r="I70" s="12">
        <v>10533.3</v>
      </c>
      <c r="J70" s="12">
        <v>-73.3</v>
      </c>
      <c r="K70" s="12">
        <v>-1209.32</v>
      </c>
      <c r="L70" s="12">
        <v>82.347130000000007</v>
      </c>
    </row>
    <row r="71" spans="1:12" ht="22.5" customHeight="1" x14ac:dyDescent="0.25">
      <c r="A71" s="15" t="s">
        <v>355</v>
      </c>
      <c r="B71" s="14" t="s">
        <v>354</v>
      </c>
      <c r="E71" s="12">
        <v>47</v>
      </c>
      <c r="F71" s="13">
        <v>11.51</v>
      </c>
      <c r="G71" s="12">
        <v>540.97</v>
      </c>
      <c r="H71" s="12">
        <v>11.73</v>
      </c>
      <c r="I71" s="12">
        <v>551.30999999999995</v>
      </c>
      <c r="J71" s="12">
        <v>-10.34</v>
      </c>
      <c r="K71" s="12">
        <v>-209.92</v>
      </c>
      <c r="L71" s="12">
        <v>122.94</v>
      </c>
    </row>
    <row r="72" spans="1:12" ht="22.5" customHeight="1" x14ac:dyDescent="0.25">
      <c r="A72" s="15" t="s">
        <v>353</v>
      </c>
      <c r="B72" s="14" t="s">
        <v>352</v>
      </c>
      <c r="E72" s="12">
        <v>123</v>
      </c>
      <c r="F72" s="13">
        <v>31.77</v>
      </c>
      <c r="G72" s="12">
        <v>3907.71</v>
      </c>
      <c r="H72" s="12">
        <v>32.869999999999997</v>
      </c>
      <c r="I72" s="12">
        <v>4043.33</v>
      </c>
      <c r="J72" s="12">
        <v>-135.62</v>
      </c>
      <c r="K72" s="12">
        <v>-135.62</v>
      </c>
      <c r="L72" s="12">
        <v>0</v>
      </c>
    </row>
    <row r="73" spans="1:12" ht="22.5" customHeight="1" x14ac:dyDescent="0.25">
      <c r="A73" s="15" t="s">
        <v>351</v>
      </c>
      <c r="B73" s="14" t="s">
        <v>350</v>
      </c>
      <c r="E73" s="12">
        <v>50</v>
      </c>
      <c r="F73" s="13">
        <v>38.46</v>
      </c>
      <c r="G73" s="12">
        <v>1923</v>
      </c>
      <c r="H73" s="12">
        <v>47.2</v>
      </c>
      <c r="I73" s="12">
        <v>2359.84</v>
      </c>
      <c r="J73" s="12">
        <v>-436.84</v>
      </c>
      <c r="K73" s="12">
        <v>-478.46</v>
      </c>
      <c r="L73" s="12">
        <v>0</v>
      </c>
    </row>
    <row r="74" spans="1:12" ht="22.5" customHeight="1" x14ac:dyDescent="0.25">
      <c r="A74" s="15" t="s">
        <v>349</v>
      </c>
      <c r="B74" s="14" t="s">
        <v>348</v>
      </c>
      <c r="E74" s="12">
        <v>3272</v>
      </c>
      <c r="F74" s="13">
        <v>9.11</v>
      </c>
      <c r="G74" s="12">
        <v>29807.919999999998</v>
      </c>
      <c r="H74" s="12">
        <v>10.96</v>
      </c>
      <c r="I74" s="12">
        <v>35853.5</v>
      </c>
      <c r="J74" s="12">
        <v>-6045.58</v>
      </c>
      <c r="K74" s="12">
        <v>-7633.01</v>
      </c>
      <c r="L74" s="12">
        <v>0</v>
      </c>
    </row>
    <row r="75" spans="1:12" ht="22.5" customHeight="1" x14ac:dyDescent="0.25">
      <c r="A75" s="15" t="s">
        <v>347</v>
      </c>
      <c r="B75" s="14" t="s">
        <v>346</v>
      </c>
      <c r="E75" s="12">
        <v>987</v>
      </c>
      <c r="F75" s="13">
        <v>3.79</v>
      </c>
      <c r="G75" s="12">
        <v>3740.73</v>
      </c>
      <c r="H75" s="12">
        <v>4.4000000000000004</v>
      </c>
      <c r="I75" s="12">
        <v>4343.18</v>
      </c>
      <c r="J75" s="12">
        <v>-602.45000000000005</v>
      </c>
      <c r="K75" s="12">
        <v>-1233.75</v>
      </c>
      <c r="L75" s="12">
        <v>0</v>
      </c>
    </row>
    <row r="76" spans="1:12" ht="22.5" customHeight="1" x14ac:dyDescent="0.25">
      <c r="A76" s="15" t="s">
        <v>345</v>
      </c>
      <c r="B76" s="14" t="s">
        <v>344</v>
      </c>
      <c r="E76" s="12">
        <v>817</v>
      </c>
      <c r="F76" s="13">
        <v>3.0000000000000001E-3</v>
      </c>
      <c r="G76" s="12">
        <v>2.4500000000000002</v>
      </c>
      <c r="H76" s="12">
        <v>24.51</v>
      </c>
      <c r="I76" s="12">
        <v>20026.3</v>
      </c>
      <c r="J76" s="12">
        <v>-20023.849999999999</v>
      </c>
      <c r="K76" s="12">
        <v>0</v>
      </c>
      <c r="L76" s="12">
        <v>0</v>
      </c>
    </row>
    <row r="77" spans="1:12" ht="22.5" customHeight="1" x14ac:dyDescent="0.25">
      <c r="A77" s="15" t="s">
        <v>343</v>
      </c>
      <c r="B77" s="14" t="s">
        <v>342</v>
      </c>
      <c r="E77" s="12">
        <v>766</v>
      </c>
      <c r="F77" s="13">
        <v>164.51</v>
      </c>
      <c r="G77" s="12">
        <v>126014.66</v>
      </c>
      <c r="H77" s="12">
        <v>99.42</v>
      </c>
      <c r="I77" s="12">
        <v>76154.759999999995</v>
      </c>
      <c r="J77" s="12">
        <v>49859.9</v>
      </c>
      <c r="K77" s="12">
        <v>752.68</v>
      </c>
      <c r="L77" s="12">
        <v>0</v>
      </c>
    </row>
    <row r="78" spans="1:12" ht="22.5" customHeight="1" x14ac:dyDescent="0.25">
      <c r="A78" s="15" t="s">
        <v>341</v>
      </c>
      <c r="B78" s="14" t="s">
        <v>340</v>
      </c>
      <c r="E78" s="12">
        <v>5061</v>
      </c>
      <c r="F78" s="13">
        <v>12.92</v>
      </c>
      <c r="G78" s="12">
        <v>65388.12</v>
      </c>
      <c r="H78" s="12">
        <v>14.36</v>
      </c>
      <c r="I78" s="12">
        <v>72669.78</v>
      </c>
      <c r="J78" s="12">
        <v>-7281.66</v>
      </c>
      <c r="K78" s="12">
        <v>-175165.39</v>
      </c>
      <c r="L78" s="12">
        <v>0</v>
      </c>
    </row>
    <row r="79" spans="1:12" ht="22.5" customHeight="1" x14ac:dyDescent="0.25">
      <c r="A79" s="15" t="s">
        <v>339</v>
      </c>
      <c r="B79" s="14" t="s">
        <v>338</v>
      </c>
      <c r="E79" s="12">
        <v>768</v>
      </c>
      <c r="F79" s="13">
        <v>3.25</v>
      </c>
      <c r="G79" s="12">
        <v>2496</v>
      </c>
      <c r="H79" s="12">
        <v>2.82</v>
      </c>
      <c r="I79" s="12">
        <v>2164.02</v>
      </c>
      <c r="J79" s="12">
        <v>331.98</v>
      </c>
      <c r="K79" s="12">
        <v>-1.59</v>
      </c>
      <c r="L79" s="12">
        <v>111.959723</v>
      </c>
    </row>
    <row r="80" spans="1:12" ht="22.5" customHeight="1" x14ac:dyDescent="0.25">
      <c r="A80" s="15" t="s">
        <v>337</v>
      </c>
      <c r="B80" s="14" t="s">
        <v>336</v>
      </c>
      <c r="E80" s="12">
        <v>327</v>
      </c>
      <c r="F80" s="13">
        <v>4.24</v>
      </c>
      <c r="G80" s="12">
        <v>1386.48</v>
      </c>
      <c r="H80" s="12">
        <v>3.62</v>
      </c>
      <c r="I80" s="12">
        <v>1183.96</v>
      </c>
      <c r="J80" s="12">
        <v>202.52</v>
      </c>
      <c r="K80" s="12">
        <v>25.84</v>
      </c>
      <c r="L80" s="12">
        <v>14.619178</v>
      </c>
    </row>
    <row r="81" spans="1:12" ht="22.5" customHeight="1" x14ac:dyDescent="0.25">
      <c r="A81" s="15" t="s">
        <v>335</v>
      </c>
      <c r="B81" s="14" t="s">
        <v>334</v>
      </c>
      <c r="E81" s="12">
        <v>0</v>
      </c>
      <c r="F81" s="13">
        <v>48.27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-104.28</v>
      </c>
    </row>
    <row r="82" spans="1:12" ht="22.5" customHeight="1" x14ac:dyDescent="0.25">
      <c r="A82" s="15" t="s">
        <v>333</v>
      </c>
      <c r="B82" s="14" t="s">
        <v>332</v>
      </c>
      <c r="E82" s="12">
        <v>308527</v>
      </c>
      <c r="F82" s="13">
        <v>1.7000000000000001E-2</v>
      </c>
      <c r="G82" s="12">
        <v>5244.96</v>
      </c>
      <c r="H82" s="12">
        <v>0.17</v>
      </c>
      <c r="I82" s="12">
        <v>51274.92</v>
      </c>
      <c r="J82" s="12">
        <v>-46029.96</v>
      </c>
      <c r="K82" s="12">
        <v>-46029.96</v>
      </c>
      <c r="L82" s="12">
        <v>0</v>
      </c>
    </row>
    <row r="83" spans="1:12" ht="22.5" customHeight="1" x14ac:dyDescent="0.25">
      <c r="A83" s="15" t="s">
        <v>331</v>
      </c>
      <c r="B83" s="14" t="s">
        <v>330</v>
      </c>
      <c r="E83" s="12">
        <v>2832</v>
      </c>
      <c r="F83" s="13">
        <v>27.39</v>
      </c>
      <c r="G83" s="12">
        <v>77568.479999999996</v>
      </c>
      <c r="H83" s="12">
        <v>26.56</v>
      </c>
      <c r="I83" s="12">
        <v>75222.69</v>
      </c>
      <c r="J83" s="12">
        <v>2345.79</v>
      </c>
      <c r="K83" s="12">
        <v>3313.44</v>
      </c>
      <c r="L83" s="12">
        <v>0</v>
      </c>
    </row>
    <row r="84" spans="1:12" ht="22.5" customHeight="1" x14ac:dyDescent="0.25">
      <c r="A84" s="15" t="s">
        <v>329</v>
      </c>
      <c r="B84" s="14" t="s">
        <v>328</v>
      </c>
      <c r="E84" s="12">
        <v>2173</v>
      </c>
      <c r="F84" s="13">
        <v>20.89</v>
      </c>
      <c r="G84" s="12">
        <v>45393.97</v>
      </c>
      <c r="H84" s="12">
        <v>21.73</v>
      </c>
      <c r="I84" s="12">
        <v>47217.58</v>
      </c>
      <c r="J84" s="12">
        <v>-1823.61</v>
      </c>
      <c r="K84" s="12">
        <v>-9436.9699999999993</v>
      </c>
      <c r="L84" s="12">
        <v>0</v>
      </c>
    </row>
    <row r="85" spans="1:12" ht="22.5" customHeight="1" x14ac:dyDescent="0.25">
      <c r="A85" s="15" t="s">
        <v>327</v>
      </c>
      <c r="B85" s="14" t="s">
        <v>326</v>
      </c>
      <c r="E85" s="12">
        <v>117</v>
      </c>
      <c r="F85" s="13">
        <v>7.38</v>
      </c>
      <c r="G85" s="12">
        <v>863.46</v>
      </c>
      <c r="H85" s="12">
        <v>6.44</v>
      </c>
      <c r="I85" s="12">
        <v>753.47</v>
      </c>
      <c r="J85" s="12">
        <v>109.99</v>
      </c>
      <c r="K85" s="12">
        <v>109.99</v>
      </c>
      <c r="L85" s="12">
        <v>0</v>
      </c>
    </row>
    <row r="86" spans="1:12" ht="22.5" customHeight="1" x14ac:dyDescent="0.25">
      <c r="A86" s="15" t="s">
        <v>325</v>
      </c>
      <c r="B86" s="14" t="s">
        <v>324</v>
      </c>
      <c r="E86" s="12">
        <v>385</v>
      </c>
      <c r="F86" s="13">
        <v>1.825</v>
      </c>
      <c r="G86" s="12">
        <v>702.63</v>
      </c>
      <c r="H86" s="12">
        <v>2.92</v>
      </c>
      <c r="I86" s="12">
        <v>1123.49</v>
      </c>
      <c r="J86" s="12">
        <v>-420.86</v>
      </c>
      <c r="K86" s="12">
        <v>-420.86</v>
      </c>
      <c r="L86" s="12">
        <v>0</v>
      </c>
    </row>
    <row r="87" spans="1:12" ht="22.5" customHeight="1" x14ac:dyDescent="0.25">
      <c r="A87" s="15" t="s">
        <v>323</v>
      </c>
      <c r="B87" s="14" t="s">
        <v>322</v>
      </c>
      <c r="E87" s="12">
        <v>5000</v>
      </c>
      <c r="F87" s="13">
        <v>1.21</v>
      </c>
      <c r="G87" s="12">
        <v>6050</v>
      </c>
      <c r="H87" s="12">
        <v>1.64</v>
      </c>
      <c r="I87" s="12">
        <v>8216.68</v>
      </c>
      <c r="J87" s="12">
        <v>-2166.6799999999998</v>
      </c>
      <c r="K87" s="12">
        <v>-826.16</v>
      </c>
      <c r="L87" s="12">
        <v>-2129.6347599999999</v>
      </c>
    </row>
    <row r="88" spans="1:12" ht="22.5" customHeight="1" x14ac:dyDescent="0.25">
      <c r="A88" s="15" t="s">
        <v>321</v>
      </c>
      <c r="B88" s="14" t="s">
        <v>320</v>
      </c>
      <c r="E88" s="12">
        <v>1859</v>
      </c>
      <c r="F88" s="13">
        <v>15.77</v>
      </c>
      <c r="G88" s="12">
        <v>29316.43</v>
      </c>
      <c r="H88" s="12">
        <v>13.95</v>
      </c>
      <c r="I88" s="12">
        <v>25935.99</v>
      </c>
      <c r="J88" s="12">
        <v>3380.44</v>
      </c>
      <c r="K88" s="12">
        <v>4628.91</v>
      </c>
      <c r="L88" s="12">
        <v>0</v>
      </c>
    </row>
    <row r="89" spans="1:12" ht="22.5" customHeight="1" x14ac:dyDescent="0.25">
      <c r="A89" s="15" t="s">
        <v>319</v>
      </c>
      <c r="B89" s="14" t="s">
        <v>318</v>
      </c>
      <c r="E89" s="12">
        <v>0</v>
      </c>
      <c r="F89" s="13">
        <v>9.18</v>
      </c>
      <c r="G89" s="12">
        <v>0</v>
      </c>
      <c r="H89" s="12">
        <v>0</v>
      </c>
      <c r="I89" s="12">
        <v>0</v>
      </c>
      <c r="J89" s="12">
        <v>0</v>
      </c>
      <c r="K89" s="12">
        <v>-15729.85</v>
      </c>
      <c r="L89" s="12">
        <v>14440.090743000001</v>
      </c>
    </row>
    <row r="90" spans="1:12" ht="22.5" customHeight="1" x14ac:dyDescent="0.25">
      <c r="A90" s="15" t="s">
        <v>317</v>
      </c>
      <c r="B90" s="14" t="s">
        <v>316</v>
      </c>
      <c r="E90" s="12">
        <v>0</v>
      </c>
      <c r="F90" s="13">
        <v>5.71</v>
      </c>
      <c r="G90" s="12">
        <v>0</v>
      </c>
      <c r="H90" s="12">
        <v>0</v>
      </c>
      <c r="I90" s="12">
        <v>0</v>
      </c>
      <c r="J90" s="12">
        <v>0</v>
      </c>
      <c r="K90" s="12">
        <v>-2086.88</v>
      </c>
      <c r="L90" s="12">
        <v>6215.7</v>
      </c>
    </row>
    <row r="91" spans="1:12" ht="22.5" customHeight="1" x14ac:dyDescent="0.25">
      <c r="A91" s="15" t="s">
        <v>315</v>
      </c>
      <c r="B91" s="14" t="s">
        <v>314</v>
      </c>
      <c r="E91" s="12">
        <v>32</v>
      </c>
      <c r="F91" s="13">
        <v>28.88</v>
      </c>
      <c r="G91" s="12">
        <v>924.16</v>
      </c>
      <c r="H91" s="12">
        <v>34.64</v>
      </c>
      <c r="I91" s="12">
        <v>1108.44</v>
      </c>
      <c r="J91" s="12">
        <v>-184.28</v>
      </c>
      <c r="K91" s="12">
        <v>-184.28</v>
      </c>
      <c r="L91" s="12">
        <v>0</v>
      </c>
    </row>
    <row r="92" spans="1:12" ht="22.5" customHeight="1" x14ac:dyDescent="0.25">
      <c r="A92" s="15" t="s">
        <v>313</v>
      </c>
      <c r="B92" s="14" t="s">
        <v>312</v>
      </c>
      <c r="E92" s="12">
        <v>4000</v>
      </c>
      <c r="F92" s="13">
        <v>2.13</v>
      </c>
      <c r="G92" s="12">
        <v>8520</v>
      </c>
      <c r="H92" s="12">
        <v>2.64</v>
      </c>
      <c r="I92" s="12">
        <v>10547.4</v>
      </c>
      <c r="J92" s="12">
        <v>-2027.4</v>
      </c>
      <c r="K92" s="12">
        <v>-2027.4</v>
      </c>
      <c r="L92" s="12">
        <v>0</v>
      </c>
    </row>
    <row r="93" spans="1:12" ht="22.5" customHeight="1" x14ac:dyDescent="0.25">
      <c r="A93" s="15" t="s">
        <v>311</v>
      </c>
      <c r="B93" s="14" t="s">
        <v>310</v>
      </c>
      <c r="E93" s="12">
        <v>18722</v>
      </c>
      <c r="F93" s="13">
        <v>1.17</v>
      </c>
      <c r="G93" s="12">
        <v>21904.74</v>
      </c>
      <c r="H93" s="12">
        <v>1.18</v>
      </c>
      <c r="I93" s="12">
        <v>22161.439999999999</v>
      </c>
      <c r="J93" s="12">
        <v>-256.7</v>
      </c>
      <c r="K93" s="12">
        <v>-256.7</v>
      </c>
      <c r="L93" s="12">
        <v>0</v>
      </c>
    </row>
    <row r="94" spans="1:12" ht="22.5" customHeight="1" x14ac:dyDescent="0.25">
      <c r="A94" s="15" t="s">
        <v>309</v>
      </c>
      <c r="B94" s="14" t="s">
        <v>308</v>
      </c>
      <c r="E94" s="12">
        <v>0</v>
      </c>
      <c r="F94" s="13">
        <v>19.27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-94.79</v>
      </c>
    </row>
    <row r="95" spans="1:12" ht="22.5" customHeight="1" x14ac:dyDescent="0.25">
      <c r="A95" s="15" t="s">
        <v>307</v>
      </c>
      <c r="B95" s="14" t="s">
        <v>306</v>
      </c>
      <c r="E95" s="12">
        <v>12500</v>
      </c>
      <c r="F95" s="13">
        <v>1.375</v>
      </c>
      <c r="G95" s="12">
        <v>17187.5</v>
      </c>
      <c r="H95" s="12">
        <v>1.6</v>
      </c>
      <c r="I95" s="12">
        <v>20000</v>
      </c>
      <c r="J95" s="12">
        <v>-2812.5</v>
      </c>
      <c r="K95" s="12">
        <v>-2812.5</v>
      </c>
      <c r="L95" s="12">
        <v>0</v>
      </c>
    </row>
    <row r="96" spans="1:12" ht="22.5" customHeight="1" x14ac:dyDescent="0.25">
      <c r="A96" s="15" t="s">
        <v>305</v>
      </c>
      <c r="B96" s="14" t="s">
        <v>304</v>
      </c>
      <c r="E96" s="12">
        <v>0</v>
      </c>
      <c r="F96" s="13">
        <v>0.93500000000000005</v>
      </c>
      <c r="G96" s="12">
        <v>0</v>
      </c>
      <c r="H96" s="12">
        <v>0</v>
      </c>
      <c r="I96" s="12">
        <v>0</v>
      </c>
      <c r="J96" s="12">
        <v>0</v>
      </c>
      <c r="K96" s="12">
        <v>639.33000000000004</v>
      </c>
      <c r="L96" s="12">
        <v>-495.631595</v>
      </c>
    </row>
    <row r="97" spans="1:12" ht="22.5" customHeight="1" x14ac:dyDescent="0.25">
      <c r="A97" s="15" t="s">
        <v>303</v>
      </c>
      <c r="B97" s="14" t="s">
        <v>302</v>
      </c>
      <c r="E97" s="12">
        <v>70</v>
      </c>
      <c r="F97" s="13">
        <v>102.7</v>
      </c>
      <c r="G97" s="12">
        <v>7189</v>
      </c>
      <c r="H97" s="12">
        <v>69.569999999999993</v>
      </c>
      <c r="I97" s="12">
        <v>4869.76</v>
      </c>
      <c r="J97" s="12">
        <v>2319.2399999999998</v>
      </c>
      <c r="K97" s="12">
        <v>-1502.46</v>
      </c>
      <c r="L97" s="12">
        <v>0</v>
      </c>
    </row>
    <row r="98" spans="1:12" ht="22.5" customHeight="1" x14ac:dyDescent="0.25">
      <c r="A98" s="15" t="s">
        <v>301</v>
      </c>
      <c r="B98" s="14" t="s">
        <v>300</v>
      </c>
      <c r="E98" s="12">
        <v>427</v>
      </c>
      <c r="F98" s="13">
        <v>30.69</v>
      </c>
      <c r="G98" s="12">
        <v>13104.63</v>
      </c>
      <c r="H98" s="12">
        <v>29.04</v>
      </c>
      <c r="I98" s="12">
        <v>12400.34</v>
      </c>
      <c r="J98" s="12">
        <v>704.29</v>
      </c>
      <c r="K98" s="12">
        <v>704.29</v>
      </c>
      <c r="L98" s="12">
        <v>0</v>
      </c>
    </row>
    <row r="99" spans="1:12" ht="22.5" customHeight="1" x14ac:dyDescent="0.25">
      <c r="A99" s="15" t="s">
        <v>299</v>
      </c>
      <c r="B99" s="14" t="s">
        <v>298</v>
      </c>
      <c r="E99" s="12">
        <v>5659</v>
      </c>
      <c r="F99" s="13">
        <v>1.79</v>
      </c>
      <c r="G99" s="12">
        <v>10129.61</v>
      </c>
      <c r="H99" s="12">
        <v>1.35</v>
      </c>
      <c r="I99" s="12">
        <v>7611.36</v>
      </c>
      <c r="J99" s="12">
        <v>2518.25</v>
      </c>
      <c r="K99" s="12">
        <v>3678.35</v>
      </c>
      <c r="L99" s="12">
        <v>0</v>
      </c>
    </row>
    <row r="100" spans="1:12" ht="22.5" customHeight="1" x14ac:dyDescent="0.25">
      <c r="A100" s="15" t="s">
        <v>297</v>
      </c>
      <c r="B100" s="14" t="s">
        <v>296</v>
      </c>
      <c r="E100" s="12">
        <v>10253</v>
      </c>
      <c r="F100" s="13">
        <v>7.42</v>
      </c>
      <c r="G100" s="12">
        <v>76077.259999999995</v>
      </c>
      <c r="H100" s="12">
        <v>4.3499999999999996</v>
      </c>
      <c r="I100" s="12">
        <v>44633.77</v>
      </c>
      <c r="J100" s="12">
        <v>31443.49</v>
      </c>
      <c r="K100" s="12">
        <v>6062.53</v>
      </c>
      <c r="L100" s="12">
        <v>-376.55037199999998</v>
      </c>
    </row>
    <row r="101" spans="1:12" ht="22.5" customHeight="1" x14ac:dyDescent="0.25">
      <c r="A101" s="15" t="s">
        <v>295</v>
      </c>
      <c r="B101" s="14" t="s">
        <v>294</v>
      </c>
      <c r="E101" s="12">
        <v>24</v>
      </c>
      <c r="F101" s="13">
        <v>16.61</v>
      </c>
      <c r="G101" s="12">
        <v>398.64</v>
      </c>
      <c r="H101" s="12">
        <v>21.27</v>
      </c>
      <c r="I101" s="12">
        <v>510.38</v>
      </c>
      <c r="J101" s="12">
        <v>-111.74</v>
      </c>
      <c r="K101" s="12">
        <v>-111.74</v>
      </c>
      <c r="L101" s="12">
        <v>0</v>
      </c>
    </row>
    <row r="102" spans="1:12" ht="22.5" customHeight="1" x14ac:dyDescent="0.25">
      <c r="A102" s="15" t="s">
        <v>293</v>
      </c>
      <c r="B102" s="14" t="s">
        <v>292</v>
      </c>
      <c r="E102" s="12">
        <v>1503</v>
      </c>
      <c r="F102" s="13">
        <v>33.01</v>
      </c>
      <c r="G102" s="12">
        <v>49614.03</v>
      </c>
      <c r="H102" s="12">
        <v>20.97</v>
      </c>
      <c r="I102" s="12">
        <v>31517.22</v>
      </c>
      <c r="J102" s="12">
        <v>18096.810000000001</v>
      </c>
      <c r="K102" s="12">
        <v>-17766.84</v>
      </c>
      <c r="L102" s="12">
        <v>11390.945761999999</v>
      </c>
    </row>
    <row r="103" spans="1:12" ht="22.5" customHeight="1" x14ac:dyDescent="0.25">
      <c r="A103" s="15" t="s">
        <v>291</v>
      </c>
      <c r="B103" s="14" t="s">
        <v>290</v>
      </c>
      <c r="E103" s="12">
        <v>9849</v>
      </c>
      <c r="F103" s="13">
        <v>3.94</v>
      </c>
      <c r="G103" s="12">
        <v>38805.06</v>
      </c>
      <c r="H103" s="12">
        <v>3.41</v>
      </c>
      <c r="I103" s="12">
        <v>33551.620000000003</v>
      </c>
      <c r="J103" s="12">
        <v>5253.44</v>
      </c>
      <c r="K103" s="12">
        <v>4782.7700000000004</v>
      </c>
      <c r="L103" s="12">
        <v>0</v>
      </c>
    </row>
    <row r="104" spans="1:12" ht="22.5" customHeight="1" x14ac:dyDescent="0.25">
      <c r="A104" s="15" t="s">
        <v>289</v>
      </c>
      <c r="B104" s="14" t="s">
        <v>288</v>
      </c>
      <c r="E104" s="12">
        <v>41</v>
      </c>
      <c r="F104" s="13">
        <v>59.46</v>
      </c>
      <c r="G104" s="12">
        <v>2437.86</v>
      </c>
      <c r="H104" s="12">
        <v>60.93</v>
      </c>
      <c r="I104" s="12">
        <v>2498.1999999999998</v>
      </c>
      <c r="J104" s="12">
        <v>-60.34</v>
      </c>
      <c r="K104" s="12">
        <v>-432.29</v>
      </c>
      <c r="L104" s="12">
        <v>400.21519999999998</v>
      </c>
    </row>
    <row r="105" spans="1:12" ht="22.5" customHeight="1" x14ac:dyDescent="0.25">
      <c r="A105" s="15" t="s">
        <v>287</v>
      </c>
      <c r="B105" s="14" t="s">
        <v>286</v>
      </c>
      <c r="E105" s="12">
        <v>158</v>
      </c>
      <c r="F105" s="13">
        <v>5.0199999999999996</v>
      </c>
      <c r="G105" s="12">
        <v>793.16</v>
      </c>
      <c r="H105" s="12">
        <v>3.87</v>
      </c>
      <c r="I105" s="12">
        <v>611.11</v>
      </c>
      <c r="J105" s="12">
        <v>182.05</v>
      </c>
      <c r="K105" s="12">
        <v>97.96</v>
      </c>
      <c r="L105" s="12">
        <v>0</v>
      </c>
    </row>
    <row r="106" spans="1:12" ht="22.5" customHeight="1" x14ac:dyDescent="0.25">
      <c r="A106" s="15" t="s">
        <v>285</v>
      </c>
      <c r="B106" s="14" t="s">
        <v>283</v>
      </c>
      <c r="E106" s="12">
        <v>2423</v>
      </c>
      <c r="F106" s="13">
        <v>10.98</v>
      </c>
      <c r="G106" s="12">
        <v>26604.54</v>
      </c>
      <c r="H106" s="12">
        <v>8.3800000000000008</v>
      </c>
      <c r="I106" s="12">
        <v>20296.48</v>
      </c>
      <c r="J106" s="12">
        <v>6308.06</v>
      </c>
      <c r="K106" s="12">
        <v>-314.99</v>
      </c>
      <c r="L106" s="12">
        <v>0</v>
      </c>
    </row>
    <row r="107" spans="1:12" ht="22.5" customHeight="1" x14ac:dyDescent="0.25">
      <c r="A107" s="15" t="s">
        <v>284</v>
      </c>
      <c r="B107" s="14" t="s">
        <v>283</v>
      </c>
      <c r="E107" s="12">
        <v>200</v>
      </c>
      <c r="F107" s="13">
        <v>99</v>
      </c>
      <c r="G107" s="12">
        <v>19800</v>
      </c>
      <c r="H107" s="12">
        <v>102.73</v>
      </c>
      <c r="I107" s="12">
        <v>20546.189999999999</v>
      </c>
      <c r="J107" s="12">
        <v>-746.19</v>
      </c>
      <c r="K107" s="12">
        <v>-746.19</v>
      </c>
      <c r="L107" s="12">
        <v>0</v>
      </c>
    </row>
    <row r="108" spans="1:12" ht="22.5" customHeight="1" x14ac:dyDescent="0.25">
      <c r="A108" s="15" t="s">
        <v>282</v>
      </c>
      <c r="B108" s="14" t="s">
        <v>281</v>
      </c>
      <c r="E108" s="12">
        <v>82</v>
      </c>
      <c r="F108" s="13">
        <v>8.49</v>
      </c>
      <c r="G108" s="12">
        <v>696.18</v>
      </c>
      <c r="H108" s="12">
        <v>11.6</v>
      </c>
      <c r="I108" s="12">
        <v>951.08</v>
      </c>
      <c r="J108" s="12">
        <v>-254.9</v>
      </c>
      <c r="K108" s="12">
        <v>-254.9</v>
      </c>
      <c r="L108" s="12">
        <v>0</v>
      </c>
    </row>
    <row r="109" spans="1:12" ht="22.5" customHeight="1" x14ac:dyDescent="0.25">
      <c r="A109" s="15" t="s">
        <v>280</v>
      </c>
      <c r="B109" s="14" t="s">
        <v>279</v>
      </c>
      <c r="E109" s="12">
        <v>2000</v>
      </c>
      <c r="F109" s="13">
        <v>5.97</v>
      </c>
      <c r="G109" s="12">
        <v>11940</v>
      </c>
      <c r="H109" s="12">
        <v>6.17</v>
      </c>
      <c r="I109" s="12">
        <v>12346.98</v>
      </c>
      <c r="J109" s="12">
        <v>-406.98</v>
      </c>
      <c r="K109" s="12">
        <v>-406.98</v>
      </c>
      <c r="L109" s="12">
        <v>0</v>
      </c>
    </row>
    <row r="110" spans="1:12" ht="22.5" customHeight="1" x14ac:dyDescent="0.25">
      <c r="A110" s="15" t="s">
        <v>278</v>
      </c>
      <c r="B110" s="14" t="s">
        <v>277</v>
      </c>
      <c r="E110" s="12">
        <v>4364</v>
      </c>
      <c r="F110" s="13">
        <v>1.0649999999999999</v>
      </c>
      <c r="G110" s="12">
        <v>4647.66</v>
      </c>
      <c r="H110" s="12">
        <v>0.64</v>
      </c>
      <c r="I110" s="12">
        <v>2793.92</v>
      </c>
      <c r="J110" s="12">
        <v>1853.74</v>
      </c>
      <c r="K110" s="12">
        <v>-2224.65</v>
      </c>
      <c r="L110" s="12">
        <v>392.226</v>
      </c>
    </row>
    <row r="111" spans="1:12" ht="22.5" customHeight="1" x14ac:dyDescent="0.25">
      <c r="A111" s="15" t="s">
        <v>276</v>
      </c>
      <c r="B111" s="14" t="s">
        <v>275</v>
      </c>
      <c r="E111" s="12">
        <v>6536</v>
      </c>
      <c r="F111" s="13">
        <v>4.79</v>
      </c>
      <c r="G111" s="12">
        <v>31307.439999999999</v>
      </c>
      <c r="H111" s="12">
        <v>3.84</v>
      </c>
      <c r="I111" s="12">
        <v>25096.62</v>
      </c>
      <c r="J111" s="12">
        <v>6210.82</v>
      </c>
      <c r="K111" s="12">
        <v>7993</v>
      </c>
      <c r="L111" s="12">
        <v>0</v>
      </c>
    </row>
    <row r="112" spans="1:12" ht="22.5" customHeight="1" x14ac:dyDescent="0.25">
      <c r="A112" s="15" t="s">
        <v>274</v>
      </c>
      <c r="B112" s="14" t="s">
        <v>273</v>
      </c>
      <c r="E112" s="12">
        <v>1045</v>
      </c>
      <c r="F112" s="13">
        <v>3.85</v>
      </c>
      <c r="G112" s="12">
        <v>4023.25</v>
      </c>
      <c r="H112" s="12">
        <v>3.29</v>
      </c>
      <c r="I112" s="12">
        <v>3435.29</v>
      </c>
      <c r="J112" s="12">
        <v>587.96</v>
      </c>
      <c r="K112" s="12">
        <v>888.69</v>
      </c>
      <c r="L112" s="12">
        <v>-545.72172799999998</v>
      </c>
    </row>
    <row r="113" spans="1:12" ht="22.5" customHeight="1" x14ac:dyDescent="0.25">
      <c r="A113" s="15" t="s">
        <v>272</v>
      </c>
      <c r="B113" s="14" t="s">
        <v>271</v>
      </c>
      <c r="E113" s="12">
        <v>4364</v>
      </c>
      <c r="F113" s="13">
        <v>4.5199999999999996</v>
      </c>
      <c r="G113" s="12">
        <v>19725.28</v>
      </c>
      <c r="H113" s="12">
        <v>3.72</v>
      </c>
      <c r="I113" s="12">
        <v>16223.61</v>
      </c>
      <c r="J113" s="12">
        <v>3501.67</v>
      </c>
      <c r="K113" s="12">
        <v>3501.67</v>
      </c>
      <c r="L113" s="12">
        <v>0</v>
      </c>
    </row>
    <row r="114" spans="1:12" ht="22.5" customHeight="1" x14ac:dyDescent="0.25">
      <c r="A114" s="15" t="s">
        <v>270</v>
      </c>
      <c r="B114" s="14" t="s">
        <v>269</v>
      </c>
      <c r="E114" s="12">
        <v>1540</v>
      </c>
      <c r="F114" s="13">
        <v>3.76</v>
      </c>
      <c r="G114" s="12">
        <v>5790.4</v>
      </c>
      <c r="H114" s="12">
        <v>3.97</v>
      </c>
      <c r="I114" s="12">
        <v>6113.51</v>
      </c>
      <c r="J114" s="12">
        <v>-323.11</v>
      </c>
      <c r="K114" s="12">
        <v>-2956.8</v>
      </c>
      <c r="L114" s="12">
        <v>0</v>
      </c>
    </row>
    <row r="115" spans="1:12" ht="22.5" customHeight="1" x14ac:dyDescent="0.25">
      <c r="A115" s="15" t="s">
        <v>268</v>
      </c>
      <c r="B115" s="14" t="s">
        <v>267</v>
      </c>
      <c r="E115" s="12">
        <v>4485</v>
      </c>
      <c r="F115" s="13">
        <v>3.27</v>
      </c>
      <c r="G115" s="12">
        <v>14665.95</v>
      </c>
      <c r="H115" s="12">
        <v>4.0199999999999996</v>
      </c>
      <c r="I115" s="12">
        <v>18009.28</v>
      </c>
      <c r="J115" s="12">
        <v>-3343.33</v>
      </c>
      <c r="K115" s="12">
        <v>-3416.43</v>
      </c>
      <c r="L115" s="12">
        <v>0</v>
      </c>
    </row>
    <row r="116" spans="1:12" ht="22.5" customHeight="1" x14ac:dyDescent="0.25">
      <c r="A116" s="15" t="s">
        <v>266</v>
      </c>
      <c r="B116" s="14" t="s">
        <v>265</v>
      </c>
      <c r="E116" s="12">
        <v>4000</v>
      </c>
      <c r="F116" s="13">
        <v>2.21</v>
      </c>
      <c r="G116" s="12">
        <v>8840</v>
      </c>
      <c r="H116" s="12">
        <v>3.38</v>
      </c>
      <c r="I116" s="12">
        <v>13528.96</v>
      </c>
      <c r="J116" s="12">
        <v>-4688.96</v>
      </c>
      <c r="K116" s="12">
        <v>-5880</v>
      </c>
      <c r="L116" s="12">
        <v>0</v>
      </c>
    </row>
    <row r="117" spans="1:12" ht="22.5" customHeight="1" x14ac:dyDescent="0.25">
      <c r="A117" s="15" t="s">
        <v>264</v>
      </c>
      <c r="B117" s="14" t="s">
        <v>263</v>
      </c>
      <c r="E117" s="12">
        <v>0</v>
      </c>
      <c r="F117" s="13">
        <v>23.54</v>
      </c>
      <c r="G117" s="12">
        <v>0</v>
      </c>
      <c r="H117" s="12">
        <v>0</v>
      </c>
      <c r="I117" s="12">
        <v>0</v>
      </c>
      <c r="J117" s="12">
        <v>0</v>
      </c>
      <c r="K117" s="12">
        <v>-36.69</v>
      </c>
      <c r="L117" s="12">
        <v>74.790000000000006</v>
      </c>
    </row>
    <row r="118" spans="1:12" ht="22.5" customHeight="1" x14ac:dyDescent="0.25">
      <c r="A118" s="15" t="s">
        <v>262</v>
      </c>
      <c r="B118" s="14" t="s">
        <v>261</v>
      </c>
      <c r="E118" s="12">
        <v>863</v>
      </c>
      <c r="F118" s="13">
        <v>41.91</v>
      </c>
      <c r="G118" s="12">
        <v>36168.33</v>
      </c>
      <c r="H118" s="12">
        <v>42.92</v>
      </c>
      <c r="I118" s="12">
        <v>37037.660000000003</v>
      </c>
      <c r="J118" s="12">
        <v>-869.33</v>
      </c>
      <c r="K118" s="12">
        <v>-6587.94</v>
      </c>
      <c r="L118" s="12">
        <v>48.956000000000003</v>
      </c>
    </row>
    <row r="119" spans="1:12" ht="22.5" customHeight="1" x14ac:dyDescent="0.25">
      <c r="A119" s="15" t="s">
        <v>260</v>
      </c>
      <c r="B119" s="14" t="s">
        <v>259</v>
      </c>
      <c r="E119" s="12">
        <v>4554</v>
      </c>
      <c r="F119" s="13">
        <v>19.5</v>
      </c>
      <c r="G119" s="12">
        <v>88803</v>
      </c>
      <c r="H119" s="12">
        <v>25.66</v>
      </c>
      <c r="I119" s="12">
        <v>116862.56</v>
      </c>
      <c r="J119" s="12">
        <v>-28059.56</v>
      </c>
      <c r="K119" s="12">
        <v>-24028.09</v>
      </c>
      <c r="L119" s="12">
        <v>-289.80380000000002</v>
      </c>
    </row>
    <row r="120" spans="1:12" ht="22.5" customHeight="1" x14ac:dyDescent="0.25">
      <c r="A120" s="15" t="s">
        <v>258</v>
      </c>
      <c r="B120" s="14" t="s">
        <v>257</v>
      </c>
      <c r="E120" s="12">
        <v>5500</v>
      </c>
      <c r="F120" s="13">
        <v>4.84</v>
      </c>
      <c r="G120" s="12">
        <v>26620</v>
      </c>
      <c r="H120" s="12">
        <v>2.6</v>
      </c>
      <c r="I120" s="12">
        <v>14318.61</v>
      </c>
      <c r="J120" s="12">
        <v>12301.39</v>
      </c>
      <c r="K120" s="12">
        <v>15950</v>
      </c>
      <c r="L120" s="12">
        <v>0</v>
      </c>
    </row>
    <row r="121" spans="1:12" ht="22.5" customHeight="1" x14ac:dyDescent="0.25">
      <c r="A121" s="15" t="s">
        <v>256</v>
      </c>
      <c r="B121" s="14" t="s">
        <v>255</v>
      </c>
      <c r="E121" s="12">
        <v>3372</v>
      </c>
      <c r="F121" s="13">
        <v>31.84</v>
      </c>
      <c r="G121" s="12">
        <v>107364.48</v>
      </c>
      <c r="H121" s="12">
        <v>24.41</v>
      </c>
      <c r="I121" s="12">
        <v>82307.45</v>
      </c>
      <c r="J121" s="12">
        <v>25057.03</v>
      </c>
      <c r="K121" s="12">
        <v>25057.03</v>
      </c>
      <c r="L121" s="12">
        <v>240.1</v>
      </c>
    </row>
    <row r="122" spans="1:12" ht="22.5" customHeight="1" x14ac:dyDescent="0.25">
      <c r="A122" s="15" t="s">
        <v>254</v>
      </c>
      <c r="B122" s="14" t="s">
        <v>253</v>
      </c>
      <c r="E122" s="12">
        <v>0</v>
      </c>
      <c r="F122" s="13">
        <v>28.99</v>
      </c>
      <c r="G122" s="12">
        <v>0</v>
      </c>
      <c r="H122" s="12">
        <v>0</v>
      </c>
      <c r="I122" s="12">
        <v>0</v>
      </c>
      <c r="J122" s="12">
        <v>0</v>
      </c>
      <c r="K122" s="12">
        <v>13274.09</v>
      </c>
      <c r="L122" s="12">
        <v>-2753.961194</v>
      </c>
    </row>
    <row r="123" spans="1:12" ht="22.5" customHeight="1" x14ac:dyDescent="0.25">
      <c r="A123" s="15" t="s">
        <v>252</v>
      </c>
      <c r="B123" s="14" t="s">
        <v>251</v>
      </c>
      <c r="E123" s="12">
        <v>302</v>
      </c>
      <c r="F123" s="13">
        <v>35.6</v>
      </c>
      <c r="G123" s="12">
        <v>10751.2</v>
      </c>
      <c r="H123" s="12">
        <v>32.28</v>
      </c>
      <c r="I123" s="12">
        <v>9748</v>
      </c>
      <c r="J123" s="12">
        <v>1003.2</v>
      </c>
      <c r="K123" s="12">
        <v>-714.75</v>
      </c>
      <c r="L123" s="12">
        <v>-44.392856999999999</v>
      </c>
    </row>
    <row r="124" spans="1:12" ht="22.5" customHeight="1" thickBot="1" x14ac:dyDescent="0.3">
      <c r="A124" s="15" t="s">
        <v>250</v>
      </c>
      <c r="B124" s="14" t="s">
        <v>249</v>
      </c>
      <c r="E124" s="12">
        <v>1000</v>
      </c>
      <c r="F124" s="13">
        <v>14.24</v>
      </c>
      <c r="G124" s="12">
        <v>14240</v>
      </c>
      <c r="H124" s="12">
        <v>12.43</v>
      </c>
      <c r="I124" s="12">
        <v>12425.8</v>
      </c>
      <c r="J124" s="12">
        <v>1814.2</v>
      </c>
      <c r="K124" s="12">
        <v>2320.11</v>
      </c>
      <c r="L124" s="12">
        <v>17.590299999999999</v>
      </c>
    </row>
    <row r="125" spans="1:12" ht="14.1" customHeight="1" x14ac:dyDescent="0.25">
      <c r="G125" s="11">
        <f>SUM(G24:G124)</f>
        <v>1877703.0599999994</v>
      </c>
      <c r="H125" s="11"/>
      <c r="I125" s="11">
        <f>SUM(I24:I124)</f>
        <v>1778543.0300000003</v>
      </c>
      <c r="J125" s="11">
        <f>SUM(J24:J124)</f>
        <v>99160.030000000013</v>
      </c>
      <c r="K125" s="11">
        <f>SUM(K24:K124)</f>
        <v>-279334.85000000003</v>
      </c>
      <c r="L125" s="11">
        <f>SUM(L24:L124)</f>
        <v>39864.180644</v>
      </c>
    </row>
    <row r="126" spans="1:12" ht="14.1" customHeight="1" x14ac:dyDescent="0.25">
      <c r="A126" s="17" t="s">
        <v>248</v>
      </c>
      <c r="B126" s="16"/>
      <c r="C126" s="16"/>
      <c r="D126" s="16"/>
    </row>
    <row r="127" spans="1:12" ht="22.5" customHeight="1" thickBot="1" x14ac:dyDescent="0.3">
      <c r="A127" s="15" t="s">
        <v>247</v>
      </c>
      <c r="B127" s="14" t="s">
        <v>224</v>
      </c>
      <c r="E127" s="12">
        <v>35000</v>
      </c>
      <c r="F127" s="13">
        <v>1.34</v>
      </c>
      <c r="G127" s="12">
        <v>46900</v>
      </c>
      <c r="H127" s="12">
        <v>1.48</v>
      </c>
      <c r="I127" s="12">
        <v>51684.99</v>
      </c>
      <c r="J127" s="12">
        <v>-4784.99</v>
      </c>
      <c r="K127" s="12">
        <v>-18882.900000000001</v>
      </c>
      <c r="L127" s="12">
        <v>1275.7635310000001</v>
      </c>
    </row>
    <row r="128" spans="1:12" ht="14.1" customHeight="1" x14ac:dyDescent="0.25">
      <c r="G128" s="11">
        <f>SUM(G127)</f>
        <v>46900</v>
      </c>
      <c r="H128" s="11"/>
      <c r="I128" s="11">
        <f>SUM(I127)</f>
        <v>51684.99</v>
      </c>
      <c r="J128" s="11">
        <f>SUM(J127)</f>
        <v>-4784.99</v>
      </c>
      <c r="K128" s="11">
        <f>SUM(K127)</f>
        <v>-18882.900000000001</v>
      </c>
      <c r="L128" s="11">
        <f>SUM(L127)</f>
        <v>1275.7635310000001</v>
      </c>
    </row>
    <row r="129" spans="1:12" ht="14.1" customHeight="1" x14ac:dyDescent="0.25">
      <c r="A129" s="17" t="s">
        <v>246</v>
      </c>
      <c r="B129" s="16"/>
      <c r="C129" s="16"/>
      <c r="D129" s="16"/>
    </row>
    <row r="130" spans="1:12" ht="22.5" customHeight="1" thickBot="1" x14ac:dyDescent="0.3">
      <c r="A130" s="15" t="s">
        <v>245</v>
      </c>
      <c r="B130" s="14" t="s">
        <v>244</v>
      </c>
      <c r="E130" s="12">
        <v>7000</v>
      </c>
      <c r="F130" s="13">
        <v>1.5349999999999999</v>
      </c>
      <c r="G130" s="12">
        <v>10745</v>
      </c>
      <c r="H130" s="12">
        <v>1.51</v>
      </c>
      <c r="I130" s="12">
        <v>10577.73</v>
      </c>
      <c r="J130" s="12">
        <v>167.27</v>
      </c>
      <c r="K130" s="12">
        <v>167.27</v>
      </c>
      <c r="L130" s="12">
        <v>0</v>
      </c>
    </row>
    <row r="131" spans="1:12" ht="14.1" customHeight="1" x14ac:dyDescent="0.25">
      <c r="G131" s="11">
        <f>SUM(G130)</f>
        <v>10745</v>
      </c>
      <c r="H131" s="11"/>
      <c r="I131" s="11">
        <f>SUM(I130)</f>
        <v>10577.73</v>
      </c>
      <c r="J131" s="11">
        <f>SUM(J130)</f>
        <v>167.27</v>
      </c>
      <c r="K131" s="11">
        <f>SUM(K130)</f>
        <v>167.27</v>
      </c>
      <c r="L131" s="11">
        <f>SUM(L130)</f>
        <v>0</v>
      </c>
    </row>
    <row r="132" spans="1:12" ht="14.1" customHeight="1" x14ac:dyDescent="0.25">
      <c r="A132" s="17" t="s">
        <v>243</v>
      </c>
      <c r="B132" s="16"/>
      <c r="C132" s="16"/>
      <c r="D132" s="16"/>
    </row>
    <row r="133" spans="1:12" ht="22.5" customHeight="1" x14ac:dyDescent="0.25">
      <c r="A133" s="15" t="s">
        <v>242</v>
      </c>
      <c r="B133" s="14" t="s">
        <v>241</v>
      </c>
      <c r="E133" s="12">
        <v>2653</v>
      </c>
      <c r="F133" s="13">
        <v>11.27</v>
      </c>
      <c r="G133" s="12">
        <v>29899.31</v>
      </c>
      <c r="H133" s="12">
        <v>9.1</v>
      </c>
      <c r="I133" s="12">
        <v>24148.05</v>
      </c>
      <c r="J133" s="12">
        <v>5751.26</v>
      </c>
      <c r="K133" s="12">
        <v>6101.1</v>
      </c>
      <c r="L133" s="12">
        <v>-87.813333</v>
      </c>
    </row>
    <row r="134" spans="1:12" ht="22.5" customHeight="1" x14ac:dyDescent="0.25">
      <c r="A134" s="15" t="s">
        <v>240</v>
      </c>
      <c r="B134" s="14" t="s">
        <v>239</v>
      </c>
      <c r="E134" s="12">
        <v>0</v>
      </c>
      <c r="F134" s="13">
        <v>3.28</v>
      </c>
      <c r="G134" s="12">
        <v>0</v>
      </c>
      <c r="H134" s="12">
        <v>0</v>
      </c>
      <c r="I134" s="12">
        <v>0</v>
      </c>
      <c r="J134" s="12">
        <v>0</v>
      </c>
      <c r="K134" s="12">
        <v>-11601.54</v>
      </c>
      <c r="L134" s="12">
        <v>0</v>
      </c>
    </row>
    <row r="135" spans="1:12" ht="22.5" customHeight="1" x14ac:dyDescent="0.25">
      <c r="A135" s="15" t="s">
        <v>238</v>
      </c>
      <c r="B135" s="14" t="s">
        <v>237</v>
      </c>
      <c r="E135" s="12">
        <v>10000</v>
      </c>
      <c r="F135" s="13">
        <v>1.7</v>
      </c>
      <c r="G135" s="12">
        <v>17000</v>
      </c>
      <c r="H135" s="12">
        <v>2.13</v>
      </c>
      <c r="I135" s="12">
        <v>21253</v>
      </c>
      <c r="J135" s="12">
        <v>-4253</v>
      </c>
      <c r="K135" s="12">
        <v>-6400</v>
      </c>
      <c r="L135" s="12">
        <v>0</v>
      </c>
    </row>
    <row r="136" spans="1:12" ht="22.5" customHeight="1" x14ac:dyDescent="0.25">
      <c r="A136" s="15" t="s">
        <v>148</v>
      </c>
      <c r="B136" s="14" t="s">
        <v>236</v>
      </c>
      <c r="E136" s="12">
        <v>44345.03</v>
      </c>
      <c r="F136" s="13">
        <v>1.6069</v>
      </c>
      <c r="G136" s="12">
        <v>71258.03</v>
      </c>
      <c r="H136" s="12">
        <v>1.07</v>
      </c>
      <c r="I136" s="12">
        <v>47588.05</v>
      </c>
      <c r="J136" s="12">
        <v>23669.98</v>
      </c>
      <c r="K136" s="12">
        <v>4155.13</v>
      </c>
      <c r="L136" s="12">
        <v>0</v>
      </c>
    </row>
    <row r="137" spans="1:12" ht="22.5" customHeight="1" x14ac:dyDescent="0.25">
      <c r="A137" s="15" t="s">
        <v>142</v>
      </c>
      <c r="B137" s="14" t="s">
        <v>235</v>
      </c>
      <c r="E137" s="12">
        <v>29178.338</v>
      </c>
      <c r="F137" s="13">
        <v>0.81820000000000004</v>
      </c>
      <c r="G137" s="12">
        <v>23873.72</v>
      </c>
      <c r="H137" s="12">
        <v>0.88</v>
      </c>
      <c r="I137" s="12">
        <v>25550</v>
      </c>
      <c r="J137" s="12">
        <v>-1676.28</v>
      </c>
      <c r="K137" s="12">
        <v>-1488.09</v>
      </c>
      <c r="L137" s="12">
        <v>0</v>
      </c>
    </row>
    <row r="138" spans="1:12" ht="22.5" customHeight="1" x14ac:dyDescent="0.25">
      <c r="A138" s="15" t="s">
        <v>234</v>
      </c>
      <c r="B138" s="14" t="s">
        <v>233</v>
      </c>
      <c r="E138" s="12">
        <v>2500</v>
      </c>
      <c r="F138" s="13">
        <v>8.8800000000000008</v>
      </c>
      <c r="G138" s="12">
        <v>22200</v>
      </c>
      <c r="H138" s="12">
        <v>9.9</v>
      </c>
      <c r="I138" s="12">
        <v>24759.119999999999</v>
      </c>
      <c r="J138" s="12">
        <v>-2559.12</v>
      </c>
      <c r="K138" s="12">
        <v>-4475</v>
      </c>
      <c r="L138" s="12">
        <v>0</v>
      </c>
    </row>
    <row r="139" spans="1:12" ht="22.5" customHeight="1" x14ac:dyDescent="0.25">
      <c r="A139" s="15" t="s">
        <v>144</v>
      </c>
      <c r="B139" s="14" t="s">
        <v>232</v>
      </c>
      <c r="E139" s="12">
        <v>1784.97</v>
      </c>
      <c r="F139" s="13">
        <v>32.190899999999999</v>
      </c>
      <c r="G139" s="12">
        <v>57459.79</v>
      </c>
      <c r="H139" s="12">
        <v>28.63</v>
      </c>
      <c r="I139" s="12">
        <v>51100</v>
      </c>
      <c r="J139" s="12">
        <v>6359.79</v>
      </c>
      <c r="K139" s="12">
        <v>-12210.27</v>
      </c>
      <c r="L139" s="12">
        <v>0</v>
      </c>
    </row>
    <row r="140" spans="1:12" ht="22.5" customHeight="1" x14ac:dyDescent="0.25">
      <c r="A140" s="15" t="s">
        <v>231</v>
      </c>
      <c r="B140" s="14" t="s">
        <v>230</v>
      </c>
      <c r="E140" s="12">
        <v>106</v>
      </c>
      <c r="F140" s="13">
        <v>17.84</v>
      </c>
      <c r="G140" s="12">
        <v>1891.04</v>
      </c>
      <c r="H140" s="12">
        <v>15.47</v>
      </c>
      <c r="I140" s="12">
        <v>1639.53</v>
      </c>
      <c r="J140" s="12">
        <v>251.51</v>
      </c>
      <c r="K140" s="12">
        <v>-398.57</v>
      </c>
      <c r="L140" s="12">
        <v>62.271619999999999</v>
      </c>
    </row>
    <row r="141" spans="1:12" ht="22.5" customHeight="1" x14ac:dyDescent="0.25">
      <c r="A141" s="15" t="s">
        <v>229</v>
      </c>
      <c r="B141" s="14" t="s">
        <v>228</v>
      </c>
      <c r="E141" s="12">
        <v>40000</v>
      </c>
      <c r="F141" s="13">
        <v>1.9650000000000001</v>
      </c>
      <c r="G141" s="12">
        <v>78600</v>
      </c>
      <c r="H141" s="12">
        <v>2</v>
      </c>
      <c r="I141" s="12">
        <v>80100</v>
      </c>
      <c r="J141" s="12">
        <v>-1500</v>
      </c>
      <c r="K141" s="12">
        <v>-2600</v>
      </c>
      <c r="L141" s="12">
        <v>0</v>
      </c>
    </row>
    <row r="142" spans="1:12" ht="22.5" customHeight="1" x14ac:dyDescent="0.25">
      <c r="A142" s="15" t="s">
        <v>146</v>
      </c>
      <c r="B142" s="14" t="s">
        <v>227</v>
      </c>
      <c r="E142" s="12">
        <v>15668.5782</v>
      </c>
      <c r="F142" s="13">
        <v>2.6873</v>
      </c>
      <c r="G142" s="12">
        <v>42106.17</v>
      </c>
      <c r="H142" s="12">
        <v>3.26</v>
      </c>
      <c r="I142" s="12">
        <v>51100</v>
      </c>
      <c r="J142" s="12">
        <v>-8993.83</v>
      </c>
      <c r="K142" s="12">
        <v>-4006.46</v>
      </c>
      <c r="L142" s="12">
        <v>0</v>
      </c>
    </row>
    <row r="143" spans="1:12" ht="22.5" customHeight="1" x14ac:dyDescent="0.25">
      <c r="A143" s="15" t="s">
        <v>150</v>
      </c>
      <c r="B143" s="14" t="s">
        <v>226</v>
      </c>
      <c r="E143" s="12">
        <v>59210.1368</v>
      </c>
      <c r="F143" s="13">
        <v>2.2768999999999999</v>
      </c>
      <c r="G143" s="12">
        <v>134815.56</v>
      </c>
      <c r="H143" s="12">
        <v>1.69</v>
      </c>
      <c r="I143" s="12">
        <v>100000</v>
      </c>
      <c r="J143" s="12">
        <v>34815.56</v>
      </c>
      <c r="K143" s="12">
        <v>-24317.599999999999</v>
      </c>
      <c r="L143" s="12">
        <v>0</v>
      </c>
    </row>
    <row r="144" spans="1:12" ht="22.5" customHeight="1" x14ac:dyDescent="0.25">
      <c r="A144" s="15" t="s">
        <v>225</v>
      </c>
      <c r="B144" s="14" t="s">
        <v>224</v>
      </c>
      <c r="E144" s="12">
        <v>33724</v>
      </c>
      <c r="F144" s="13">
        <v>5.0000000000000001E-3</v>
      </c>
      <c r="G144" s="12">
        <v>168.62</v>
      </c>
      <c r="H144" s="12">
        <v>0</v>
      </c>
      <c r="I144" s="12">
        <v>0</v>
      </c>
      <c r="J144" s="12">
        <v>168.62</v>
      </c>
      <c r="K144" s="12">
        <v>-775.65</v>
      </c>
      <c r="L144" s="12">
        <v>0</v>
      </c>
    </row>
    <row r="145" spans="1:12" ht="22.5" customHeight="1" x14ac:dyDescent="0.25">
      <c r="A145" s="15" t="s">
        <v>223</v>
      </c>
      <c r="B145" s="14" t="s">
        <v>222</v>
      </c>
      <c r="E145" s="12">
        <v>8339</v>
      </c>
      <c r="F145" s="13">
        <v>1.9750000000000001</v>
      </c>
      <c r="G145" s="12">
        <v>16469.53</v>
      </c>
      <c r="H145" s="12">
        <v>2.4500000000000002</v>
      </c>
      <c r="I145" s="12">
        <v>20389.8</v>
      </c>
      <c r="J145" s="12">
        <v>-3920.27</v>
      </c>
      <c r="K145" s="12">
        <v>-3920.27</v>
      </c>
      <c r="L145" s="12">
        <v>0</v>
      </c>
    </row>
    <row r="146" spans="1:12" ht="22.5" customHeight="1" x14ac:dyDescent="0.25">
      <c r="A146" s="15" t="s">
        <v>221</v>
      </c>
      <c r="B146" s="14" t="s">
        <v>220</v>
      </c>
      <c r="E146" s="12">
        <v>0</v>
      </c>
      <c r="F146" s="13">
        <v>2.14</v>
      </c>
      <c r="G146" s="12">
        <v>0</v>
      </c>
      <c r="H146" s="12">
        <v>0</v>
      </c>
      <c r="I146" s="12">
        <v>0.01</v>
      </c>
      <c r="J146" s="12">
        <v>-0.01</v>
      </c>
      <c r="K146" s="12">
        <v>-6042.09</v>
      </c>
      <c r="L146" s="12">
        <v>11383.031849999999</v>
      </c>
    </row>
    <row r="147" spans="1:12" ht="22.5" customHeight="1" x14ac:dyDescent="0.25">
      <c r="A147" s="15" t="s">
        <v>219</v>
      </c>
      <c r="B147" s="14" t="s">
        <v>218</v>
      </c>
      <c r="E147" s="12">
        <v>0</v>
      </c>
      <c r="F147" s="13">
        <v>2.87</v>
      </c>
      <c r="G147" s="12">
        <v>0</v>
      </c>
      <c r="H147" s="12">
        <v>0</v>
      </c>
      <c r="I147" s="12">
        <v>0</v>
      </c>
      <c r="J147" s="12">
        <v>0</v>
      </c>
      <c r="K147" s="12">
        <v>-102.12</v>
      </c>
      <c r="L147" s="12">
        <v>592.57509100000004</v>
      </c>
    </row>
    <row r="148" spans="1:12" ht="22.5" customHeight="1" x14ac:dyDescent="0.25">
      <c r="A148" s="15" t="s">
        <v>217</v>
      </c>
      <c r="B148" s="14" t="s">
        <v>216</v>
      </c>
      <c r="E148" s="12">
        <v>173</v>
      </c>
      <c r="F148" s="13">
        <v>14.38</v>
      </c>
      <c r="G148" s="12">
        <v>2487.7399999999998</v>
      </c>
      <c r="H148" s="12">
        <v>10.51</v>
      </c>
      <c r="I148" s="12">
        <v>1817.6</v>
      </c>
      <c r="J148" s="12">
        <v>670.14</v>
      </c>
      <c r="K148" s="12">
        <v>1.3</v>
      </c>
      <c r="L148" s="12">
        <v>29.69</v>
      </c>
    </row>
    <row r="149" spans="1:12" ht="22.5" customHeight="1" thickBot="1" x14ac:dyDescent="0.3">
      <c r="A149" s="15" t="s">
        <v>152</v>
      </c>
      <c r="B149" s="14" t="s">
        <v>215</v>
      </c>
      <c r="E149" s="12">
        <v>35189.35</v>
      </c>
      <c r="F149" s="13">
        <v>2.2614999999999998</v>
      </c>
      <c r="G149" s="12">
        <v>79580.72</v>
      </c>
      <c r="H149" s="12">
        <v>1.82</v>
      </c>
      <c r="I149" s="12">
        <v>63981.53</v>
      </c>
      <c r="J149" s="12">
        <v>15599.19</v>
      </c>
      <c r="K149" s="12">
        <v>-12464.06</v>
      </c>
      <c r="L149" s="12">
        <v>0</v>
      </c>
    </row>
    <row r="150" spans="1:12" ht="14.1" customHeight="1" thickBot="1" x14ac:dyDescent="0.3">
      <c r="G150" s="11">
        <f>SUM(G133:G149)</f>
        <v>577810.23</v>
      </c>
      <c r="H150" s="11"/>
      <c r="I150" s="11">
        <f>SUM(I133:I149)</f>
        <v>513426.68999999994</v>
      </c>
      <c r="J150" s="11">
        <f>SUM(J133:J149)</f>
        <v>64383.54</v>
      </c>
      <c r="K150" s="11">
        <f>SUM(K133:K149)</f>
        <v>-80544.189999999988</v>
      </c>
      <c r="L150" s="11">
        <f>SUM(L133:L149)</f>
        <v>11979.755228</v>
      </c>
    </row>
    <row r="151" spans="1:12" ht="15" customHeight="1" thickBot="1" x14ac:dyDescent="0.3">
      <c r="G151" s="10">
        <f>G150+G131+G128+G125+G22+G18+G13+G10</f>
        <v>2642416.7599999988</v>
      </c>
      <c r="H151" s="10"/>
      <c r="I151" s="10">
        <f>I150+I131+I128+I125+I22+I18+I13+I10</f>
        <v>2483740.1700000004</v>
      </c>
      <c r="J151" s="10">
        <f>J150+J131+J128+J125+J22+J18+J13+J10</f>
        <v>158676.59000000003</v>
      </c>
      <c r="K151" s="10">
        <f>K150+K131+K128+K125+K22+K18+K13+K10</f>
        <v>-379691.26000000007</v>
      </c>
      <c r="L151" s="10">
        <f>L150+L131+L128+L125+L22+L18+L13+L10</f>
        <v>50124.706069999993</v>
      </c>
    </row>
    <row r="152" spans="1:12" ht="15" customHeight="1" thickTop="1" x14ac:dyDescent="0.25"/>
    <row r="153" spans="1:12" ht="15" customHeight="1" x14ac:dyDescent="0.25">
      <c r="F153" t="s">
        <v>474</v>
      </c>
    </row>
    <row r="154" spans="1:12" ht="15" customHeight="1" x14ac:dyDescent="0.25">
      <c r="F154" s="27">
        <v>158589</v>
      </c>
      <c r="G154" s="12">
        <v>2337160.44</v>
      </c>
      <c r="H154" s="32" t="s">
        <v>479</v>
      </c>
    </row>
    <row r="155" spans="1:12" ht="15" customHeight="1" x14ac:dyDescent="0.25">
      <c r="F155" s="27" t="s">
        <v>475</v>
      </c>
      <c r="G155" s="28">
        <v>305301.5</v>
      </c>
      <c r="H155" s="32" t="s">
        <v>480</v>
      </c>
    </row>
    <row r="156" spans="1:12" ht="15" customHeight="1" thickBot="1" x14ac:dyDescent="0.3">
      <c r="G156" s="29">
        <f>SUM(G154:G155)</f>
        <v>2642461.94</v>
      </c>
    </row>
    <row r="157" spans="1:12" ht="15" customHeight="1" thickTop="1" x14ac:dyDescent="0.25">
      <c r="F157" t="s">
        <v>476</v>
      </c>
      <c r="G157" s="12">
        <f>G156-G151</f>
        <v>45.180000001098961</v>
      </c>
    </row>
    <row r="158" spans="1:12" ht="15" customHeight="1" x14ac:dyDescent="0.25">
      <c r="G158" s="12"/>
    </row>
    <row r="159" spans="1:12" ht="15" customHeight="1" x14ac:dyDescent="0.25">
      <c r="F159" s="30" t="s">
        <v>477</v>
      </c>
      <c r="G159">
        <v>-48</v>
      </c>
    </row>
    <row r="160" spans="1:12" ht="15" customHeight="1" x14ac:dyDescent="0.25">
      <c r="F160" s="31" t="s">
        <v>478</v>
      </c>
      <c r="G160" s="40">
        <f>Burrells!G111</f>
        <v>2.4500000000000002</v>
      </c>
    </row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</sheetData>
  <mergeCells count="9">
    <mergeCell ref="A126:D126"/>
    <mergeCell ref="A129:D129"/>
    <mergeCell ref="A132:D132"/>
    <mergeCell ref="A6:D6"/>
    <mergeCell ref="A7:D7"/>
    <mergeCell ref="A11:D11"/>
    <mergeCell ref="A14:D14"/>
    <mergeCell ref="A19:D19"/>
    <mergeCell ref="A23:D23"/>
  </mergeCells>
  <hyperlinks>
    <hyperlink ref="G160" location="Sheet3!A1" display="Sheet3!A1" xr:uid="{3B9CC8FE-B5E1-404B-80A2-7A4CD78167FF}"/>
    <hyperlink ref="H154" r:id="rId1" xr:uid="{8B7A3204-A75F-4F1B-8FED-79070262CA18}"/>
    <hyperlink ref="H155" r:id="rId2" xr:uid="{3D916844-9731-4D0D-A432-B2A5FC3EEC9F}"/>
  </hyperlinks>
  <pageMargins left="0.25" right="0.25" top="0.75" bottom="0.75" header="0.3" footer="0.3"/>
  <pageSetup paperSize="9" orientation="landscape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B062D-8951-416D-B306-E6C984CDBD29}">
  <dimension ref="A1:H119"/>
  <sheetViews>
    <sheetView topLeftCell="A88" workbookViewId="0">
      <selection activeCell="G120" sqref="G120"/>
    </sheetView>
  </sheetViews>
  <sheetFormatPr defaultRowHeight="15" x14ac:dyDescent="0.25"/>
  <cols>
    <col min="1" max="1" width="20.28515625" style="1" bestFit="1" customWidth="1"/>
    <col min="2" max="2" width="86.5703125" style="1" bestFit="1" customWidth="1"/>
    <col min="3" max="3" width="12.140625" style="1" bestFit="1" customWidth="1"/>
    <col min="4" max="4" width="15.85546875" style="1" customWidth="1"/>
    <col min="5" max="5" width="14.140625" style="1" customWidth="1"/>
    <col min="6" max="6" width="13.28515625" style="1" customWidth="1"/>
    <col min="7" max="7" width="16.28515625" style="1" customWidth="1"/>
    <col min="8" max="16384" width="9.140625" style="1"/>
  </cols>
  <sheetData>
    <row r="1" spans="1:8" s="2" customFormat="1" x14ac:dyDescent="0.25">
      <c r="A1" s="6" t="s">
        <v>0</v>
      </c>
      <c r="B1" s="6" t="s">
        <v>214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</row>
    <row r="2" spans="1:8" x14ac:dyDescent="0.25">
      <c r="A2" s="1" t="s">
        <v>154</v>
      </c>
      <c r="B2" s="1" t="s">
        <v>155</v>
      </c>
      <c r="C2" s="4">
        <v>48</v>
      </c>
      <c r="D2" s="5">
        <v>1</v>
      </c>
      <c r="E2" s="1">
        <v>48</v>
      </c>
      <c r="F2" s="5">
        <v>1</v>
      </c>
      <c r="G2" s="1">
        <v>48</v>
      </c>
    </row>
    <row r="3" spans="1:8" x14ac:dyDescent="0.25">
      <c r="A3" s="1" t="s">
        <v>6</v>
      </c>
      <c r="B3" s="1" t="s">
        <v>7</v>
      </c>
      <c r="C3" s="4">
        <v>308527</v>
      </c>
      <c r="D3" s="5">
        <v>0.16619999999999999</v>
      </c>
      <c r="E3" s="1">
        <v>51274.92</v>
      </c>
      <c r="F3" s="5">
        <v>1.7000000000000001E-2</v>
      </c>
      <c r="G3" s="1">
        <v>5244.96</v>
      </c>
      <c r="H3" s="33"/>
    </row>
    <row r="4" spans="1:8" x14ac:dyDescent="0.25">
      <c r="A4" s="1" t="s">
        <v>8</v>
      </c>
      <c r="B4" s="1" t="s">
        <v>9</v>
      </c>
      <c r="C4" s="4">
        <v>15104</v>
      </c>
      <c r="D4" s="5">
        <v>0.79220000000000002</v>
      </c>
      <c r="E4" s="1">
        <v>11965.8</v>
      </c>
      <c r="F4" s="5">
        <v>0.68500000000000005</v>
      </c>
      <c r="G4" s="1">
        <v>10346.24</v>
      </c>
      <c r="H4" s="33"/>
    </row>
    <row r="5" spans="1:8" x14ac:dyDescent="0.25">
      <c r="A5" s="1" t="s">
        <v>10</v>
      </c>
      <c r="B5" s="1" t="s">
        <v>11</v>
      </c>
      <c r="C5" s="4">
        <v>2400</v>
      </c>
      <c r="D5" s="5">
        <v>2.7162000000000002</v>
      </c>
      <c r="E5" s="1">
        <v>6518.79</v>
      </c>
      <c r="F5" s="5">
        <v>10.31</v>
      </c>
      <c r="G5" s="1">
        <v>24744</v>
      </c>
      <c r="H5" s="33"/>
    </row>
    <row r="6" spans="1:8" x14ac:dyDescent="0.25">
      <c r="A6" s="1" t="s">
        <v>156</v>
      </c>
      <c r="B6" s="1" t="s">
        <v>157</v>
      </c>
      <c r="C6" s="4">
        <v>41</v>
      </c>
      <c r="D6" s="5">
        <v>27.048500000000001</v>
      </c>
      <c r="E6" s="1">
        <v>1108.99</v>
      </c>
      <c r="F6" s="5">
        <v>34.380000000000003</v>
      </c>
      <c r="G6" s="1">
        <v>1409.58</v>
      </c>
      <c r="H6" s="33"/>
    </row>
    <row r="7" spans="1:8" x14ac:dyDescent="0.25">
      <c r="A7" s="1" t="s">
        <v>158</v>
      </c>
      <c r="B7" s="1" t="s">
        <v>159</v>
      </c>
      <c r="C7" s="4">
        <v>208</v>
      </c>
      <c r="D7" s="5">
        <v>6.8253000000000004</v>
      </c>
      <c r="E7" s="1">
        <v>1419.67</v>
      </c>
      <c r="F7" s="5">
        <v>8.06</v>
      </c>
      <c r="G7" s="1">
        <v>1676.48</v>
      </c>
      <c r="H7" s="33"/>
    </row>
    <row r="8" spans="1:8" x14ac:dyDescent="0.25">
      <c r="A8" s="1" t="s">
        <v>12</v>
      </c>
      <c r="B8" s="1" t="s">
        <v>13</v>
      </c>
      <c r="C8" s="4">
        <f>2500+391</f>
        <v>2891</v>
      </c>
      <c r="D8" s="5">
        <f>E8/C8</f>
        <v>12.768540297474921</v>
      </c>
      <c r="E8" s="1">
        <f>31512.27+5401.58</f>
        <v>36913.85</v>
      </c>
      <c r="F8" s="5">
        <v>18.04</v>
      </c>
      <c r="G8" s="1">
        <f>C8*F8</f>
        <v>52153.64</v>
      </c>
      <c r="H8" s="33"/>
    </row>
    <row r="9" spans="1:8" x14ac:dyDescent="0.25">
      <c r="A9" s="1" t="s">
        <v>14</v>
      </c>
      <c r="B9" s="1" t="s">
        <v>15</v>
      </c>
      <c r="C9" s="4">
        <f>3500+459</f>
        <v>3959</v>
      </c>
      <c r="D9" s="5">
        <f>E9/C9</f>
        <v>26.885938368274815</v>
      </c>
      <c r="E9" s="1">
        <f>94059.64+12381.79</f>
        <v>106441.43</v>
      </c>
      <c r="F9" s="5">
        <v>22.03</v>
      </c>
      <c r="G9" s="1">
        <f>C9*F9</f>
        <v>87216.77</v>
      </c>
      <c r="H9" s="33"/>
    </row>
    <row r="10" spans="1:8" x14ac:dyDescent="0.25">
      <c r="A10" s="1" t="s">
        <v>16</v>
      </c>
      <c r="B10" s="1" t="s">
        <v>17</v>
      </c>
      <c r="C10" s="4">
        <f>2000+653</f>
        <v>2653</v>
      </c>
      <c r="D10" s="5">
        <f>E10/C10</f>
        <v>9.1023256690539007</v>
      </c>
      <c r="E10" s="1">
        <f>17826.6+6321.87</f>
        <v>24148.469999999998</v>
      </c>
      <c r="F10" s="5">
        <v>11.27</v>
      </c>
      <c r="G10" s="1">
        <f>C10*F10</f>
        <v>29899.309999999998</v>
      </c>
      <c r="H10" s="33"/>
    </row>
    <row r="11" spans="1:8" x14ac:dyDescent="0.25">
      <c r="A11" s="1" t="s">
        <v>160</v>
      </c>
      <c r="B11" s="1" t="s">
        <v>161</v>
      </c>
      <c r="C11" s="4">
        <v>39</v>
      </c>
      <c r="D11" s="5">
        <v>13.709</v>
      </c>
      <c r="E11" s="1">
        <v>534.65</v>
      </c>
      <c r="F11" s="5">
        <v>9.7200000000000006</v>
      </c>
      <c r="G11" s="1">
        <v>379.08</v>
      </c>
      <c r="H11" s="33"/>
    </row>
    <row r="12" spans="1:8" x14ac:dyDescent="0.25">
      <c r="A12" s="1" t="s">
        <v>162</v>
      </c>
      <c r="B12" s="1" t="s">
        <v>163</v>
      </c>
      <c r="C12" s="4">
        <v>35</v>
      </c>
      <c r="D12" s="5">
        <v>72.518000000000001</v>
      </c>
      <c r="E12" s="1">
        <v>2538.13</v>
      </c>
      <c r="F12" s="5">
        <v>81.709999999999994</v>
      </c>
      <c r="G12" s="1">
        <v>2859.85</v>
      </c>
      <c r="H12" s="33"/>
    </row>
    <row r="13" spans="1:8" x14ac:dyDescent="0.25">
      <c r="A13" s="1" t="s">
        <v>164</v>
      </c>
      <c r="B13" s="1" t="s">
        <v>165</v>
      </c>
      <c r="C13" s="4">
        <v>40</v>
      </c>
      <c r="D13" s="5">
        <v>22.437799999999999</v>
      </c>
      <c r="E13" s="1">
        <v>897.51</v>
      </c>
      <c r="F13" s="5">
        <v>17.68</v>
      </c>
      <c r="G13" s="1">
        <v>707.2</v>
      </c>
      <c r="H13" s="33"/>
    </row>
    <row r="14" spans="1:8" x14ac:dyDescent="0.25">
      <c r="A14" s="1" t="s">
        <v>18</v>
      </c>
      <c r="B14" s="1" t="s">
        <v>19</v>
      </c>
      <c r="C14" s="4">
        <v>2000</v>
      </c>
      <c r="D14" s="5">
        <v>9.3277999999999999</v>
      </c>
      <c r="E14" s="1">
        <v>18655.62</v>
      </c>
      <c r="F14" s="5">
        <v>9.07</v>
      </c>
      <c r="G14" s="1">
        <v>18140</v>
      </c>
      <c r="H14" s="33"/>
    </row>
    <row r="15" spans="1:8" x14ac:dyDescent="0.25">
      <c r="A15" s="1" t="s">
        <v>20</v>
      </c>
      <c r="B15" s="1" t="s">
        <v>21</v>
      </c>
      <c r="C15" s="4">
        <f>3000+194</f>
        <v>3194</v>
      </c>
      <c r="D15" s="5">
        <f>E15/C15</f>
        <v>5.4479962429555417</v>
      </c>
      <c r="E15" s="1">
        <f>16350.54+1050.36</f>
        <v>17400.900000000001</v>
      </c>
      <c r="F15" s="5">
        <v>3.82</v>
      </c>
      <c r="G15" s="1">
        <f>C15*F15</f>
        <v>12201.08</v>
      </c>
      <c r="H15" s="33"/>
    </row>
    <row r="16" spans="1:8" x14ac:dyDescent="0.25">
      <c r="A16" s="1" t="s">
        <v>22</v>
      </c>
      <c r="B16" s="1" t="s">
        <v>23</v>
      </c>
      <c r="C16" s="4">
        <f>1696+692</f>
        <v>2388</v>
      </c>
      <c r="D16" s="5">
        <f>E16/C16</f>
        <v>31.146168341708538</v>
      </c>
      <c r="E16" s="1">
        <f>53851.13+20525.92</f>
        <v>74377.049999999988</v>
      </c>
      <c r="F16" s="5">
        <v>41.25</v>
      </c>
      <c r="G16" s="1">
        <f>C16*F16</f>
        <v>98505</v>
      </c>
      <c r="H16" s="33"/>
    </row>
    <row r="17" spans="1:8" x14ac:dyDescent="0.25">
      <c r="A17" s="1" t="s">
        <v>24</v>
      </c>
      <c r="B17" s="1" t="s">
        <v>25</v>
      </c>
      <c r="C17" s="4">
        <v>3000</v>
      </c>
      <c r="D17" s="5">
        <v>3.5280999999999998</v>
      </c>
      <c r="E17" s="1">
        <v>10584.3</v>
      </c>
      <c r="F17" s="5">
        <v>2.59</v>
      </c>
      <c r="G17" s="1">
        <v>7770</v>
      </c>
      <c r="H17" s="33"/>
    </row>
    <row r="18" spans="1:8" x14ac:dyDescent="0.25">
      <c r="A18" s="1" t="s">
        <v>26</v>
      </c>
      <c r="B18" s="1" t="s">
        <v>27</v>
      </c>
      <c r="C18" s="4">
        <f>4000+134</f>
        <v>4134</v>
      </c>
      <c r="D18" s="5">
        <f>E18/C18</f>
        <v>7.3206192549588778</v>
      </c>
      <c r="E18" s="1">
        <f>29272.2+991.24</f>
        <v>30263.440000000002</v>
      </c>
      <c r="F18" s="5">
        <v>6.67</v>
      </c>
      <c r="G18" s="1">
        <f>C18*F18</f>
        <v>27573.78</v>
      </c>
      <c r="H18" s="33"/>
    </row>
    <row r="19" spans="1:8" x14ac:dyDescent="0.25">
      <c r="A19" s="1" t="s">
        <v>28</v>
      </c>
      <c r="B19" s="1" t="s">
        <v>29</v>
      </c>
      <c r="C19" s="4">
        <f>20000+1095</f>
        <v>21095</v>
      </c>
      <c r="D19" s="5">
        <f>E19/C19</f>
        <v>1.5051941218298175</v>
      </c>
      <c r="E19" s="1">
        <f>30382.41+1369.66</f>
        <v>31752.07</v>
      </c>
      <c r="F19" s="5">
        <v>1.7250000000000001</v>
      </c>
      <c r="G19" s="1">
        <f>C19*F19</f>
        <v>36388.875</v>
      </c>
      <c r="H19" s="33"/>
    </row>
    <row r="20" spans="1:8" x14ac:dyDescent="0.25">
      <c r="A20" s="1" t="s">
        <v>30</v>
      </c>
      <c r="B20" s="1" t="s">
        <v>31</v>
      </c>
      <c r="C20" s="4">
        <f>3000+384</f>
        <v>3384</v>
      </c>
      <c r="D20" s="5">
        <f>E20/C20</f>
        <v>10.114666075650117</v>
      </c>
      <c r="E20" s="1">
        <f>30475.99+3752.04</f>
        <v>34228.03</v>
      </c>
      <c r="F20" s="5">
        <v>10.71</v>
      </c>
      <c r="G20" s="1">
        <f>C20*F20</f>
        <v>36242.639999999999</v>
      </c>
      <c r="H20" s="33"/>
    </row>
    <row r="21" spans="1:8" x14ac:dyDescent="0.25">
      <c r="A21" s="1" t="s">
        <v>32</v>
      </c>
      <c r="B21" s="1" t="s">
        <v>33</v>
      </c>
      <c r="C21" s="4">
        <f>570+116</f>
        <v>686</v>
      </c>
      <c r="D21" s="5">
        <f>E21/C21</f>
        <v>13.014985422740523</v>
      </c>
      <c r="E21" s="1">
        <f>6793.61+2134.67</f>
        <v>8928.2799999999988</v>
      </c>
      <c r="F21" s="5">
        <v>18.39</v>
      </c>
      <c r="G21" s="1">
        <f>C21*F21</f>
        <v>12615.54</v>
      </c>
      <c r="H21" s="34"/>
    </row>
    <row r="22" spans="1:8" x14ac:dyDescent="0.25">
      <c r="A22" s="1" t="s">
        <v>34</v>
      </c>
      <c r="B22" s="1" t="s">
        <v>35</v>
      </c>
      <c r="C22" s="4">
        <f>138+10</f>
        <v>148</v>
      </c>
      <c r="D22" s="5">
        <v>0</v>
      </c>
      <c r="E22" s="1">
        <v>0</v>
      </c>
      <c r="F22" s="5">
        <v>0</v>
      </c>
      <c r="G22" s="1">
        <v>0</v>
      </c>
      <c r="H22" s="33"/>
    </row>
    <row r="23" spans="1:8" x14ac:dyDescent="0.25">
      <c r="A23" s="1" t="s">
        <v>36</v>
      </c>
      <c r="B23" s="1" t="s">
        <v>37</v>
      </c>
      <c r="C23" s="4">
        <f>330+98</f>
        <v>428</v>
      </c>
      <c r="D23" s="5">
        <f>E23/C23</f>
        <v>73.989135514018685</v>
      </c>
      <c r="E23" s="1">
        <f>24464.09+7203.26</f>
        <v>31667.35</v>
      </c>
      <c r="F23" s="5">
        <v>90.38</v>
      </c>
      <c r="G23" s="1">
        <f>C23*F23</f>
        <v>38682.639999999999</v>
      </c>
      <c r="H23" s="33"/>
    </row>
    <row r="24" spans="1:8" x14ac:dyDescent="0.25">
      <c r="A24" s="1" t="s">
        <v>38</v>
      </c>
      <c r="B24" s="1" t="s">
        <v>39</v>
      </c>
      <c r="C24" s="4">
        <v>200</v>
      </c>
      <c r="D24" s="5">
        <v>101.9177</v>
      </c>
      <c r="E24" s="1">
        <v>20383.54</v>
      </c>
      <c r="F24" s="5">
        <v>99.96</v>
      </c>
      <c r="G24" s="1">
        <v>19992</v>
      </c>
      <c r="H24" s="33"/>
    </row>
    <row r="25" spans="1:8" x14ac:dyDescent="0.25">
      <c r="A25" s="1" t="s">
        <v>40</v>
      </c>
      <c r="B25" s="1" t="s">
        <v>41</v>
      </c>
      <c r="C25" s="4">
        <v>200</v>
      </c>
      <c r="D25" s="5">
        <v>100</v>
      </c>
      <c r="E25" s="1">
        <v>20000</v>
      </c>
      <c r="F25" s="5">
        <v>101.7</v>
      </c>
      <c r="G25" s="1">
        <v>20340</v>
      </c>
      <c r="H25" s="33"/>
    </row>
    <row r="26" spans="1:8" x14ac:dyDescent="0.25">
      <c r="A26" s="1" t="s">
        <v>42</v>
      </c>
      <c r="B26" s="1" t="s">
        <v>43</v>
      </c>
      <c r="C26" s="4">
        <v>200</v>
      </c>
      <c r="D26" s="5">
        <v>99.829400000000007</v>
      </c>
      <c r="E26" s="1">
        <v>19965.88</v>
      </c>
      <c r="F26" s="5">
        <v>98.34</v>
      </c>
      <c r="G26" s="1">
        <v>19668</v>
      </c>
      <c r="H26" s="33"/>
    </row>
    <row r="27" spans="1:8" x14ac:dyDescent="0.25">
      <c r="A27" s="1" t="s">
        <v>44</v>
      </c>
      <c r="B27" s="1" t="s">
        <v>45</v>
      </c>
      <c r="C27" s="4">
        <f>6269+570</f>
        <v>6839</v>
      </c>
      <c r="D27" s="5">
        <f>E27/C27</f>
        <v>5.9678315543208074</v>
      </c>
      <c r="E27" s="1">
        <f>38316.66+2497.34</f>
        <v>40814</v>
      </c>
      <c r="F27" s="5">
        <v>6.84</v>
      </c>
      <c r="G27" s="1">
        <f>C27*F27</f>
        <v>46778.76</v>
      </c>
      <c r="H27" s="34"/>
    </row>
    <row r="28" spans="1:8" x14ac:dyDescent="0.25">
      <c r="A28" s="1" t="s">
        <v>46</v>
      </c>
      <c r="B28" s="1" t="s">
        <v>47</v>
      </c>
      <c r="C28" s="4">
        <v>300</v>
      </c>
      <c r="D28" s="5">
        <v>103.1309</v>
      </c>
      <c r="E28" s="1">
        <v>30939.27</v>
      </c>
      <c r="F28" s="5">
        <v>101.9</v>
      </c>
      <c r="G28" s="1">
        <v>30570</v>
      </c>
      <c r="H28" s="33"/>
    </row>
    <row r="29" spans="1:8" x14ac:dyDescent="0.25">
      <c r="A29" s="1" t="s">
        <v>166</v>
      </c>
      <c r="B29" s="1" t="s">
        <v>167</v>
      </c>
      <c r="C29" s="4">
        <v>91</v>
      </c>
      <c r="D29" s="5">
        <v>6.7327000000000004</v>
      </c>
      <c r="E29" s="1">
        <v>612.67999999999995</v>
      </c>
      <c r="F29" s="5">
        <v>6.42</v>
      </c>
      <c r="G29" s="1">
        <v>584.22</v>
      </c>
      <c r="H29" s="33"/>
    </row>
    <row r="30" spans="1:8" x14ac:dyDescent="0.25">
      <c r="A30" s="1" t="s">
        <v>48</v>
      </c>
      <c r="B30" s="1" t="s">
        <v>49</v>
      </c>
      <c r="C30" s="4">
        <v>10000</v>
      </c>
      <c r="D30" s="5">
        <v>2.1253000000000002</v>
      </c>
      <c r="E30" s="1">
        <v>21253</v>
      </c>
      <c r="F30" s="5">
        <v>1.7</v>
      </c>
      <c r="G30" s="1">
        <v>17000</v>
      </c>
      <c r="H30" s="33"/>
    </row>
    <row r="31" spans="1:8" x14ac:dyDescent="0.25">
      <c r="A31" s="1" t="s">
        <v>168</v>
      </c>
      <c r="B31" s="1" t="s">
        <v>169</v>
      </c>
      <c r="C31" s="4">
        <v>442</v>
      </c>
      <c r="D31" s="5">
        <v>16.868500000000001</v>
      </c>
      <c r="E31" s="1">
        <v>7455.86</v>
      </c>
      <c r="F31" s="5">
        <v>17.809999999999999</v>
      </c>
      <c r="G31" s="1">
        <v>7872.02</v>
      </c>
      <c r="H31" s="33"/>
    </row>
    <row r="32" spans="1:8" x14ac:dyDescent="0.25">
      <c r="A32" s="1" t="s">
        <v>170</v>
      </c>
      <c r="B32" s="1" t="s">
        <v>171</v>
      </c>
      <c r="C32" s="4">
        <v>87</v>
      </c>
      <c r="D32" s="5">
        <v>10.9251</v>
      </c>
      <c r="E32" s="1">
        <v>950.48</v>
      </c>
      <c r="F32" s="5">
        <v>24.64</v>
      </c>
      <c r="G32" s="1">
        <v>2143.6799999999998</v>
      </c>
      <c r="H32" s="33"/>
    </row>
    <row r="33" spans="1:8" x14ac:dyDescent="0.25">
      <c r="A33" s="1" t="s">
        <v>50</v>
      </c>
      <c r="B33" s="1" t="s">
        <v>51</v>
      </c>
      <c r="C33" s="4">
        <f>143+54</f>
        <v>197</v>
      </c>
      <c r="D33" s="5">
        <f>E33/C33</f>
        <v>238.84868020304569</v>
      </c>
      <c r="E33" s="1">
        <f>39212.28+7840.91</f>
        <v>47053.19</v>
      </c>
      <c r="F33" s="5">
        <v>269.06</v>
      </c>
      <c r="G33" s="1">
        <f>C33*F33</f>
        <v>53004.82</v>
      </c>
      <c r="H33" s="33"/>
    </row>
    <row r="34" spans="1:8" x14ac:dyDescent="0.25">
      <c r="A34" s="1" t="s">
        <v>52</v>
      </c>
      <c r="B34" s="1" t="s">
        <v>53</v>
      </c>
      <c r="C34" s="4">
        <v>75000</v>
      </c>
      <c r="D34" s="5">
        <v>0.1368</v>
      </c>
      <c r="E34" s="1">
        <v>10258.379999999999</v>
      </c>
      <c r="F34" s="5">
        <v>0.11</v>
      </c>
      <c r="G34" s="1">
        <v>8250</v>
      </c>
      <c r="H34" s="33"/>
    </row>
    <row r="35" spans="1:8" x14ac:dyDescent="0.25">
      <c r="A35" s="1" t="s">
        <v>54</v>
      </c>
      <c r="B35" s="1" t="s">
        <v>55</v>
      </c>
      <c r="C35" s="4">
        <v>200</v>
      </c>
      <c r="D35" s="5">
        <v>102.18429999999999</v>
      </c>
      <c r="E35" s="1">
        <v>20436.87</v>
      </c>
      <c r="F35" s="5">
        <v>101.93</v>
      </c>
      <c r="G35" s="1">
        <v>20386</v>
      </c>
      <c r="H35" s="33"/>
    </row>
    <row r="36" spans="1:8" x14ac:dyDescent="0.25">
      <c r="A36" s="1" t="s">
        <v>142</v>
      </c>
      <c r="B36" s="1" t="s">
        <v>143</v>
      </c>
      <c r="C36" s="4">
        <v>29178.338</v>
      </c>
      <c r="D36" s="5">
        <v>0.87560000000000004</v>
      </c>
      <c r="E36" s="1">
        <v>25550</v>
      </c>
      <c r="F36" s="5">
        <v>0.81820000000000004</v>
      </c>
      <c r="G36" s="1">
        <v>23873.72</v>
      </c>
      <c r="H36" s="34"/>
    </row>
    <row r="37" spans="1:8" x14ac:dyDescent="0.25">
      <c r="A37" s="1" t="s">
        <v>56</v>
      </c>
      <c r="B37" s="1" t="s">
        <v>57</v>
      </c>
      <c r="C37" s="4">
        <v>18844</v>
      </c>
      <c r="D37" s="5">
        <v>2.7099000000000002</v>
      </c>
      <c r="E37" s="1">
        <v>51064.67</v>
      </c>
      <c r="F37" s="5">
        <v>2.7</v>
      </c>
      <c r="G37" s="1">
        <v>50878.8</v>
      </c>
      <c r="H37" s="33"/>
    </row>
    <row r="38" spans="1:8" x14ac:dyDescent="0.25">
      <c r="A38" s="1" t="s">
        <v>58</v>
      </c>
      <c r="B38" s="1" t="s">
        <v>59</v>
      </c>
      <c r="C38" s="4">
        <v>2500</v>
      </c>
      <c r="D38" s="5">
        <v>9.8870000000000005</v>
      </c>
      <c r="E38" s="1">
        <v>24717.439999999999</v>
      </c>
      <c r="F38" s="5">
        <v>8.8800000000000008</v>
      </c>
      <c r="G38" s="1">
        <v>22200</v>
      </c>
      <c r="H38" s="33"/>
    </row>
    <row r="39" spans="1:8" x14ac:dyDescent="0.25">
      <c r="A39" s="1" t="s">
        <v>60</v>
      </c>
      <c r="B39" s="1" t="s">
        <v>61</v>
      </c>
      <c r="C39" s="4">
        <v>5000</v>
      </c>
      <c r="D39" s="5">
        <v>6.5563000000000002</v>
      </c>
      <c r="E39" s="1">
        <v>32781.660000000003</v>
      </c>
      <c r="F39" s="5">
        <v>7.57</v>
      </c>
      <c r="G39" s="1">
        <v>37850</v>
      </c>
      <c r="H39" s="33"/>
    </row>
    <row r="40" spans="1:8" x14ac:dyDescent="0.25">
      <c r="A40" s="1" t="s">
        <v>144</v>
      </c>
      <c r="B40" s="1" t="s">
        <v>145</v>
      </c>
      <c r="C40" s="4">
        <v>1784.97</v>
      </c>
      <c r="D40" s="5">
        <v>28.6279</v>
      </c>
      <c r="E40" s="1">
        <v>51100</v>
      </c>
      <c r="F40" s="5">
        <v>32.190899999999999</v>
      </c>
      <c r="G40" s="1">
        <v>57459.79</v>
      </c>
      <c r="H40" s="34"/>
    </row>
    <row r="41" spans="1:8" x14ac:dyDescent="0.25">
      <c r="A41" s="1" t="s">
        <v>172</v>
      </c>
      <c r="B41" s="1" t="s">
        <v>173</v>
      </c>
      <c r="C41" s="4">
        <v>558</v>
      </c>
      <c r="D41" s="5">
        <v>12.5335</v>
      </c>
      <c r="E41" s="1">
        <v>6993.71</v>
      </c>
      <c r="F41" s="5">
        <v>17.53</v>
      </c>
      <c r="G41" s="1">
        <v>9781.74</v>
      </c>
      <c r="H41" s="33"/>
    </row>
    <row r="42" spans="1:8" x14ac:dyDescent="0.25">
      <c r="A42" s="1" t="s">
        <v>62</v>
      </c>
      <c r="B42" s="1" t="s">
        <v>63</v>
      </c>
      <c r="C42" s="4">
        <v>40000</v>
      </c>
      <c r="D42" s="5">
        <v>2.0024999999999999</v>
      </c>
      <c r="E42" s="1">
        <v>80100</v>
      </c>
      <c r="F42" s="5">
        <v>1.9650000000000001</v>
      </c>
      <c r="G42" s="1">
        <v>78600</v>
      </c>
      <c r="H42" s="33"/>
    </row>
    <row r="43" spans="1:8" x14ac:dyDescent="0.25">
      <c r="A43" s="1" t="s">
        <v>64</v>
      </c>
      <c r="B43" s="1" t="s">
        <v>65</v>
      </c>
      <c r="C43" s="4">
        <v>7000</v>
      </c>
      <c r="D43" s="5">
        <v>1.5111000000000001</v>
      </c>
      <c r="E43" s="1">
        <v>10577.73</v>
      </c>
      <c r="F43" s="5">
        <v>1.5349999999999999</v>
      </c>
      <c r="G43" s="1">
        <v>10745</v>
      </c>
      <c r="H43" s="33"/>
    </row>
    <row r="44" spans="1:8" x14ac:dyDescent="0.25">
      <c r="A44" s="1" t="s">
        <v>174</v>
      </c>
      <c r="B44" s="1" t="s">
        <v>175</v>
      </c>
      <c r="C44" s="4">
        <v>106</v>
      </c>
      <c r="D44" s="5">
        <v>15.4672</v>
      </c>
      <c r="E44" s="1">
        <v>1639.52</v>
      </c>
      <c r="F44" s="5">
        <v>17.84</v>
      </c>
      <c r="G44" s="1">
        <v>1891.04</v>
      </c>
      <c r="H44" s="33"/>
    </row>
    <row r="45" spans="1:8" x14ac:dyDescent="0.25">
      <c r="A45" s="1" t="s">
        <v>66</v>
      </c>
      <c r="B45" s="1" t="s">
        <v>67</v>
      </c>
      <c r="C45" s="4">
        <v>5000</v>
      </c>
      <c r="D45" s="5">
        <v>2.3521000000000001</v>
      </c>
      <c r="E45" s="1">
        <v>11760.6</v>
      </c>
      <c r="F45" s="5">
        <v>1.9650000000000001</v>
      </c>
      <c r="G45" s="1">
        <v>9825</v>
      </c>
      <c r="H45" s="33"/>
    </row>
    <row r="46" spans="1:8" x14ac:dyDescent="0.25">
      <c r="A46" s="1" t="s">
        <v>176</v>
      </c>
      <c r="B46" s="1" t="s">
        <v>177</v>
      </c>
      <c r="C46" s="4">
        <v>340</v>
      </c>
      <c r="D46" s="5">
        <v>5.0003000000000002</v>
      </c>
      <c r="E46" s="1">
        <v>1700.1</v>
      </c>
      <c r="F46" s="5">
        <v>3.71</v>
      </c>
      <c r="G46" s="1">
        <v>1261.4000000000001</v>
      </c>
      <c r="H46" s="33"/>
    </row>
    <row r="47" spans="1:8" x14ac:dyDescent="0.25">
      <c r="A47" s="1" t="s">
        <v>146</v>
      </c>
      <c r="B47" s="1" t="s">
        <v>147</v>
      </c>
      <c r="C47" s="4">
        <v>15668.5782</v>
      </c>
      <c r="D47" s="5">
        <v>3.2612999999999999</v>
      </c>
      <c r="E47" s="1">
        <v>51100</v>
      </c>
      <c r="F47" s="5">
        <v>2.6873</v>
      </c>
      <c r="G47" s="1">
        <v>42106.17</v>
      </c>
      <c r="H47" s="34"/>
    </row>
    <row r="48" spans="1:8" x14ac:dyDescent="0.25">
      <c r="A48" s="1" t="s">
        <v>68</v>
      </c>
      <c r="B48" s="1" t="s">
        <v>69</v>
      </c>
      <c r="C48" s="4">
        <f>10000+764</f>
        <v>10764</v>
      </c>
      <c r="D48" s="5">
        <f>E48/C48</f>
        <v>3.2904180602006687</v>
      </c>
      <c r="E48" s="1">
        <f>32923.5+2494.56</f>
        <v>35418.06</v>
      </c>
      <c r="F48" s="5">
        <v>2.58</v>
      </c>
      <c r="G48" s="1">
        <f>C48*F48</f>
        <v>27771.119999999999</v>
      </c>
      <c r="H48" s="33"/>
    </row>
    <row r="49" spans="1:8" x14ac:dyDescent="0.25">
      <c r="A49" s="1" t="s">
        <v>178</v>
      </c>
      <c r="B49" s="1" t="s">
        <v>179</v>
      </c>
      <c r="C49" s="4">
        <v>667</v>
      </c>
      <c r="D49" s="5">
        <v>2.1524999999999999</v>
      </c>
      <c r="E49" s="1">
        <v>1435.72</v>
      </c>
      <c r="F49" s="5">
        <v>3.31</v>
      </c>
      <c r="G49" s="1">
        <v>2207.77</v>
      </c>
      <c r="H49" s="33"/>
    </row>
    <row r="50" spans="1:8" x14ac:dyDescent="0.25">
      <c r="A50" s="1" t="s">
        <v>180</v>
      </c>
      <c r="B50" s="1" t="s">
        <v>181</v>
      </c>
      <c r="C50" s="4">
        <v>47</v>
      </c>
      <c r="D50" s="5">
        <v>11.73</v>
      </c>
      <c r="E50" s="1">
        <v>551.30999999999995</v>
      </c>
      <c r="F50" s="5">
        <v>11.51</v>
      </c>
      <c r="G50" s="1">
        <v>540.97</v>
      </c>
      <c r="H50" s="33"/>
    </row>
    <row r="51" spans="1:8" x14ac:dyDescent="0.25">
      <c r="A51" s="1" t="s">
        <v>70</v>
      </c>
      <c r="B51" s="1" t="s">
        <v>71</v>
      </c>
      <c r="C51" s="4">
        <v>1000</v>
      </c>
      <c r="D51" s="5">
        <v>10.538</v>
      </c>
      <c r="E51" s="1">
        <v>10538.03</v>
      </c>
      <c r="F51" s="5">
        <v>10.46</v>
      </c>
      <c r="G51" s="1">
        <v>10460</v>
      </c>
      <c r="H51" s="33"/>
    </row>
    <row r="52" spans="1:8" x14ac:dyDescent="0.25">
      <c r="A52" s="1" t="s">
        <v>182</v>
      </c>
      <c r="B52" s="1" t="s">
        <v>183</v>
      </c>
      <c r="C52" s="4">
        <v>50</v>
      </c>
      <c r="D52" s="5">
        <v>47.196800000000003</v>
      </c>
      <c r="E52" s="1">
        <v>2359.84</v>
      </c>
      <c r="F52" s="5">
        <v>38.46</v>
      </c>
      <c r="G52" s="1">
        <v>1923</v>
      </c>
      <c r="H52" s="33"/>
    </row>
    <row r="53" spans="1:8" x14ac:dyDescent="0.25">
      <c r="A53" s="1" t="s">
        <v>184</v>
      </c>
      <c r="B53" s="1" t="s">
        <v>185</v>
      </c>
      <c r="C53" s="4">
        <v>123</v>
      </c>
      <c r="D53" s="5">
        <v>32.872599999999998</v>
      </c>
      <c r="E53" s="1">
        <v>4043.33</v>
      </c>
      <c r="F53" s="5">
        <v>31.77</v>
      </c>
      <c r="G53" s="1">
        <v>3907.71</v>
      </c>
      <c r="H53" s="33"/>
    </row>
    <row r="54" spans="1:8" x14ac:dyDescent="0.25">
      <c r="A54" s="1" t="s">
        <v>72</v>
      </c>
      <c r="B54" s="1" t="s">
        <v>73</v>
      </c>
      <c r="C54" s="4">
        <f>2765+507</f>
        <v>3272</v>
      </c>
      <c r="D54" s="5">
        <f>E54/C54</f>
        <v>11.025268948655256</v>
      </c>
      <c r="E54" s="1">
        <f>30266.61+5808.07</f>
        <v>36074.68</v>
      </c>
      <c r="F54" s="5">
        <v>9.11</v>
      </c>
      <c r="G54" s="1">
        <f>C54*F54</f>
        <v>29807.919999999998</v>
      </c>
      <c r="H54" s="33"/>
    </row>
    <row r="55" spans="1:8" x14ac:dyDescent="0.25">
      <c r="A55" s="1" t="s">
        <v>186</v>
      </c>
      <c r="B55" s="1" t="s">
        <v>187</v>
      </c>
      <c r="C55" s="4">
        <v>987</v>
      </c>
      <c r="D55" s="5">
        <v>4.3973000000000004</v>
      </c>
      <c r="E55" s="1">
        <v>4340.1000000000004</v>
      </c>
      <c r="F55" s="5">
        <v>3.79</v>
      </c>
      <c r="G55" s="1">
        <v>3740.73</v>
      </c>
      <c r="H55" s="33"/>
    </row>
    <row r="56" spans="1:8" x14ac:dyDescent="0.25">
      <c r="A56" s="1" t="s">
        <v>148</v>
      </c>
      <c r="B56" s="1" t="s">
        <v>149</v>
      </c>
      <c r="C56" s="4">
        <v>44345</v>
      </c>
      <c r="D56" s="5">
        <v>1.0730999999999999</v>
      </c>
      <c r="E56" s="1">
        <v>47588</v>
      </c>
      <c r="F56" s="5">
        <v>1.6069</v>
      </c>
      <c r="G56" s="1">
        <v>71257.98</v>
      </c>
      <c r="H56" s="34"/>
    </row>
    <row r="57" spans="1:8" x14ac:dyDescent="0.25">
      <c r="A57" s="1" t="s">
        <v>74</v>
      </c>
      <c r="B57" s="1" t="s">
        <v>75</v>
      </c>
      <c r="C57" s="4">
        <v>150</v>
      </c>
      <c r="D57" s="5">
        <v>100.0733</v>
      </c>
      <c r="E57" s="1">
        <v>15011</v>
      </c>
      <c r="F57" s="5">
        <v>97.15</v>
      </c>
      <c r="G57" s="1">
        <v>14572.5</v>
      </c>
      <c r="H57" s="34"/>
    </row>
    <row r="58" spans="1:8" x14ac:dyDescent="0.25">
      <c r="A58" s="1" t="s">
        <v>76</v>
      </c>
      <c r="B58" s="1" t="s">
        <v>77</v>
      </c>
      <c r="C58" s="4">
        <f>5000+61</f>
        <v>5061</v>
      </c>
      <c r="D58" s="5">
        <f>E58/C58</f>
        <v>14.358871764473424</v>
      </c>
      <c r="E58" s="1">
        <f>69668.05+3002.2</f>
        <v>72670.25</v>
      </c>
      <c r="F58" s="5">
        <v>12.92</v>
      </c>
      <c r="G58" s="1">
        <f>C58*F58</f>
        <v>65388.12</v>
      </c>
      <c r="H58" s="33"/>
    </row>
    <row r="59" spans="1:8" x14ac:dyDescent="0.25">
      <c r="A59" s="1" t="s">
        <v>78</v>
      </c>
      <c r="B59" s="1" t="s">
        <v>79</v>
      </c>
      <c r="C59" s="4">
        <v>625</v>
      </c>
      <c r="D59" s="5">
        <v>0</v>
      </c>
      <c r="E59" s="1">
        <v>0</v>
      </c>
      <c r="F59" s="5">
        <v>0.73499999999999999</v>
      </c>
      <c r="G59" s="1">
        <v>459.38</v>
      </c>
      <c r="H59" s="33"/>
    </row>
    <row r="60" spans="1:8" x14ac:dyDescent="0.25">
      <c r="A60" s="1" t="s">
        <v>150</v>
      </c>
      <c r="B60" s="1" t="s">
        <v>151</v>
      </c>
      <c r="C60" s="4">
        <v>59210</v>
      </c>
      <c r="D60" s="5">
        <v>0.84450000000000003</v>
      </c>
      <c r="E60" s="1">
        <v>50000</v>
      </c>
      <c r="F60" s="5">
        <v>2.2768999999999999</v>
      </c>
      <c r="G60" s="1">
        <v>134815.25</v>
      </c>
      <c r="H60" s="34"/>
    </row>
    <row r="61" spans="1:8" x14ac:dyDescent="0.25">
      <c r="A61" s="1" t="s">
        <v>80</v>
      </c>
      <c r="B61" s="1" t="s">
        <v>81</v>
      </c>
      <c r="C61" s="4">
        <v>35000</v>
      </c>
      <c r="D61" s="5">
        <v>1.4766999999999999</v>
      </c>
      <c r="E61" s="1">
        <v>51684.99</v>
      </c>
      <c r="F61" s="5">
        <v>1.34</v>
      </c>
      <c r="G61" s="1">
        <v>46900</v>
      </c>
      <c r="H61" s="33"/>
    </row>
    <row r="62" spans="1:8" x14ac:dyDescent="0.25">
      <c r="A62" s="1" t="s">
        <v>82</v>
      </c>
      <c r="B62" s="1" t="s">
        <v>83</v>
      </c>
      <c r="C62" s="4">
        <v>33724</v>
      </c>
      <c r="D62" s="5">
        <v>0</v>
      </c>
      <c r="E62" s="1">
        <v>0</v>
      </c>
      <c r="F62" s="5">
        <v>5.0000000000000001E-3</v>
      </c>
      <c r="G62" s="1">
        <v>168.62</v>
      </c>
      <c r="H62" s="33"/>
    </row>
    <row r="63" spans="1:8" x14ac:dyDescent="0.25">
      <c r="A63" s="1" t="s">
        <v>84</v>
      </c>
      <c r="B63" s="1" t="s">
        <v>85</v>
      </c>
      <c r="C63" s="4">
        <f>8000+339</f>
        <v>8339</v>
      </c>
      <c r="D63" s="5">
        <f>E63/C63</f>
        <v>2.4451133229404003</v>
      </c>
      <c r="E63" s="1">
        <f>19686.84+702.96</f>
        <v>20389.8</v>
      </c>
      <c r="F63" s="5">
        <v>1.9750000000000001</v>
      </c>
      <c r="G63" s="1">
        <f>C63*F63</f>
        <v>16469.525000000001</v>
      </c>
      <c r="H63" s="34"/>
    </row>
    <row r="64" spans="1:8" x14ac:dyDescent="0.25">
      <c r="A64" s="1" t="s">
        <v>188</v>
      </c>
      <c r="B64" s="1" t="s">
        <v>189</v>
      </c>
      <c r="C64" s="4">
        <v>768</v>
      </c>
      <c r="D64" s="5">
        <v>2.8176999999999999</v>
      </c>
      <c r="E64" s="1">
        <v>2164.02</v>
      </c>
      <c r="F64" s="5">
        <v>3.25</v>
      </c>
      <c r="G64" s="1">
        <v>2496</v>
      </c>
      <c r="H64" s="33"/>
    </row>
    <row r="65" spans="1:8" x14ac:dyDescent="0.25">
      <c r="A65" s="1" t="s">
        <v>86</v>
      </c>
      <c r="B65" s="1" t="s">
        <v>87</v>
      </c>
      <c r="C65" s="4">
        <f>681+85</f>
        <v>766</v>
      </c>
      <c r="D65" s="5">
        <f>E65/C65</f>
        <v>94.240352480417755</v>
      </c>
      <c r="E65" s="1">
        <f>63522.45+8665.66</f>
        <v>72188.11</v>
      </c>
      <c r="F65" s="5">
        <v>164.51</v>
      </c>
      <c r="G65" s="1">
        <f>C65*F65</f>
        <v>126014.65999999999</v>
      </c>
      <c r="H65" s="33"/>
    </row>
    <row r="66" spans="1:8" x14ac:dyDescent="0.25">
      <c r="A66" s="1" t="s">
        <v>190</v>
      </c>
      <c r="B66" s="1" t="s">
        <v>191</v>
      </c>
      <c r="C66" s="4">
        <v>327</v>
      </c>
      <c r="D66" s="5">
        <v>3.6206999999999998</v>
      </c>
      <c r="E66" s="1">
        <v>1183.96</v>
      </c>
      <c r="F66" s="5">
        <v>4.24</v>
      </c>
      <c r="G66" s="1">
        <v>1386.48</v>
      </c>
      <c r="H66" s="33"/>
    </row>
    <row r="67" spans="1:8" x14ac:dyDescent="0.25">
      <c r="A67" s="1" t="s">
        <v>88</v>
      </c>
      <c r="B67" s="1" t="s">
        <v>89</v>
      </c>
      <c r="C67" s="4">
        <f>2175+657</f>
        <v>2832</v>
      </c>
      <c r="D67" s="5">
        <f>E67/C67</f>
        <v>24.971038135593218</v>
      </c>
      <c r="E67" s="1">
        <f>51082.79+19635.19</f>
        <v>70717.98</v>
      </c>
      <c r="F67" s="5">
        <v>27.39</v>
      </c>
      <c r="G67" s="1">
        <f>C67*F67</f>
        <v>77568.479999999996</v>
      </c>
      <c r="H67" s="33"/>
    </row>
    <row r="68" spans="1:8" x14ac:dyDescent="0.25">
      <c r="A68" s="1" t="s">
        <v>90</v>
      </c>
      <c r="B68" s="1" t="s">
        <v>91</v>
      </c>
      <c r="C68" s="4">
        <v>300</v>
      </c>
      <c r="D68" s="5">
        <v>100</v>
      </c>
      <c r="E68" s="1">
        <v>30000</v>
      </c>
      <c r="F68" s="5">
        <v>100.5</v>
      </c>
      <c r="G68" s="1">
        <v>30150</v>
      </c>
      <c r="H68" s="33"/>
    </row>
    <row r="69" spans="1:8" x14ac:dyDescent="0.25">
      <c r="A69" s="1" t="s">
        <v>92</v>
      </c>
      <c r="B69" s="1" t="s">
        <v>93</v>
      </c>
      <c r="C69" s="4">
        <f>1891+282</f>
        <v>2173</v>
      </c>
      <c r="D69" s="5">
        <f>E69/C69</f>
        <v>21.722742751955824</v>
      </c>
      <c r="E69" s="1">
        <f>39941.8+7261.72</f>
        <v>47203.520000000004</v>
      </c>
      <c r="F69" s="5">
        <v>20.89</v>
      </c>
      <c r="G69" s="1">
        <f>C69*F69</f>
        <v>45393.97</v>
      </c>
      <c r="H69" s="33"/>
    </row>
    <row r="70" spans="1:8" x14ac:dyDescent="0.25">
      <c r="A70" s="1" t="s">
        <v>192</v>
      </c>
      <c r="B70" s="1" t="s">
        <v>193</v>
      </c>
      <c r="C70" s="4">
        <v>385</v>
      </c>
      <c r="D70" s="5">
        <v>2.9182000000000001</v>
      </c>
      <c r="E70" s="1">
        <v>1123.49</v>
      </c>
      <c r="F70" s="5">
        <v>1.825</v>
      </c>
      <c r="G70" s="1">
        <v>702.63</v>
      </c>
      <c r="H70" s="33"/>
    </row>
    <row r="71" spans="1:8" x14ac:dyDescent="0.25">
      <c r="A71" s="1" t="s">
        <v>194</v>
      </c>
      <c r="B71" s="1" t="s">
        <v>195</v>
      </c>
      <c r="C71" s="4">
        <v>117</v>
      </c>
      <c r="D71" s="5">
        <v>6.4398999999999997</v>
      </c>
      <c r="E71" s="1">
        <v>753.47</v>
      </c>
      <c r="F71" s="5">
        <v>7.38</v>
      </c>
      <c r="G71" s="1">
        <v>863.46</v>
      </c>
      <c r="H71" s="33"/>
    </row>
    <row r="72" spans="1:8" x14ac:dyDescent="0.25">
      <c r="A72" s="1" t="s">
        <v>94</v>
      </c>
      <c r="B72" s="1" t="s">
        <v>95</v>
      </c>
      <c r="C72" s="4">
        <v>5000</v>
      </c>
      <c r="D72" s="5">
        <v>2.3521000000000001</v>
      </c>
      <c r="E72" s="1">
        <v>11760.3</v>
      </c>
      <c r="F72" s="5">
        <v>1.21</v>
      </c>
      <c r="G72" s="1">
        <v>6050</v>
      </c>
      <c r="H72" s="33"/>
    </row>
    <row r="73" spans="1:8" x14ac:dyDescent="0.25">
      <c r="A73" s="1" t="s">
        <v>96</v>
      </c>
      <c r="B73" s="1" t="s">
        <v>97</v>
      </c>
      <c r="C73" s="4">
        <f>1500+359</f>
        <v>1859</v>
      </c>
      <c r="D73" s="5">
        <f>E73/C73</f>
        <v>13.932824098977944</v>
      </c>
      <c r="E73" s="1">
        <f>20676.73+5224.39</f>
        <v>25901.119999999999</v>
      </c>
      <c r="F73" s="5">
        <v>15.77</v>
      </c>
      <c r="G73" s="1">
        <f>C73*F73</f>
        <v>29316.43</v>
      </c>
      <c r="H73" s="33"/>
    </row>
    <row r="74" spans="1:8" x14ac:dyDescent="0.25">
      <c r="A74" s="1" t="s">
        <v>98</v>
      </c>
      <c r="B74" s="1" t="s">
        <v>99</v>
      </c>
      <c r="C74" s="4">
        <f>17500+1222</f>
        <v>18722</v>
      </c>
      <c r="D74" s="5">
        <f>E74/C74</f>
        <v>1.1837122102339492</v>
      </c>
      <c r="E74" s="1">
        <f>20733.23+1428.23</f>
        <v>22161.46</v>
      </c>
      <c r="F74" s="5">
        <v>1.17</v>
      </c>
      <c r="G74" s="1">
        <f>C74*F74</f>
        <v>21904.739999999998</v>
      </c>
      <c r="H74" s="33"/>
    </row>
    <row r="75" spans="1:8" x14ac:dyDescent="0.25">
      <c r="A75" s="1" t="s">
        <v>196</v>
      </c>
      <c r="B75" s="1" t="s">
        <v>197</v>
      </c>
      <c r="C75" s="4">
        <v>32</v>
      </c>
      <c r="D75" s="5">
        <v>34.638800000000003</v>
      </c>
      <c r="E75" s="1">
        <v>1108.44</v>
      </c>
      <c r="F75" s="5">
        <v>28.88</v>
      </c>
      <c r="G75" s="1">
        <v>924.16</v>
      </c>
      <c r="H75" s="33"/>
    </row>
    <row r="76" spans="1:8" x14ac:dyDescent="0.25">
      <c r="A76" s="1" t="s">
        <v>100</v>
      </c>
      <c r="B76" s="1" t="s">
        <v>101</v>
      </c>
      <c r="C76" s="4">
        <v>4000</v>
      </c>
      <c r="D76" s="5">
        <v>2.6368</v>
      </c>
      <c r="E76" s="1">
        <v>10547.4</v>
      </c>
      <c r="F76" s="5">
        <v>2.13</v>
      </c>
      <c r="G76" s="1">
        <v>8520</v>
      </c>
      <c r="H76" s="33"/>
    </row>
    <row r="77" spans="1:8" x14ac:dyDescent="0.25">
      <c r="A77" s="1" t="s">
        <v>102</v>
      </c>
      <c r="B77" s="1" t="s">
        <v>103</v>
      </c>
      <c r="C77" s="4">
        <v>12500</v>
      </c>
      <c r="D77" s="5">
        <v>1.6</v>
      </c>
      <c r="E77" s="1">
        <v>20000</v>
      </c>
      <c r="F77" s="5">
        <v>1.375</v>
      </c>
      <c r="G77" s="1">
        <v>17187.5</v>
      </c>
      <c r="H77" s="33"/>
    </row>
    <row r="78" spans="1:8" x14ac:dyDescent="0.25">
      <c r="A78" s="1" t="s">
        <v>104</v>
      </c>
      <c r="B78" s="1" t="s">
        <v>105</v>
      </c>
      <c r="C78" s="4">
        <v>5659</v>
      </c>
      <c r="D78" s="5">
        <v>1.405</v>
      </c>
      <c r="E78" s="1">
        <v>7950.89</v>
      </c>
      <c r="F78" s="5">
        <v>1.79</v>
      </c>
      <c r="G78" s="1">
        <v>10129.61</v>
      </c>
      <c r="H78" s="33"/>
    </row>
    <row r="79" spans="1:8" x14ac:dyDescent="0.25">
      <c r="A79" s="1" t="s">
        <v>198</v>
      </c>
      <c r="B79" s="1" t="s">
        <v>199</v>
      </c>
      <c r="C79" s="4">
        <v>70</v>
      </c>
      <c r="D79" s="5">
        <v>66.942899999999995</v>
      </c>
      <c r="E79" s="1">
        <v>4686</v>
      </c>
      <c r="F79" s="5">
        <v>102.7</v>
      </c>
      <c r="G79" s="1">
        <v>7189</v>
      </c>
      <c r="H79" s="33"/>
    </row>
    <row r="80" spans="1:8" x14ac:dyDescent="0.25">
      <c r="A80" s="1" t="s">
        <v>106</v>
      </c>
      <c r="B80" s="1" t="s">
        <v>107</v>
      </c>
      <c r="C80" s="4">
        <f>400+27</f>
        <v>427</v>
      </c>
      <c r="D80" s="5">
        <f>E80/C80</f>
        <v>29.040608899297425</v>
      </c>
      <c r="E80" s="1">
        <f>11635.24+765.1</f>
        <v>12400.34</v>
      </c>
      <c r="F80" s="5">
        <v>30.69</v>
      </c>
      <c r="G80" s="1">
        <f>C80*F80</f>
        <v>13104.630000000001</v>
      </c>
      <c r="H80" s="33"/>
    </row>
    <row r="81" spans="1:8" x14ac:dyDescent="0.25">
      <c r="A81" s="1" t="s">
        <v>108</v>
      </c>
      <c r="B81" s="1" t="s">
        <v>109</v>
      </c>
      <c r="C81" s="4">
        <f>8000+1849</f>
        <v>9849</v>
      </c>
      <c r="D81" s="5">
        <f>E81/C81</f>
        <v>3.4066016854502998</v>
      </c>
      <c r="E81" s="1">
        <f>27685.63+5865.99</f>
        <v>33551.620000000003</v>
      </c>
      <c r="F81" s="5">
        <v>3.94</v>
      </c>
      <c r="G81" s="1">
        <f>C81*F81</f>
        <v>38805.06</v>
      </c>
      <c r="H81" s="33"/>
    </row>
    <row r="82" spans="1:8" x14ac:dyDescent="0.25">
      <c r="A82" s="1" t="s">
        <v>200</v>
      </c>
      <c r="B82" s="1" t="s">
        <v>201</v>
      </c>
      <c r="C82" s="4">
        <v>158</v>
      </c>
      <c r="D82" s="5">
        <v>3.8677999999999999</v>
      </c>
      <c r="E82" s="1">
        <v>611.11</v>
      </c>
      <c r="F82" s="5">
        <v>5.0199999999999996</v>
      </c>
      <c r="G82" s="1">
        <v>793.16</v>
      </c>
      <c r="H82" s="33"/>
    </row>
    <row r="83" spans="1:8" x14ac:dyDescent="0.25">
      <c r="A83" s="1" t="s">
        <v>110</v>
      </c>
      <c r="B83" s="1" t="s">
        <v>111</v>
      </c>
      <c r="C83" s="4">
        <f>1300+203</f>
        <v>1503</v>
      </c>
      <c r="D83" s="5">
        <f>E83/C83</f>
        <v>20.971969394544246</v>
      </c>
      <c r="E83" s="1">
        <f>25886.4+5634.47</f>
        <v>31520.870000000003</v>
      </c>
      <c r="F83" s="5">
        <v>33.01</v>
      </c>
      <c r="G83" s="1">
        <f>C83*F83</f>
        <v>49614.03</v>
      </c>
      <c r="H83" s="33"/>
    </row>
    <row r="84" spans="1:8" x14ac:dyDescent="0.25">
      <c r="A84" s="1" t="s">
        <v>112</v>
      </c>
      <c r="B84" s="1" t="s">
        <v>113</v>
      </c>
      <c r="C84" s="4">
        <f>9338+915</f>
        <v>10253</v>
      </c>
      <c r="D84" s="5">
        <f>E84/C84</f>
        <v>4.3484082707500251</v>
      </c>
      <c r="E84" s="1">
        <f>39358.87+5225.36</f>
        <v>44584.23</v>
      </c>
      <c r="F84" s="5">
        <v>7.42</v>
      </c>
      <c r="G84" s="1">
        <f>C84*F84</f>
        <v>76077.259999999995</v>
      </c>
      <c r="H84" s="33"/>
    </row>
    <row r="85" spans="1:8" x14ac:dyDescent="0.25">
      <c r="A85" s="1" t="s">
        <v>202</v>
      </c>
      <c r="B85" s="1" t="s">
        <v>203</v>
      </c>
      <c r="C85" s="4">
        <v>41</v>
      </c>
      <c r="D85" s="5">
        <v>60.9315</v>
      </c>
      <c r="E85" s="1">
        <v>2498.19</v>
      </c>
      <c r="F85" s="5">
        <v>59.46</v>
      </c>
      <c r="G85" s="1">
        <v>2437.86</v>
      </c>
      <c r="H85" s="33"/>
    </row>
    <row r="86" spans="1:8" x14ac:dyDescent="0.25">
      <c r="A86" s="1" t="s">
        <v>204</v>
      </c>
      <c r="B86" s="1" t="s">
        <v>205</v>
      </c>
      <c r="C86" s="4">
        <v>82</v>
      </c>
      <c r="D86" s="5">
        <v>11.5985</v>
      </c>
      <c r="E86" s="1">
        <v>951.08</v>
      </c>
      <c r="F86" s="5">
        <v>8.49</v>
      </c>
      <c r="G86" s="1">
        <v>696.18</v>
      </c>
      <c r="H86" s="33"/>
    </row>
    <row r="87" spans="1:8" x14ac:dyDescent="0.25">
      <c r="A87" s="1" t="s">
        <v>114</v>
      </c>
      <c r="B87" s="1" t="s">
        <v>115</v>
      </c>
      <c r="C87" s="4">
        <f>2000+423</f>
        <v>2423</v>
      </c>
      <c r="D87" s="5">
        <f>E87/C87</f>
        <v>8.3106768468840286</v>
      </c>
      <c r="E87" s="1">
        <f>15712.72+4424.05</f>
        <v>20136.77</v>
      </c>
      <c r="F87" s="5">
        <v>10.98</v>
      </c>
      <c r="G87" s="1">
        <f>C87*F87</f>
        <v>26604.54</v>
      </c>
      <c r="H87" s="33"/>
    </row>
    <row r="88" spans="1:8" x14ac:dyDescent="0.25">
      <c r="A88" s="1" t="s">
        <v>116</v>
      </c>
      <c r="B88" s="1" t="s">
        <v>117</v>
      </c>
      <c r="C88" s="4">
        <v>200</v>
      </c>
      <c r="D88" s="5">
        <v>102.73090000000001</v>
      </c>
      <c r="E88" s="1">
        <v>20546.189999999999</v>
      </c>
      <c r="F88" s="5">
        <v>99</v>
      </c>
      <c r="G88" s="1">
        <v>19800</v>
      </c>
      <c r="H88" s="33"/>
    </row>
    <row r="89" spans="1:8" x14ac:dyDescent="0.25">
      <c r="A89" s="1" t="s">
        <v>206</v>
      </c>
      <c r="B89" s="1" t="s">
        <v>207</v>
      </c>
      <c r="C89" s="4">
        <v>24</v>
      </c>
      <c r="D89" s="5">
        <v>21.265799999999999</v>
      </c>
      <c r="E89" s="1">
        <v>510.38</v>
      </c>
      <c r="F89" s="5">
        <v>16.61</v>
      </c>
      <c r="G89" s="1">
        <v>398.64</v>
      </c>
      <c r="H89" s="33"/>
    </row>
    <row r="90" spans="1:8" x14ac:dyDescent="0.25">
      <c r="A90" s="1" t="s">
        <v>118</v>
      </c>
      <c r="B90" s="1" t="s">
        <v>119</v>
      </c>
      <c r="C90" s="4">
        <v>4364</v>
      </c>
      <c r="D90" s="5">
        <v>0.80279999999999996</v>
      </c>
      <c r="E90" s="1">
        <v>3503.52</v>
      </c>
      <c r="F90" s="5">
        <v>1.0649999999999999</v>
      </c>
      <c r="G90" s="1">
        <v>4647.66</v>
      </c>
      <c r="H90" s="33"/>
    </row>
    <row r="91" spans="1:8" x14ac:dyDescent="0.25">
      <c r="A91" s="1" t="s">
        <v>208</v>
      </c>
      <c r="B91" s="1" t="s">
        <v>209</v>
      </c>
      <c r="C91" s="4">
        <v>173</v>
      </c>
      <c r="D91" s="5">
        <v>9.5686</v>
      </c>
      <c r="E91" s="1">
        <v>1655.36</v>
      </c>
      <c r="F91" s="5">
        <v>14.38</v>
      </c>
      <c r="G91" s="1">
        <v>2487.7399999999998</v>
      </c>
      <c r="H91" s="34"/>
    </row>
    <row r="92" spans="1:8" x14ac:dyDescent="0.25">
      <c r="A92" s="1" t="s">
        <v>120</v>
      </c>
      <c r="B92" s="1" t="s">
        <v>121</v>
      </c>
      <c r="C92" s="4">
        <f>6000+536</f>
        <v>6536</v>
      </c>
      <c r="D92" s="5">
        <f>E92/C92</f>
        <v>3.8467350061199514</v>
      </c>
      <c r="E92" s="1">
        <f>23196.79+1945.47</f>
        <v>25142.260000000002</v>
      </c>
      <c r="F92" s="5">
        <v>4.79</v>
      </c>
      <c r="G92" s="1">
        <f>C92*F92</f>
        <v>31307.439999999999</v>
      </c>
      <c r="H92" s="34"/>
    </row>
    <row r="93" spans="1:8" x14ac:dyDescent="0.25">
      <c r="A93" s="1" t="s">
        <v>122</v>
      </c>
      <c r="B93" s="1" t="s">
        <v>123</v>
      </c>
      <c r="C93" s="4">
        <v>4364</v>
      </c>
      <c r="D93" s="5">
        <v>3.7176</v>
      </c>
      <c r="E93" s="1">
        <v>16223.48</v>
      </c>
      <c r="F93" s="5">
        <v>4.5199999999999996</v>
      </c>
      <c r="G93" s="1">
        <v>19725.28</v>
      </c>
      <c r="H93" s="33"/>
    </row>
    <row r="94" spans="1:8" x14ac:dyDescent="0.25">
      <c r="A94" s="1" t="s">
        <v>210</v>
      </c>
      <c r="B94" s="1" t="s">
        <v>211</v>
      </c>
      <c r="C94" s="4">
        <v>1045</v>
      </c>
      <c r="D94" s="5">
        <v>3.2873999999999999</v>
      </c>
      <c r="E94" s="1">
        <v>3435.3</v>
      </c>
      <c r="F94" s="5">
        <v>3.85</v>
      </c>
      <c r="G94" s="1">
        <v>4023.25</v>
      </c>
      <c r="H94" s="34"/>
    </row>
    <row r="95" spans="1:8" x14ac:dyDescent="0.25">
      <c r="A95" s="1" t="s">
        <v>124</v>
      </c>
      <c r="B95" s="1" t="s">
        <v>125</v>
      </c>
      <c r="C95" s="4">
        <v>2000</v>
      </c>
      <c r="D95" s="5">
        <v>6.1734999999999998</v>
      </c>
      <c r="E95" s="1">
        <v>12346.98</v>
      </c>
      <c r="F95" s="5">
        <v>5.97</v>
      </c>
      <c r="G95" s="1">
        <v>11940</v>
      </c>
      <c r="H95" s="33"/>
    </row>
    <row r="96" spans="1:8" x14ac:dyDescent="0.25">
      <c r="A96" s="1" t="s">
        <v>126</v>
      </c>
      <c r="B96" s="1" t="s">
        <v>127</v>
      </c>
      <c r="C96" s="4">
        <f>4000+485</f>
        <v>4485</v>
      </c>
      <c r="D96" s="5">
        <f>E96/C96</f>
        <v>4.0154470457079148</v>
      </c>
      <c r="E96" s="1">
        <f>15966.36+2042.92</f>
        <v>18009.28</v>
      </c>
      <c r="F96" s="5">
        <v>3.27</v>
      </c>
      <c r="G96" s="1">
        <f>C96*F96</f>
        <v>14665.95</v>
      </c>
      <c r="H96" s="33"/>
    </row>
    <row r="97" spans="1:8" x14ac:dyDescent="0.25">
      <c r="A97" s="1" t="s">
        <v>128</v>
      </c>
      <c r="B97" s="1" t="s">
        <v>129</v>
      </c>
      <c r="C97" s="4">
        <v>1540</v>
      </c>
      <c r="D97" s="5">
        <v>4.7990000000000004</v>
      </c>
      <c r="E97" s="1">
        <v>7390.4</v>
      </c>
      <c r="F97" s="5">
        <v>3.76</v>
      </c>
      <c r="G97" s="1">
        <v>5790.4</v>
      </c>
      <c r="H97" s="33"/>
    </row>
    <row r="98" spans="1:8" x14ac:dyDescent="0.25">
      <c r="A98" s="1" t="s">
        <v>152</v>
      </c>
      <c r="B98" s="1" t="s">
        <v>153</v>
      </c>
      <c r="C98" s="4">
        <v>35189.35</v>
      </c>
      <c r="D98" s="5">
        <v>1.8182</v>
      </c>
      <c r="E98" s="1">
        <v>63981.52</v>
      </c>
      <c r="F98" s="5">
        <v>2.2614999999999998</v>
      </c>
      <c r="G98" s="1">
        <v>79580.72</v>
      </c>
      <c r="H98" s="34"/>
    </row>
    <row r="99" spans="1:8" x14ac:dyDescent="0.25">
      <c r="A99" s="1" t="s">
        <v>130</v>
      </c>
      <c r="B99" s="1" t="s">
        <v>131</v>
      </c>
      <c r="C99" s="4">
        <v>4000</v>
      </c>
      <c r="D99" s="5">
        <v>3.3822000000000001</v>
      </c>
      <c r="E99" s="1">
        <v>13528.96</v>
      </c>
      <c r="F99" s="5">
        <v>2.21</v>
      </c>
      <c r="G99" s="1">
        <v>8840</v>
      </c>
      <c r="H99" s="33"/>
    </row>
    <row r="100" spans="1:8" x14ac:dyDescent="0.25">
      <c r="A100" s="1" t="s">
        <v>132</v>
      </c>
      <c r="B100" s="1" t="s">
        <v>133</v>
      </c>
      <c r="C100" s="4">
        <f>4000+554</f>
        <v>4554</v>
      </c>
      <c r="D100" s="5">
        <f>E100/C100</f>
        <v>25.649650856389989</v>
      </c>
      <c r="E100" s="1">
        <f>101497.77+15310.74</f>
        <v>116808.51000000001</v>
      </c>
      <c r="F100" s="5">
        <v>19.5</v>
      </c>
      <c r="G100" s="1">
        <f>C100*F100</f>
        <v>88803</v>
      </c>
      <c r="H100" s="33"/>
    </row>
    <row r="101" spans="1:8" x14ac:dyDescent="0.25">
      <c r="A101" s="1" t="s">
        <v>134</v>
      </c>
      <c r="B101" s="1" t="s">
        <v>135</v>
      </c>
      <c r="C101" s="4">
        <f>2834+538</f>
        <v>3372</v>
      </c>
      <c r="D101" s="5">
        <f>E101/C101</f>
        <v>24.337138196915777</v>
      </c>
      <c r="E101" s="1">
        <f>67668.64+14396.19</f>
        <v>82064.83</v>
      </c>
      <c r="F101" s="5">
        <v>31.84</v>
      </c>
      <c r="G101" s="1">
        <f>C101*F101</f>
        <v>107364.48</v>
      </c>
      <c r="H101" s="33"/>
    </row>
    <row r="102" spans="1:8" x14ac:dyDescent="0.25">
      <c r="A102" s="1" t="s">
        <v>136</v>
      </c>
      <c r="B102" s="1" t="s">
        <v>137</v>
      </c>
      <c r="C102" s="4">
        <f>550+313</f>
        <v>863</v>
      </c>
      <c r="D102" s="5">
        <f>E102/C102</f>
        <v>42.543487833140205</v>
      </c>
      <c r="E102" s="1">
        <f>26214.5+10500.53</f>
        <v>36715.03</v>
      </c>
      <c r="F102" s="5">
        <v>41.91</v>
      </c>
      <c r="G102" s="1">
        <f>C102*F102</f>
        <v>36168.329999999994</v>
      </c>
      <c r="H102" s="33"/>
    </row>
    <row r="103" spans="1:8" x14ac:dyDescent="0.25">
      <c r="A103" s="1" t="s">
        <v>138</v>
      </c>
      <c r="B103" s="1" t="s">
        <v>139</v>
      </c>
      <c r="C103" s="4">
        <v>5500</v>
      </c>
      <c r="D103" s="5">
        <v>2.6124000000000001</v>
      </c>
      <c r="E103" s="1">
        <v>14368.09</v>
      </c>
      <c r="F103" s="5">
        <v>4.84</v>
      </c>
      <c r="G103" s="1">
        <v>26620</v>
      </c>
      <c r="H103" s="33"/>
    </row>
    <row r="104" spans="1:8" x14ac:dyDescent="0.25">
      <c r="A104" s="1" t="s">
        <v>140</v>
      </c>
      <c r="B104" s="1" t="s">
        <v>141</v>
      </c>
      <c r="C104" s="4">
        <v>1000</v>
      </c>
      <c r="D104" s="5">
        <v>12.5413</v>
      </c>
      <c r="E104" s="1">
        <v>12541.3</v>
      </c>
      <c r="F104" s="5">
        <v>14.24</v>
      </c>
      <c r="G104" s="1">
        <v>14240</v>
      </c>
      <c r="H104" s="33"/>
    </row>
    <row r="105" spans="1:8" x14ac:dyDescent="0.25">
      <c r="A105" s="1" t="s">
        <v>212</v>
      </c>
      <c r="B105" s="1" t="s">
        <v>213</v>
      </c>
      <c r="C105" s="4">
        <v>302</v>
      </c>
      <c r="D105" s="5">
        <v>31.854299999999999</v>
      </c>
      <c r="E105" s="1">
        <v>9620</v>
      </c>
      <c r="F105" s="5">
        <v>35.6</v>
      </c>
      <c r="G105" s="1">
        <v>10751.2</v>
      </c>
      <c r="H105" s="33"/>
    </row>
    <row r="106" spans="1:8" s="2" customFormat="1" x14ac:dyDescent="0.25">
      <c r="A106" s="7"/>
      <c r="B106" s="7"/>
      <c r="C106" s="8">
        <f>SUM(C2:C105)</f>
        <v>959259.23619999993</v>
      </c>
      <c r="D106" s="9">
        <f>SUM(D2:D105)</f>
        <v>2303.1363468746808</v>
      </c>
      <c r="E106" s="9">
        <f t="shared" ref="E106:G106" si="0">SUM(E2:E105)</f>
        <v>2377076.7000000007</v>
      </c>
      <c r="F106" s="9">
        <f t="shared" si="0"/>
        <v>2511.9437000000007</v>
      </c>
      <c r="G106" s="9">
        <f t="shared" si="0"/>
        <v>2609341.35</v>
      </c>
    </row>
    <row r="108" spans="1:8" customFormat="1" x14ac:dyDescent="0.25">
      <c r="A108" s="35" t="s">
        <v>481</v>
      </c>
      <c r="C108" s="36">
        <f>SUM(BGL!E11:E150)</f>
        <v>960028.40299999993</v>
      </c>
    </row>
    <row r="109" spans="1:8" customFormat="1" x14ac:dyDescent="0.25">
      <c r="A109" s="35" t="s">
        <v>476</v>
      </c>
      <c r="C109" s="39">
        <f>C106-C108</f>
        <v>-769.16680000000633</v>
      </c>
    </row>
    <row r="110" spans="1:8" customFormat="1" x14ac:dyDescent="0.25"/>
    <row r="111" spans="1:8" customFormat="1" x14ac:dyDescent="0.25">
      <c r="B111" s="35" t="s">
        <v>482</v>
      </c>
      <c r="C111">
        <v>817</v>
      </c>
      <c r="G111" s="36">
        <f>BGL!G76</f>
        <v>2.4500000000000002</v>
      </c>
    </row>
    <row r="112" spans="1:8" customFormat="1" x14ac:dyDescent="0.25">
      <c r="B112" t="str">
        <f>B2</f>
        <v>Health Industry.com.au Pty Ltd</v>
      </c>
      <c r="C112" s="38">
        <f>-C2</f>
        <v>-48</v>
      </c>
      <c r="G112">
        <f>-G2</f>
        <v>-48</v>
      </c>
    </row>
    <row r="113" spans="1:7" customFormat="1" x14ac:dyDescent="0.25">
      <c r="C113" s="36">
        <f>SUM(C111:C112)</f>
        <v>769</v>
      </c>
      <c r="G113" s="36">
        <f>SUM(G111:G112)</f>
        <v>-45.55</v>
      </c>
    </row>
    <row r="114" spans="1:7" customFormat="1" x14ac:dyDescent="0.25">
      <c r="C114" s="37"/>
    </row>
    <row r="115" spans="1:7" customFormat="1" x14ac:dyDescent="0.25"/>
    <row r="116" spans="1:7" customFormat="1" x14ac:dyDescent="0.25">
      <c r="F116" t="s">
        <v>483</v>
      </c>
      <c r="G116" s="36">
        <f>BGL!G9</f>
        <v>12679.69</v>
      </c>
    </row>
    <row r="117" spans="1:7" customFormat="1" x14ac:dyDescent="0.25">
      <c r="F117" t="s">
        <v>484</v>
      </c>
      <c r="G117" s="36">
        <f>BGL!G8</f>
        <v>20440.900000000001</v>
      </c>
    </row>
    <row r="118" spans="1:7" customFormat="1" x14ac:dyDescent="0.25">
      <c r="A118" s="35" t="s">
        <v>481</v>
      </c>
    </row>
    <row r="119" spans="1:7" customFormat="1" x14ac:dyDescent="0.25">
      <c r="G119" s="3">
        <f>G106+G113+G116+G117</f>
        <v>2642416.39</v>
      </c>
    </row>
  </sheetData>
  <sortState xmlns:xlrd2="http://schemas.microsoft.com/office/spreadsheetml/2017/richdata2" ref="A2:I105">
    <sortCondition ref="A2:A105"/>
  </sortState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BGL</vt:lpstr>
      <vt:lpstr>Burrells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Beresford</dc:creator>
  <cp:lastModifiedBy>Melina Beresford</cp:lastModifiedBy>
  <dcterms:created xsi:type="dcterms:W3CDTF">2023-03-07T23:16:00Z</dcterms:created>
  <dcterms:modified xsi:type="dcterms:W3CDTF">2023-03-08T06:14:02Z</dcterms:modified>
</cp:coreProperties>
</file>