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B/BRAD/2023/Workpapers/"/>
    </mc:Choice>
  </mc:AlternateContent>
  <xr:revisionPtr revIDLastSave="1780" documentId="8_{7DABB9F9-DAC7-48AF-95BF-A766060AAE59}" xr6:coauthVersionLast="47" xr6:coauthVersionMax="47" xr10:uidLastSave="{26CADCFF-3544-46FA-B10F-4A2949120FD6}"/>
  <bookViews>
    <workbookView xWindow="-120" yWindow="-120" windowWidth="29040" windowHeight="15720" tabRatio="781" firstSheet="5" activeTab="5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r:id="rId5"/>
    <sheet name="GST Rec" sheetId="10" r:id="rId6"/>
    <sheet name="Bank Balance" sheetId="17" state="hidden" r:id="rId7"/>
    <sheet name="Investment Recon - BT" sheetId="8" state="hidden" r:id="rId8"/>
    <sheet name="Investment Recon - Other" sheetId="16" state="hidden" r:id="rId9"/>
    <sheet name="Related UT " sheetId="14" r:id="rId10"/>
    <sheet name="Property Valn" sheetId="12" r:id="rId11"/>
    <sheet name="Debtors" sheetId="13" r:id="rId12"/>
    <sheet name="Creditors" sheetId="11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r:id="rId17"/>
    <sheet name="Acc fees" sheetId="6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0" l="1"/>
  <c r="C42" i="10"/>
  <c r="H40" i="10"/>
  <c r="F13" i="4"/>
  <c r="D30" i="10"/>
  <c r="F30" i="10" s="1"/>
  <c r="F19" i="10"/>
  <c r="I24" i="6"/>
  <c r="N15" i="6"/>
  <c r="E41" i="15"/>
  <c r="D41" i="15" s="1"/>
  <c r="D42" i="15" s="1"/>
  <c r="N15" i="14"/>
  <c r="I9" i="10"/>
  <c r="F16" i="11"/>
  <c r="F15" i="14" l="1"/>
  <c r="G15" i="14"/>
  <c r="O34" i="14"/>
  <c r="G34" i="14"/>
  <c r="O33" i="14"/>
  <c r="G33" i="14"/>
  <c r="O32" i="14"/>
  <c r="G32" i="14"/>
  <c r="O31" i="14"/>
  <c r="G31" i="14"/>
  <c r="O30" i="14"/>
  <c r="G30" i="14"/>
  <c r="O29" i="14"/>
  <c r="G29" i="14"/>
  <c r="O28" i="14"/>
  <c r="G28" i="14"/>
  <c r="O27" i="14"/>
  <c r="G27" i="14"/>
  <c r="O24" i="14"/>
  <c r="G24" i="14"/>
  <c r="O22" i="14"/>
  <c r="G22" i="14"/>
  <c r="O20" i="14"/>
  <c r="G20" i="14"/>
  <c r="O19" i="14"/>
  <c r="G19" i="14"/>
  <c r="O18" i="14"/>
  <c r="G18" i="14"/>
  <c r="O17" i="14"/>
  <c r="G17" i="14"/>
  <c r="O15" i="14"/>
  <c r="O14" i="14"/>
  <c r="G14" i="14"/>
  <c r="O13" i="14"/>
  <c r="O16" i="14" s="1"/>
  <c r="O23" i="14" s="1"/>
  <c r="G13" i="14"/>
  <c r="O12" i="14"/>
  <c r="G12" i="14"/>
  <c r="O11" i="14"/>
  <c r="G11" i="14"/>
  <c r="O10" i="14"/>
  <c r="G10" i="14"/>
  <c r="O9" i="14"/>
  <c r="G9" i="14"/>
  <c r="O21" i="14" l="1"/>
  <c r="G21" i="14"/>
  <c r="G16" i="14"/>
  <c r="G23" i="14" s="1"/>
  <c r="D27" i="14" s="1"/>
  <c r="L27" i="14" l="1"/>
  <c r="L31" i="14"/>
  <c r="L30" i="14"/>
  <c r="D31" i="14"/>
  <c r="D30" i="14"/>
  <c r="G24" i="6"/>
  <c r="E22" i="6"/>
  <c r="F21" i="6"/>
  <c r="I21" i="6" s="1"/>
  <c r="E21" i="6"/>
  <c r="E25" i="6" s="1"/>
  <c r="I20" i="6"/>
  <c r="F20" i="6"/>
  <c r="G20" i="6" s="1"/>
  <c r="G15" i="6"/>
  <c r="G14" i="6"/>
  <c r="G30" i="6" s="1"/>
  <c r="G13" i="6"/>
  <c r="G29" i="6" s="1"/>
  <c r="I29" i="6" s="1"/>
  <c r="G12" i="6"/>
  <c r="G28" i="6" s="1"/>
  <c r="I13" i="6" l="1"/>
  <c r="G21" i="6"/>
  <c r="I15" i="6"/>
  <c r="G16" i="6"/>
  <c r="N18" i="6" s="1"/>
  <c r="N17" i="6" s="1"/>
  <c r="F22" i="6"/>
  <c r="I22" i="6" s="1"/>
  <c r="F23" i="6"/>
  <c r="I25" i="6" l="1"/>
  <c r="F25" i="6"/>
  <c r="G31" i="6" s="1"/>
  <c r="G22" i="6"/>
  <c r="I23" i="6"/>
  <c r="G23" i="6"/>
  <c r="I16" i="6"/>
  <c r="I31" i="6" l="1"/>
  <c r="I32" i="6" s="1"/>
  <c r="G32" i="6"/>
  <c r="G25" i="6"/>
  <c r="D46" i="15"/>
  <c r="D21" i="15"/>
  <c r="D60" i="15" s="1"/>
  <c r="E60" i="15" s="1"/>
  <c r="D31" i="15"/>
  <c r="E18" i="15"/>
  <c r="F18" i="15" s="1"/>
  <c r="F21" i="15" s="1"/>
  <c r="Y26" i="15"/>
  <c r="D49" i="15" s="1"/>
  <c r="U26" i="15"/>
  <c r="D48" i="15" s="1"/>
  <c r="F48" i="15" s="1"/>
  <c r="Q26" i="15"/>
  <c r="N26" i="15"/>
  <c r="D47" i="15" s="1"/>
  <c r="E42" i="15"/>
  <c r="F42" i="15" s="1"/>
  <c r="F46" i="15" s="1"/>
  <c r="D29" i="15"/>
  <c r="Q17" i="15"/>
  <c r="D22" i="15" s="1"/>
  <c r="N17" i="15"/>
  <c r="F23" i="15" s="1"/>
  <c r="E17" i="15"/>
  <c r="F17" i="15" s="1"/>
  <c r="I3" i="19"/>
  <c r="H3" i="19"/>
  <c r="C3" i="19"/>
  <c r="I2" i="19"/>
  <c r="H2" i="19"/>
  <c r="C2" i="19"/>
  <c r="C1" i="19"/>
  <c r="F28" i="13"/>
  <c r="F34" i="13"/>
  <c r="D11" i="3"/>
  <c r="G19" i="5"/>
  <c r="G18" i="5"/>
  <c r="G12" i="5"/>
  <c r="I15" i="8"/>
  <c r="D24" i="15" l="1"/>
  <c r="D54" i="15" s="1"/>
  <c r="E21" i="15"/>
  <c r="D50" i="15"/>
  <c r="E46" i="15"/>
  <c r="E49" i="15"/>
  <c r="F47" i="15"/>
  <c r="E22" i="15"/>
  <c r="F22" i="15" s="1"/>
  <c r="F24" i="15" s="1"/>
  <c r="D23" i="15"/>
  <c r="D61" i="15" s="1"/>
  <c r="E29" i="15"/>
  <c r="E31" i="15" s="1"/>
  <c r="H13" i="18"/>
  <c r="I3" i="18"/>
  <c r="H3" i="18"/>
  <c r="C3" i="18"/>
  <c r="I2" i="18"/>
  <c r="H2" i="18"/>
  <c r="C2" i="18"/>
  <c r="C1" i="18"/>
  <c r="G13" i="18"/>
  <c r="F13" i="18"/>
  <c r="E13" i="18"/>
  <c r="D13" i="18"/>
  <c r="E24" i="15" l="1"/>
  <c r="E50" i="15"/>
  <c r="F29" i="15"/>
  <c r="F31" i="15" s="1"/>
  <c r="F49" i="15"/>
  <c r="F50" i="15" s="1"/>
  <c r="F54" i="15" s="1"/>
  <c r="F40" i="13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E54" i="15" l="1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G23" i="3" l="1"/>
  <c r="L23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F50" i="13" l="1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H38" i="10" l="1"/>
  <c r="H37" i="10"/>
  <c r="H36" i="10"/>
  <c r="H35" i="10"/>
  <c r="H34" i="10"/>
  <c r="H33" i="10"/>
  <c r="H32" i="10"/>
  <c r="H39" i="10" s="1"/>
  <c r="H41" i="10" s="1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I12" i="10"/>
  <c r="I11" i="10"/>
  <c r="I10" i="10"/>
  <c r="C22" i="10" l="1"/>
  <c r="H22" i="10"/>
  <c r="E22" i="10"/>
  <c r="F22" i="10"/>
  <c r="D22" i="10"/>
  <c r="G22" i="10"/>
  <c r="I13" i="10"/>
  <c r="I20" i="10"/>
  <c r="C44" i="10" l="1"/>
  <c r="C47" i="10" s="1"/>
  <c r="I22" i="10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9" i="4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<sst xmlns="http://schemas.openxmlformats.org/spreadsheetml/2006/main" count="814" uniqueCount="456">
  <si>
    <t>Client</t>
  </si>
  <si>
    <t>D&amp;M BRAKE SUPER FUND</t>
  </si>
  <si>
    <t>Initials</t>
  </si>
  <si>
    <t>Date</t>
  </si>
  <si>
    <t>Client Code</t>
  </si>
  <si>
    <t>9BRAD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</si>
  <si>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</si>
  <si>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</si>
  <si>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</si>
  <si>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</si>
  <si>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</si>
  <si>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</si>
  <si>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</si>
  <si>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</si>
  <si>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</si>
  <si>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</si>
  <si>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</si>
  <si>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</si>
  <si>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</si>
  <si>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</si>
  <si>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</si>
  <si>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</si>
  <si>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</si>
  <si>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</si>
  <si>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</si>
  <si>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</si>
  <si>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</si>
  <si>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</si>
  <si>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</si>
  <si>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</si>
  <si>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</si>
  <si>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</si>
  <si>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</si>
  <si>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</si>
  <si>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</si>
  <si>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</si>
  <si>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</si>
  <si>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</si>
  <si>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</si>
  <si>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</si>
  <si>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</si>
  <si>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</si>
  <si>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</si>
  <si>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</si>
  <si>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</si>
  <si>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</si>
  <si>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</si>
  <si>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</si>
  <si>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</si>
  <si>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</si>
  <si>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</si>
  <si>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</si>
  <si>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</si>
  <si>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</si>
  <si>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</si>
  <si>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</si>
  <si>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</si>
  <si>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</si>
  <si>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</si>
  <si>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</si>
  <si>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</si>
  <si>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</si>
  <si>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</si>
  <si>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</si>
  <si>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</si>
  <si>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</si>
  <si>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</si>
  <si>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</si>
  <si>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</si>
  <si>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</si>
  <si>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</si>
  <si>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</si>
  <si>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</si>
  <si>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</si>
  <si>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</si>
  <si>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 deed was updated in July 2023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</si>
  <si>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</si>
  <si>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</si>
  <si>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</si>
  <si>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</si>
  <si>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</si>
  <si>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</si>
  <si>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</si>
  <si>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Valuation for 5/59 Oxford St, Bulimba</t>
  </si>
  <si>
    <t>Yes</t>
  </si>
  <si>
    <t>Valuation for 17/1029 Manly Rd, Tingalpa</t>
  </si>
  <si>
    <t>Relating to F &amp; L Investment Trust</t>
  </si>
  <si>
    <t>Valuation for 1/6 Palmer Place, Murarrie</t>
  </si>
  <si>
    <t>Relating to Brake Investment Trust</t>
  </si>
  <si>
    <t>Is there a lease for Four one seven one saled pty ltd?</t>
  </si>
  <si>
    <t>Did Four One Seven One pay a bond? Where was it paid to?</t>
  </si>
  <si>
    <t>Received lease -taken up as debtor</t>
  </si>
  <si>
    <t>Is there now an agent? Rental payments say Harcourts - is there an agent summary?</t>
  </si>
  <si>
    <t>Yes - Harcourts is the tenant</t>
  </si>
  <si>
    <t>Rates notices for rates paid on 1/8/22 and 28/9/22</t>
  </si>
  <si>
    <t>These were not charged to tenant as tenant was not there until January - need copy of these rates</t>
  </si>
  <si>
    <t>Strata notices for levies paid on 25/7 and 27/10</t>
  </si>
  <si>
    <t xml:space="preserve">Same as above </t>
  </si>
  <si>
    <t>Invoice for $416.90 payment for fire door</t>
  </si>
  <si>
    <t xml:space="preserve">Paid on 25/8 - have invoices for other amounts but unsure what this amount relates to </t>
  </si>
  <si>
    <t>Yes - payment to BC</t>
  </si>
  <si>
    <t>Check fire door invoices</t>
  </si>
  <si>
    <t>Are the smaller ones for the door or do we code to R&amp;M? Currently coded to fire door asset but they were incurred prior to installation</t>
  </si>
  <si>
    <t xml:space="preserve">Invoicing </t>
  </si>
  <si>
    <t>Audit</t>
  </si>
  <si>
    <t>Actuarial</t>
  </si>
  <si>
    <t>Financial Statement Preparation - split for GST if applic</t>
  </si>
  <si>
    <t>Annual GST return or Quarterly BAS</t>
  </si>
  <si>
    <t>Annual review for 2023FY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</si>
  <si>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</si>
  <si>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</si>
  <si>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</si>
  <si>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</si>
  <si>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</si>
  <si>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</si>
  <si>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</si>
  <si>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</si>
  <si>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</si>
  <si>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</si>
  <si>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</si>
  <si>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investments in the D &amp; L Brake Investment Trust &amp; the Brake Investment Trust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</si>
  <si>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</si>
  <si>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</si>
  <si>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</si>
  <si>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</si>
  <si>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</si>
  <si>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</si>
  <si>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</si>
  <si>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</si>
  <si>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</si>
  <si>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</si>
  <si>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</si>
  <si>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</si>
  <si>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</si>
  <si>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</si>
  <si>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</si>
  <si>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</si>
  <si>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David</t>
  </si>
  <si>
    <t>Melissa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</si>
  <si>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</si>
  <si>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</si>
  <si>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</si>
  <si>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</si>
  <si>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</si>
  <si>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</si>
  <si>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</si>
  <si>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</si>
  <si>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</si>
  <si>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</si>
  <si>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</si>
  <si>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</si>
  <si>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</si>
  <si>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</si>
  <si>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</si>
  <si>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</si>
  <si>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</si>
  <si>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</si>
  <si>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</si>
  <si>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</si>
  <si>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</si>
  <si>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</si>
  <si>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</si>
  <si>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</si>
  <si>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</si>
  <si>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</si>
  <si>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</si>
  <si>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</si>
  <si>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</si>
  <si>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</si>
  <si>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</si>
  <si>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</si>
  <si>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</si>
  <si>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</si>
  <si>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</si>
  <si>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</si>
  <si>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</si>
  <si>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</si>
  <si>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</si>
  <si>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</si>
  <si>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</si>
  <si>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</si>
  <si>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</si>
  <si>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</si>
  <si>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</si>
  <si>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</si>
  <si>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</si>
  <si>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</si>
  <si>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</si>
  <si>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</si>
  <si>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</si>
  <si>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</si>
  <si>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</si>
  <si>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</si>
  <si>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</si>
  <si>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</si>
  <si>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</si>
  <si>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</si>
  <si>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</si>
  <si>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</si>
  <si>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Security Deposit Refund</t>
  </si>
  <si>
    <t>Not noted on detailed activity statement as it's coded to the liability account</t>
  </si>
  <si>
    <t>RASH BAS prep fees</t>
  </si>
  <si>
    <t>client claimed 100%</t>
  </si>
  <si>
    <t>HFB accounting fees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</si>
  <si>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</si>
  <si>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</si>
  <si>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</si>
  <si>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</si>
  <si>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</si>
  <si>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</si>
  <si>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</si>
  <si>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</si>
  <si>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</si>
  <si>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</si>
  <si>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</si>
  <si>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</si>
  <si>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</si>
  <si>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</si>
  <si>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</si>
  <si>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</si>
  <si>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</si>
  <si>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</si>
  <si>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</si>
  <si>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</si>
  <si>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</si>
  <si>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</si>
  <si>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</si>
  <si>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</si>
  <si>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</si>
  <si>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</si>
  <si>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</si>
  <si>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</si>
  <si>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</si>
  <si>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</si>
  <si>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</si>
  <si>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</si>
  <si>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</si>
  <si>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</si>
  <si>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</si>
  <si>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</si>
  <si>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</si>
  <si>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</si>
  <si>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</si>
  <si>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</si>
  <si>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</si>
  <si>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</si>
  <si>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</si>
  <si>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</si>
  <si>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</si>
  <si>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</si>
  <si>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</si>
  <si>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</si>
  <si>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</si>
  <si>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</si>
  <si>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</si>
  <si>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</si>
  <si>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</si>
  <si>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</si>
  <si>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</si>
  <si>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</si>
  <si>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</si>
  <si>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</si>
  <si>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</si>
  <si>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</si>
  <si>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</si>
  <si>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</si>
  <si>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</si>
  <si>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</si>
  <si>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</si>
  <si>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</si>
  <si>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</si>
  <si>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</si>
  <si>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</si>
  <si>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</si>
  <si>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</si>
  <si>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</si>
  <si>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Name of Investment</t>
  </si>
  <si>
    <t>No of Units EOY</t>
  </si>
  <si>
    <t>Market Value $ / Unit</t>
  </si>
  <si>
    <t>Total Value EOY</t>
  </si>
  <si>
    <t>THE BRAKE INVESTMENT TRUST</t>
  </si>
  <si>
    <t>THE D &amp; L BRAKE INVESTMENT TRUST</t>
  </si>
  <si>
    <t>Assets</t>
  </si>
  <si>
    <t>Term Deposit</t>
  </si>
  <si>
    <t>Property - 1/6 Palmer Place, Murrarie</t>
  </si>
  <si>
    <t>Property - 17/1029 Manly Road, Tingalpa</t>
  </si>
  <si>
    <t>Total Assets</t>
  </si>
  <si>
    <t>Beneficiary accounts</t>
  </si>
  <si>
    <t>Total Liabilities</t>
  </si>
  <si>
    <t>Net Assets</t>
  </si>
  <si>
    <t>Unit Price</t>
  </si>
  <si>
    <t>Units Issued</t>
  </si>
  <si>
    <t>Price</t>
  </si>
  <si>
    <t>Asset Allocation</t>
  </si>
  <si>
    <t>Units are owned 100% by the D &amp; M Brake Superannuation Fund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</si>
  <si>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</si>
  <si>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</si>
  <si>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</si>
  <si>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</si>
  <si>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</si>
  <si>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</si>
  <si>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</si>
  <si>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5/59 Oxford St, Bulimba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</si>
  <si>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</si>
  <si>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</si>
  <si>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</si>
  <si>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</si>
  <si>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</si>
  <si>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Brake Investment Trust</t>
  </si>
  <si>
    <t>D&amp;L Brake Investment Trust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</si>
  <si>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</si>
  <si>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</si>
  <si>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</si>
  <si>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</si>
  <si>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</si>
  <si>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</si>
  <si>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Other Assets</t>
  </si>
  <si>
    <t>Energex Bond</t>
  </si>
  <si>
    <t>ATO ICA</t>
  </si>
  <si>
    <t>CREDITORS</t>
  </si>
  <si>
    <t>June 2023 BAS</t>
  </si>
  <si>
    <t>paid 24/7/23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</si>
  <si>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</si>
  <si>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</si>
  <si>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</si>
  <si>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</si>
  <si>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</si>
  <si>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</si>
  <si>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</si>
  <si>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</si>
  <si>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</si>
  <si>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</si>
  <si>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</si>
  <si>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</si>
  <si>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</si>
  <si>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</si>
  <si>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</si>
  <si>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</si>
  <si>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</si>
  <si>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</si>
  <si>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</si>
  <si>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</si>
  <si>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</si>
  <si>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</si>
  <si>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</si>
  <si>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</si>
  <si>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</si>
  <si>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</si>
  <si>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</si>
  <si>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</si>
  <si>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</si>
  <si>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</si>
  <si>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</si>
  <si>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</si>
  <si>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</si>
  <si>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</si>
  <si>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</si>
  <si>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</si>
  <si>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</si>
  <si>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</si>
  <si>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</si>
  <si>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</si>
  <si>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</si>
  <si>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</si>
  <si>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</si>
  <si>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</si>
  <si>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</si>
  <si>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</si>
  <si>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</si>
  <si>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</si>
  <si>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</si>
  <si>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</si>
  <si>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</si>
  <si>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</si>
  <si>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</si>
  <si>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</si>
  <si>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</si>
  <si>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</si>
  <si>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</si>
  <si>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</si>
  <si>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</si>
  <si>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</si>
  <si>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Ledger</t>
  </si>
  <si>
    <t>Gross</t>
  </si>
  <si>
    <t>Water</t>
  </si>
  <si>
    <t>Electricity</t>
  </si>
  <si>
    <t>Rates</t>
  </si>
  <si>
    <t>Body Corp</t>
  </si>
  <si>
    <t>A/c No.</t>
  </si>
  <si>
    <t>Daniel Hillier</t>
  </si>
  <si>
    <t>5/59 Oxford Street, Bulimba - all tenants are unrelated parties</t>
  </si>
  <si>
    <t xml:space="preserve">Amount </t>
  </si>
  <si>
    <t>Amount - inc GST</t>
  </si>
  <si>
    <t>Tenant: Daniel J Hillier P/L</t>
  </si>
  <si>
    <t xml:space="preserve">Lease: </t>
  </si>
  <si>
    <t>No formal written lease, on a month-to-month tenancy</t>
  </si>
  <si>
    <t>Vacated 31/12/22</t>
  </si>
  <si>
    <t>Monthly Rent:</t>
  </si>
  <si>
    <t>14/8/22-14/12/22</t>
  </si>
  <si>
    <t>14/12/22-31/12/22 - rent was paid in advance - overpayment was refunded to tenant</t>
  </si>
  <si>
    <t>Plus a share of outgoings</t>
  </si>
  <si>
    <t>Rent for 2023FY</t>
  </si>
  <si>
    <t>Four One Seven One</t>
  </si>
  <si>
    <t>Plus: Electricity</t>
  </si>
  <si>
    <t>Amount</t>
  </si>
  <si>
    <t>Plus: Water rates</t>
  </si>
  <si>
    <t>No GST being charged</t>
  </si>
  <si>
    <t>Total rent for tenant</t>
  </si>
  <si>
    <t>Tenant: Malt Brewing Company/Revel Brewing Company (leasing the garage)</t>
  </si>
  <si>
    <t>Tenant: Four One Seven Sales Pty Ltd (leasing whole unit)</t>
  </si>
  <si>
    <t>Written lease agreement in place</t>
  </si>
  <si>
    <t xml:space="preserve">Period: </t>
  </si>
  <si>
    <t>1 January 2023 to 30 June 2027</t>
  </si>
  <si>
    <t xml:space="preserve">Options: </t>
  </si>
  <si>
    <t>3 x 3 years</t>
  </si>
  <si>
    <t xml:space="preserve">Rent Reviews: </t>
  </si>
  <si>
    <t>Annually on the anniversary of commencement date</t>
  </si>
  <si>
    <t>Market reviews on take up of option periods</t>
  </si>
  <si>
    <t>CPI increase on the other years</t>
  </si>
  <si>
    <t>Annual Rent:</t>
  </si>
  <si>
    <t xml:space="preserve">Outoings: </t>
  </si>
  <si>
    <t>Rent is paid in advance</t>
  </si>
  <si>
    <t>Total Rent for Tenant</t>
  </si>
  <si>
    <t>Total rent for the property</t>
  </si>
  <si>
    <t>Rent per accounts</t>
  </si>
  <si>
    <t>With GST</t>
  </si>
  <si>
    <t>Without GST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</si>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</sst>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0_-;\-&quot;$&quot;* #,##0.000000_-;_-&quot;$&quot;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4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19" fillId="0" borderId="0" xfId="0" applyNumberFormat="1" applyFont="1"/>
    <xf numFmtId="44" fontId="18" fillId="0" borderId="29" xfId="0" applyNumberFormat="1" applyFont="1" applyBorder="1"/>
    <xf numFmtId="0" fontId="21" fillId="0" borderId="0" xfId="0" applyFont="1"/>
    <xf numFmtId="44" fontId="0" fillId="0" borderId="0" xfId="2" applyFont="1" applyFill="1" applyAlignment="1"/>
    <xf numFmtId="4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4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4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4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29" fillId="0" borderId="0" xfId="0" applyFont="1" applyAlignment="1">
      <alignment horizontal="center" wrapText="1"/>
    </xf>
    <xf numFmtId="167" fontId="0" fillId="4" borderId="0" xfId="1" applyNumberFormat="1" applyFont="1" applyFill="1"/>
    <xf numFmtId="0" fontId="29" fillId="0" borderId="0" xfId="0" applyFont="1"/>
    <xf numFmtId="43" fontId="0" fillId="0" borderId="26" xfId="1" applyFont="1" applyBorder="1"/>
    <xf numFmtId="44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165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165" fontId="29" fillId="0" borderId="0" xfId="8" applyNumberFormat="1" applyFont="1"/>
    <xf numFmtId="43" fontId="29" fillId="0" borderId="0" xfId="8" applyNumberFormat="1" applyFont="1"/>
    <xf numFmtId="0" fontId="29" fillId="0" borderId="37" xfId="8" applyFont="1" applyBorder="1"/>
    <xf numFmtId="165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43" fontId="30" fillId="0" borderId="43" xfId="8" applyNumberFormat="1" applyFont="1" applyBorder="1"/>
    <xf numFmtId="0" fontId="30" fillId="0" borderId="44" xfId="8" applyFont="1" applyBorder="1"/>
    <xf numFmtId="165" fontId="29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29" fillId="0" borderId="36" xfId="9" applyFont="1" applyBorder="1" applyAlignment="1">
      <alignment vertical="center"/>
    </xf>
    <xf numFmtId="165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165" fontId="29" fillId="0" borderId="11" xfId="9" applyFont="1" applyBorder="1" applyAlignment="1">
      <alignment vertical="center"/>
    </xf>
    <xf numFmtId="165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165" fontId="29" fillId="0" borderId="0" xfId="9" applyFont="1" applyAlignment="1">
      <alignment horizontal="left"/>
    </xf>
    <xf numFmtId="3" fontId="29" fillId="0" borderId="1" xfId="9" applyNumberFormat="1" applyFont="1" applyBorder="1"/>
    <xf numFmtId="165" fontId="29" fillId="0" borderId="36" xfId="9" applyFont="1" applyBorder="1" applyAlignment="1">
      <alignment horizontal="left" vertical="center"/>
    </xf>
    <xf numFmtId="165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43" fontId="29" fillId="0" borderId="49" xfId="1" applyFont="1" applyBorder="1"/>
    <xf numFmtId="0" fontId="29" fillId="0" borderId="0" xfId="0" applyFont="1" applyAlignment="1">
      <alignment horizontal="center"/>
    </xf>
    <xf numFmtId="43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3" xfId="0" applyFont="1" applyBorder="1"/>
    <xf numFmtId="0" fontId="29" fillId="0" borderId="53" xfId="0" applyFont="1" applyBorder="1"/>
    <xf numFmtId="0" fontId="29" fillId="0" borderId="19" xfId="0" applyFont="1" applyBorder="1"/>
    <xf numFmtId="0" fontId="29" fillId="0" borderId="65" xfId="0" applyFont="1" applyBorder="1"/>
    <xf numFmtId="0" fontId="29" fillId="0" borderId="68" xfId="0" applyFont="1" applyBorder="1"/>
    <xf numFmtId="0" fontId="33" fillId="0" borderId="0" xfId="0" applyFont="1"/>
    <xf numFmtId="0" fontId="12" fillId="0" borderId="69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vertical="center" wrapText="1"/>
    </xf>
    <xf numFmtId="0" fontId="32" fillId="0" borderId="71" xfId="5" quotePrefix="1" applyFont="1" applyBorder="1" applyAlignment="1">
      <alignment horizontal="center" vertical="center" wrapText="1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4" fillId="0" borderId="0" xfId="0" applyFont="1"/>
    <xf numFmtId="0" fontId="35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43" fontId="21" fillId="0" borderId="0" xfId="1" applyFont="1"/>
    <xf numFmtId="43" fontId="21" fillId="0" borderId="0" xfId="1" applyFont="1" applyFill="1"/>
    <xf numFmtId="43" fontId="22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36" fillId="0" borderId="0" xfId="0" applyFont="1"/>
    <xf numFmtId="44" fontId="2" fillId="0" borderId="9" xfId="2" applyFont="1" applyBorder="1"/>
    <xf numFmtId="43" fontId="29" fillId="0" borderId="0" xfId="1" applyFont="1"/>
    <xf numFmtId="0" fontId="37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0" fontId="8" fillId="0" borderId="19" xfId="0" applyFont="1" applyBorder="1"/>
    <xf numFmtId="0" fontId="29" fillId="0" borderId="11" xfId="0" applyFont="1" applyBorder="1"/>
    <xf numFmtId="0" fontId="29" fillId="0" borderId="12" xfId="0" applyFont="1" applyBorder="1"/>
    <xf numFmtId="0" fontId="3" fillId="0" borderId="26" xfId="0" applyFont="1" applyBorder="1"/>
    <xf numFmtId="0" fontId="8" fillId="0" borderId="75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8" fontId="29" fillId="0" borderId="19" xfId="0" applyNumberFormat="1" applyFont="1" applyBorder="1"/>
    <xf numFmtId="8" fontId="29" fillId="0" borderId="1" xfId="0" applyNumberFormat="1" applyFont="1" applyBorder="1"/>
    <xf numFmtId="8" fontId="8" fillId="0" borderId="19" xfId="0" applyNumberFormat="1" applyFont="1" applyBorder="1"/>
    <xf numFmtId="4" fontId="33" fillId="0" borderId="0" xfId="0" applyNumberFormat="1" applyFont="1"/>
    <xf numFmtId="10" fontId="33" fillId="0" borderId="0" xfId="0" applyNumberFormat="1" applyFont="1"/>
    <xf numFmtId="0" fontId="38" fillId="0" borderId="0" xfId="0" applyFont="1"/>
    <xf numFmtId="14" fontId="33" fillId="0" borderId="0" xfId="0" applyNumberFormat="1" applyFont="1"/>
    <xf numFmtId="44" fontId="33" fillId="0" borderId="0" xfId="2" applyFont="1"/>
    <xf numFmtId="44" fontId="38" fillId="0" borderId="9" xfId="2" applyFont="1" applyBorder="1"/>
    <xf numFmtId="0" fontId="38" fillId="0" borderId="9" xfId="0" applyFont="1" applyBorder="1"/>
    <xf numFmtId="44" fontId="29" fillId="0" borderId="19" xfId="0" applyNumberFormat="1" applyFont="1" applyBorder="1"/>
    <xf numFmtId="44" fontId="3" fillId="0" borderId="9" xfId="2" applyFont="1" applyBorder="1"/>
    <xf numFmtId="44" fontId="29" fillId="0" borderId="1" xfId="0" applyNumberFormat="1" applyFont="1" applyBorder="1"/>
    <xf numFmtId="44" fontId="38" fillId="0" borderId="0" xfId="2" applyFont="1" applyBorder="1"/>
    <xf numFmtId="44" fontId="29" fillId="0" borderId="68" xfId="2" applyFont="1" applyBorder="1"/>
    <xf numFmtId="44" fontId="2" fillId="0" borderId="0" xfId="0" applyNumberFormat="1" applyFont="1"/>
    <xf numFmtId="44" fontId="0" fillId="0" borderId="31" xfId="2" applyFont="1" applyBorder="1"/>
    <xf numFmtId="44" fontId="0" fillId="0" borderId="31" xfId="0" applyNumberFormat="1" applyBorder="1"/>
    <xf numFmtId="170" fontId="29" fillId="0" borderId="57" xfId="2" applyNumberFormat="1" applyFont="1" applyBorder="1" applyAlignment="1"/>
    <xf numFmtId="14" fontId="0" fillId="4" borderId="0" xfId="1" applyNumberFormat="1" applyFont="1" applyFill="1"/>
    <xf numFmtId="167" fontId="8" fillId="0" borderId="50" xfId="0" applyNumberFormat="1" applyFont="1" applyBorder="1" applyAlignment="1">
      <alignment horizontal="right"/>
    </xf>
    <xf numFmtId="4" fontId="29" fillId="0" borderId="0" xfId="0" applyNumberFormat="1" applyFont="1"/>
    <xf numFmtId="0" fontId="0" fillId="0" borderId="21" xfId="0" applyBorder="1"/>
    <xf numFmtId="0" fontId="29" fillId="0" borderId="81" xfId="0" applyFont="1" applyBorder="1"/>
    <xf numFmtId="8" fontId="8" fillId="0" borderId="10" xfId="0" applyNumberFormat="1" applyFont="1" applyBorder="1"/>
    <xf numFmtId="0" fontId="0" fillId="0" borderId="82" xfId="0" applyBorder="1" applyAlignment="1">
      <alignment horizontal="left"/>
    </xf>
    <xf numFmtId="0" fontId="0" fillId="0" borderId="83" xfId="0" applyBorder="1" applyAlignment="1">
      <alignment horizontal="left"/>
    </xf>
    <xf numFmtId="8" fontId="29" fillId="0" borderId="10" xfId="0" applyNumberFormat="1" applyFont="1" applyBorder="1"/>
    <xf numFmtId="0" fontId="0" fillId="0" borderId="9" xfId="0" applyBorder="1"/>
    <xf numFmtId="0" fontId="0" fillId="0" borderId="10" xfId="0" applyBorder="1"/>
    <xf numFmtId="9" fontId="29" fillId="0" borderId="19" xfId="0" applyNumberFormat="1" applyFont="1" applyBorder="1"/>
    <xf numFmtId="44" fontId="29" fillId="0" borderId="0" xfId="0" applyNumberFormat="1" applyFont="1"/>
    <xf numFmtId="44" fontId="33" fillId="0" borderId="0" xfId="0" applyNumberFormat="1" applyFont="1"/>
    <xf numFmtId="43" fontId="33" fillId="0" borderId="0" xfId="0" applyNumberFormat="1" applyFont="1"/>
    <xf numFmtId="44" fontId="0" fillId="0" borderId="0" xfId="3" applyNumberFormat="1" applyFont="1"/>
    <xf numFmtId="0" fontId="0" fillId="13" borderId="0" xfId="0" applyFill="1"/>
    <xf numFmtId="44" fontId="0" fillId="13" borderId="0" xfId="2" applyFont="1" applyFill="1"/>
    <xf numFmtId="0" fontId="0" fillId="13" borderId="0" xfId="0" quotePrefix="1" applyFill="1"/>
    <xf numFmtId="0" fontId="11" fillId="0" borderId="72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82" xfId="0" applyBorder="1" applyAlignment="1">
      <alignment horizontal="left"/>
    </xf>
    <xf numFmtId="0" fontId="0" fillId="0" borderId="83" xfId="0" applyBorder="1" applyAlignment="1">
      <alignment horizontal="left"/>
    </xf>
    <xf numFmtId="0" fontId="22" fillId="11" borderId="11" xfId="0" applyFont="1" applyFill="1" applyBorder="1" applyAlignment="1">
      <alignment horizontal="left"/>
    </xf>
    <xf numFmtId="0" fontId="22" fillId="11" borderId="12" xfId="0" applyFont="1" applyFill="1" applyBorder="1" applyAlignment="1">
      <alignment horizontal="left"/>
    </xf>
    <xf numFmtId="0" fontId="22" fillId="11" borderId="19" xfId="0" applyFont="1" applyFill="1" applyBorder="1" applyAlignment="1">
      <alignment horizontal="left"/>
    </xf>
    <xf numFmtId="0" fontId="8" fillId="0" borderId="7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3" fillId="10" borderId="0" xfId="0" applyFont="1" applyFill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3" fillId="0" borderId="43" xfId="0" applyFont="1" applyBorder="1" applyAlignment="1"/>
    <xf numFmtId="0" fontId="33" fillId="0" borderId="0" xfId="0" applyFont="1" applyAlignment="1"/>
    <xf numFmtId="0" fontId="38" fillId="10" borderId="0" xfId="0" applyFont="1" applyFill="1" applyAlignment="1"/>
    <xf numFmtId="0" fontId="29" fillId="0" borderId="62" xfId="0" applyFont="1" applyBorder="1" applyAlignment="1"/>
    <xf numFmtId="0" fontId="29" fillId="0" borderId="64" xfId="0" applyFont="1" applyBorder="1" applyAlignment="1"/>
    <xf numFmtId="0" fontId="29" fillId="0" borderId="63" xfId="0" applyFont="1" applyBorder="1" applyAlignment="1"/>
    <xf numFmtId="0" fontId="29" fillId="0" borderId="11" xfId="0" applyFont="1" applyBorder="1" applyAlignment="1"/>
    <xf numFmtId="0" fontId="29" fillId="0" borderId="12" xfId="0" applyFont="1" applyBorder="1" applyAlignment="1"/>
    <xf numFmtId="0" fontId="29" fillId="0" borderId="19" xfId="0" applyFont="1" applyBorder="1" applyAlignment="1"/>
    <xf numFmtId="0" fontId="8" fillId="12" borderId="11" xfId="0" applyFont="1" applyFill="1" applyBorder="1" applyAlignment="1"/>
    <xf numFmtId="0" fontId="8" fillId="12" borderId="12" xfId="0" applyFont="1" applyFill="1" applyBorder="1" applyAlignment="1"/>
    <xf numFmtId="0" fontId="8" fillId="12" borderId="19" xfId="0" applyFont="1" applyFill="1" applyBorder="1" applyAlignment="1"/>
    <xf numFmtId="0" fontId="8" fillId="0" borderId="11" xfId="0" applyFont="1" applyBorder="1" applyAlignment="1"/>
    <xf numFmtId="0" fontId="8" fillId="0" borderId="12" xfId="0" applyFont="1" applyBorder="1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9" xfId="0" applyFont="1" applyBorder="1" applyAlignment="1"/>
    <xf numFmtId="0" fontId="8" fillId="0" borderId="23" xfId="0" applyFont="1" applyBorder="1" applyAlignment="1"/>
    <xf numFmtId="0" fontId="8" fillId="0" borderId="9" xfId="0" applyFont="1" applyBorder="1" applyAlignment="1"/>
    <xf numFmtId="0" fontId="29" fillId="0" borderId="66" xfId="0" applyFont="1" applyBorder="1" applyAlignment="1"/>
    <xf numFmtId="0" fontId="29" fillId="0" borderId="67" xfId="0" applyFont="1" applyBorder="1" applyAlignment="1"/>
    <xf numFmtId="0" fontId="29" fillId="0" borderId="61" xfId="0" applyFont="1" applyBorder="1" applyAlignment="1"/>
    <xf numFmtId="0" fontId="29" fillId="0" borderId="30" xfId="0" applyFont="1" applyBorder="1" applyAlignment="1"/>
    <xf numFmtId="0" fontId="29" fillId="0" borderId="80" xfId="0" applyFont="1" applyBorder="1" applyAlignment="1"/>
    <xf numFmtId="0" fontId="33" fillId="0" borderId="38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CD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9</xdr:col>
      <xdr:colOff>666750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55" workbookViewId="0">
      <selection activeCell="F67" sqref="F67:H6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6" t="s">
        <v>0</v>
      </c>
      <c r="B1" s="119"/>
      <c r="C1" s="117" t="s">
        <v>1</v>
      </c>
      <c r="F1" s="53"/>
      <c r="H1" s="55" t="s">
        <v>2</v>
      </c>
      <c r="I1" s="55" t="s">
        <v>3</v>
      </c>
    </row>
    <row r="2" spans="1:9" ht="18">
      <c r="A2" s="116" t="s">
        <v>4</v>
      </c>
      <c r="B2" s="120"/>
      <c r="C2" s="117" t="s">
        <v>5</v>
      </c>
      <c r="D2" s="52"/>
      <c r="E2" s="52"/>
      <c r="F2" s="54"/>
      <c r="G2" s="58" t="s">
        <v>6</v>
      </c>
      <c r="H2" s="59" t="s">
        <v>7</v>
      </c>
      <c r="I2" s="60">
        <v>45238</v>
      </c>
    </row>
    <row r="3" spans="1:9" ht="18">
      <c r="A3" s="116" t="s">
        <v>8</v>
      </c>
      <c r="B3" s="120"/>
      <c r="C3" s="118">
        <v>45107</v>
      </c>
      <c r="D3" s="52"/>
      <c r="E3" s="52"/>
      <c r="F3" s="54"/>
      <c r="G3" s="58" t="s">
        <v>9</v>
      </c>
      <c r="H3" s="59" t="s">
        <v>10</v>
      </c>
      <c r="I3" s="60">
        <v>45313</v>
      </c>
    </row>
    <row r="4" spans="1:9" ht="18">
      <c r="A4" s="121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16" t="s">
        <v>15</v>
      </c>
      <c r="G7" s="317"/>
      <c r="H7" s="318"/>
    </row>
    <row r="8" spans="1:9" ht="20.100000000000001" customHeight="1">
      <c r="A8" s="319" t="s">
        <v>16</v>
      </c>
      <c r="B8" s="320"/>
      <c r="C8" s="321"/>
      <c r="D8" s="214"/>
      <c r="E8" s="10" t="s">
        <v>17</v>
      </c>
      <c r="F8" s="307"/>
      <c r="G8" s="308"/>
      <c r="H8" s="309"/>
    </row>
    <row r="9" spans="1:9" ht="20.100000000000001" customHeight="1">
      <c r="A9" s="11"/>
      <c r="B9" s="12">
        <v>1</v>
      </c>
      <c r="C9" s="13" t="s">
        <v>18</v>
      </c>
      <c r="D9" s="214"/>
      <c r="E9" s="10" t="s">
        <v>17</v>
      </c>
      <c r="F9" s="307"/>
      <c r="G9" s="308"/>
      <c r="H9" s="309"/>
    </row>
    <row r="10" spans="1:9" ht="20.100000000000001" customHeight="1">
      <c r="A10" s="11"/>
      <c r="B10" s="12">
        <v>2</v>
      </c>
      <c r="C10" s="13" t="s">
        <v>19</v>
      </c>
      <c r="D10" s="214"/>
      <c r="E10" s="10" t="s">
        <v>17</v>
      </c>
      <c r="F10" s="307"/>
      <c r="G10" s="308"/>
      <c r="H10" s="309"/>
    </row>
    <row r="11" spans="1:9" ht="20.100000000000001" customHeight="1">
      <c r="A11" s="11"/>
      <c r="B11" s="12">
        <v>3</v>
      </c>
      <c r="C11" s="13" t="s">
        <v>20</v>
      </c>
      <c r="D11" s="214"/>
      <c r="E11" s="10" t="s">
        <v>17</v>
      </c>
      <c r="F11" s="307"/>
      <c r="G11" s="308"/>
      <c r="H11" s="309"/>
    </row>
    <row r="12" spans="1:9" ht="20.100000000000001" customHeight="1">
      <c r="A12" s="11"/>
      <c r="B12" s="12">
        <v>4</v>
      </c>
      <c r="C12" s="13" t="s">
        <v>21</v>
      </c>
      <c r="D12" s="214"/>
      <c r="E12" s="10" t="s">
        <v>17</v>
      </c>
      <c r="F12" s="307"/>
      <c r="G12" s="308"/>
      <c r="H12" s="309"/>
    </row>
    <row r="13" spans="1:9" ht="20.100000000000001" customHeight="1">
      <c r="A13" s="11"/>
      <c r="B13" s="12">
        <v>5</v>
      </c>
      <c r="C13" s="12" t="s">
        <v>22</v>
      </c>
      <c r="D13" s="214"/>
      <c r="E13" s="10" t="s">
        <v>17</v>
      </c>
      <c r="F13" s="307"/>
      <c r="G13" s="308"/>
      <c r="H13" s="309"/>
    </row>
    <row r="14" spans="1:9" ht="20.100000000000001" customHeight="1">
      <c r="A14" s="11"/>
      <c r="B14" s="12">
        <v>6</v>
      </c>
      <c r="C14" s="14" t="s">
        <v>23</v>
      </c>
      <c r="D14" s="214"/>
      <c r="E14" s="10" t="s">
        <v>17</v>
      </c>
      <c r="F14" s="307"/>
      <c r="G14" s="308"/>
      <c r="H14" s="309"/>
    </row>
    <row r="15" spans="1:9" ht="20.100000000000001" customHeight="1">
      <c r="A15" s="15"/>
      <c r="B15" s="16">
        <v>7</v>
      </c>
      <c r="C15" s="12" t="s">
        <v>24</v>
      </c>
      <c r="D15" s="214"/>
      <c r="E15" s="10" t="s">
        <v>17</v>
      </c>
      <c r="F15" s="307"/>
      <c r="G15" s="308"/>
      <c r="H15" s="309"/>
    </row>
    <row r="16" spans="1:9" ht="20.100000000000001" customHeight="1">
      <c r="A16" s="15"/>
      <c r="B16" s="257">
        <v>8</v>
      </c>
      <c r="C16" s="12" t="s">
        <v>25</v>
      </c>
      <c r="D16" s="214"/>
      <c r="E16" s="10" t="s">
        <v>17</v>
      </c>
      <c r="F16" s="307"/>
      <c r="G16" s="308"/>
      <c r="H16" s="309"/>
    </row>
    <row r="17" spans="1:10" ht="20.100000000000001" customHeight="1">
      <c r="A17" s="15"/>
      <c r="B17" s="256">
        <v>9</v>
      </c>
      <c r="C17" s="12" t="s">
        <v>26</v>
      </c>
      <c r="D17" s="214"/>
      <c r="E17" s="10" t="s">
        <v>17</v>
      </c>
      <c r="F17" s="307"/>
      <c r="G17" s="308"/>
      <c r="H17" s="309"/>
    </row>
    <row r="18" spans="1:10" ht="20.100000000000001" customHeight="1">
      <c r="A18" s="313" t="s">
        <v>27</v>
      </c>
      <c r="B18" s="314"/>
      <c r="C18" s="315"/>
      <c r="D18" s="214"/>
      <c r="E18" s="17"/>
      <c r="F18" s="307"/>
      <c r="G18" s="308"/>
      <c r="H18" s="309"/>
      <c r="J18" s="18"/>
    </row>
    <row r="19" spans="1:10" ht="20.100000000000001" customHeight="1">
      <c r="A19" s="19">
        <v>2</v>
      </c>
      <c r="B19" s="20" t="s">
        <v>28</v>
      </c>
      <c r="C19" s="21"/>
      <c r="D19" s="214"/>
      <c r="E19" s="17"/>
      <c r="F19" s="307"/>
      <c r="G19" s="308"/>
      <c r="H19" s="309"/>
    </row>
    <row r="20" spans="1:10" ht="20.100000000000001" customHeight="1">
      <c r="A20" s="22"/>
      <c r="B20" s="23"/>
      <c r="C20" s="24" t="s">
        <v>29</v>
      </c>
      <c r="D20" s="214"/>
      <c r="E20" s="10" t="s">
        <v>17</v>
      </c>
      <c r="F20" s="307"/>
      <c r="G20" s="308"/>
      <c r="H20" s="309"/>
    </row>
    <row r="21" spans="1:10" ht="20.100000000000001" customHeight="1">
      <c r="A21" s="22"/>
      <c r="B21" s="23"/>
      <c r="C21" s="24" t="s">
        <v>30</v>
      </c>
      <c r="D21" s="214"/>
      <c r="E21" s="10" t="s">
        <v>17</v>
      </c>
      <c r="F21" s="307"/>
      <c r="G21" s="308"/>
      <c r="H21" s="309"/>
    </row>
    <row r="22" spans="1:10" ht="20.100000000000001" customHeight="1">
      <c r="A22" s="11"/>
      <c r="B22" s="25"/>
      <c r="C22" s="14" t="s">
        <v>31</v>
      </c>
      <c r="D22" s="214"/>
      <c r="E22" s="10" t="s">
        <v>17</v>
      </c>
      <c r="F22" s="307"/>
      <c r="G22" s="308"/>
      <c r="H22" s="309"/>
    </row>
    <row r="23" spans="1:10" ht="20.100000000000001" customHeight="1">
      <c r="A23" s="11"/>
      <c r="B23" s="26"/>
      <c r="C23" s="14" t="s">
        <v>32</v>
      </c>
      <c r="D23" s="215" t="s">
        <v>33</v>
      </c>
      <c r="E23" s="10"/>
      <c r="F23" s="307"/>
      <c r="G23" s="308"/>
      <c r="H23" s="309"/>
    </row>
    <row r="24" spans="1:10" ht="20.100000000000001" customHeight="1">
      <c r="A24" s="19">
        <v>3</v>
      </c>
      <c r="B24" s="27" t="s">
        <v>34</v>
      </c>
      <c r="C24" s="21"/>
      <c r="D24" s="214"/>
      <c r="E24" s="17"/>
      <c r="F24" s="307"/>
      <c r="G24" s="308"/>
      <c r="H24" s="309"/>
    </row>
    <row r="25" spans="1:10" ht="20.100000000000001" customHeight="1">
      <c r="A25" s="11"/>
      <c r="B25" s="28"/>
      <c r="C25" s="14" t="s">
        <v>35</v>
      </c>
      <c r="D25" s="240" t="s">
        <v>33</v>
      </c>
      <c r="E25" s="10" t="s">
        <v>17</v>
      </c>
      <c r="F25" s="307"/>
      <c r="G25" s="308"/>
      <c r="H25" s="309"/>
    </row>
    <row r="26" spans="1:10" ht="20.100000000000001" customHeight="1">
      <c r="A26" s="19">
        <v>4</v>
      </c>
      <c r="B26" s="27" t="s">
        <v>36</v>
      </c>
      <c r="C26" s="27"/>
      <c r="D26" s="214"/>
      <c r="E26" s="10"/>
      <c r="F26" s="307"/>
      <c r="G26" s="308"/>
      <c r="H26" s="309"/>
    </row>
    <row r="27" spans="1:10" ht="20.100000000000001" customHeight="1">
      <c r="A27" s="22"/>
      <c r="B27" s="23"/>
      <c r="C27" s="24" t="s">
        <v>37</v>
      </c>
      <c r="D27" s="215" t="s">
        <v>33</v>
      </c>
      <c r="E27" s="10"/>
      <c r="F27" s="307"/>
      <c r="G27" s="308"/>
      <c r="H27" s="309"/>
    </row>
    <row r="28" spans="1:10" ht="20.100000000000001" customHeight="1">
      <c r="A28" s="11"/>
      <c r="B28" s="25"/>
      <c r="C28" s="14" t="s">
        <v>38</v>
      </c>
      <c r="D28" s="215" t="s">
        <v>33</v>
      </c>
      <c r="E28" s="10" t="s">
        <v>17</v>
      </c>
      <c r="F28" s="307"/>
      <c r="G28" s="308"/>
      <c r="H28" s="309"/>
    </row>
    <row r="29" spans="1:10" ht="20.100000000000001" customHeight="1">
      <c r="A29" s="11"/>
      <c r="B29" s="26"/>
      <c r="C29" s="14" t="s">
        <v>39</v>
      </c>
      <c r="D29" s="215" t="s">
        <v>33</v>
      </c>
      <c r="E29" s="10"/>
      <c r="F29" s="307"/>
      <c r="G29" s="308"/>
      <c r="H29" s="309"/>
    </row>
    <row r="30" spans="1:10" ht="20.100000000000001" customHeight="1">
      <c r="A30" s="11"/>
      <c r="B30" s="26"/>
      <c r="C30" s="14" t="s">
        <v>40</v>
      </c>
      <c r="D30" s="215" t="s">
        <v>33</v>
      </c>
      <c r="E30" s="10"/>
      <c r="F30" s="307"/>
      <c r="G30" s="308"/>
      <c r="H30" s="309"/>
    </row>
    <row r="31" spans="1:10" ht="20.100000000000001" customHeight="1">
      <c r="A31" s="11"/>
      <c r="B31" s="26"/>
      <c r="C31" s="14" t="s">
        <v>41</v>
      </c>
      <c r="D31" s="215" t="s">
        <v>33</v>
      </c>
      <c r="E31" s="10" t="s">
        <v>17</v>
      </c>
      <c r="F31" s="307"/>
      <c r="G31" s="308"/>
      <c r="H31" s="309"/>
    </row>
    <row r="32" spans="1:10" ht="20.100000000000001" customHeight="1">
      <c r="A32" s="19">
        <v>5</v>
      </c>
      <c r="B32" s="27" t="s">
        <v>42</v>
      </c>
      <c r="C32" s="27"/>
      <c r="D32" s="214"/>
      <c r="E32" s="10"/>
      <c r="F32" s="307"/>
      <c r="G32" s="308"/>
      <c r="H32" s="309"/>
    </row>
    <row r="33" spans="1:8" ht="20.100000000000001" customHeight="1">
      <c r="A33" s="22"/>
      <c r="B33" s="28"/>
      <c r="C33" s="14" t="s">
        <v>43</v>
      </c>
      <c r="D33" s="214"/>
      <c r="E33" s="10" t="s">
        <v>17</v>
      </c>
      <c r="F33" s="307"/>
      <c r="G33" s="308"/>
      <c r="H33" s="309"/>
    </row>
    <row r="34" spans="1:8" ht="20.100000000000001" customHeight="1">
      <c r="A34" s="11"/>
      <c r="B34" s="28"/>
      <c r="C34" s="14" t="s">
        <v>44</v>
      </c>
      <c r="D34" s="215" t="s">
        <v>33</v>
      </c>
      <c r="E34" s="10"/>
      <c r="F34" s="307"/>
      <c r="G34" s="308"/>
      <c r="H34" s="309"/>
    </row>
    <row r="35" spans="1:8" ht="20.100000000000001" customHeight="1">
      <c r="A35" s="11"/>
      <c r="B35" s="28"/>
      <c r="C35" s="14" t="s">
        <v>45</v>
      </c>
      <c r="D35" s="214"/>
      <c r="E35" s="17"/>
      <c r="F35" s="307"/>
      <c r="G35" s="308"/>
      <c r="H35" s="309"/>
    </row>
    <row r="36" spans="1:8" ht="20.100000000000001" customHeight="1">
      <c r="A36" s="11"/>
      <c r="B36" s="28"/>
      <c r="C36" s="14" t="s">
        <v>46</v>
      </c>
      <c r="D36" s="215" t="s">
        <v>33</v>
      </c>
      <c r="E36" s="10"/>
      <c r="F36" s="307"/>
      <c r="G36" s="308"/>
      <c r="H36" s="309"/>
    </row>
    <row r="37" spans="1:8" ht="20.100000000000001" customHeight="1">
      <c r="A37" s="11"/>
      <c r="B37" s="28"/>
      <c r="C37" s="14" t="s">
        <v>47</v>
      </c>
      <c r="D37" s="214"/>
      <c r="E37" s="10" t="s">
        <v>17</v>
      </c>
      <c r="F37" s="307"/>
      <c r="G37" s="308"/>
      <c r="H37" s="309"/>
    </row>
    <row r="38" spans="1:8" ht="20.100000000000001" customHeight="1">
      <c r="A38" s="11"/>
      <c r="B38" s="28"/>
      <c r="C38" s="14" t="s">
        <v>48</v>
      </c>
      <c r="D38" s="214"/>
      <c r="E38" s="17"/>
      <c r="F38" s="307"/>
      <c r="G38" s="308"/>
      <c r="H38" s="309"/>
    </row>
    <row r="39" spans="1:8" ht="20.100000000000001" customHeight="1">
      <c r="A39" s="11"/>
      <c r="B39" s="28"/>
      <c r="C39" s="14" t="s">
        <v>49</v>
      </c>
      <c r="D39" s="215" t="s">
        <v>33</v>
      </c>
      <c r="E39" s="10" t="s">
        <v>17</v>
      </c>
      <c r="F39" s="307"/>
      <c r="G39" s="308"/>
      <c r="H39" s="309"/>
    </row>
    <row r="40" spans="1:8" ht="20.100000000000001" customHeight="1">
      <c r="A40" s="19">
        <v>6</v>
      </c>
      <c r="B40" s="27" t="s">
        <v>50</v>
      </c>
      <c r="C40" s="27"/>
      <c r="D40" s="214"/>
      <c r="E40" s="10"/>
      <c r="F40" s="307"/>
      <c r="G40" s="308"/>
      <c r="H40" s="309"/>
    </row>
    <row r="41" spans="1:8" ht="20.100000000000001" customHeight="1">
      <c r="A41" s="11"/>
      <c r="B41" s="28"/>
      <c r="C41" s="14" t="s">
        <v>51</v>
      </c>
      <c r="D41" s="214"/>
      <c r="E41" s="10" t="s">
        <v>17</v>
      </c>
      <c r="F41" s="307"/>
      <c r="G41" s="308"/>
      <c r="H41" s="309"/>
    </row>
    <row r="42" spans="1:8" ht="20.100000000000001" customHeight="1">
      <c r="A42" s="11"/>
      <c r="B42" s="28"/>
      <c r="C42" s="14" t="s">
        <v>52</v>
      </c>
      <c r="D42" s="214"/>
      <c r="E42" s="17"/>
      <c r="F42" s="307"/>
      <c r="G42" s="308"/>
      <c r="H42" s="309"/>
    </row>
    <row r="43" spans="1:8" ht="20.100000000000001" customHeight="1">
      <c r="A43" s="11"/>
      <c r="B43" s="28"/>
      <c r="C43" s="14" t="s">
        <v>53</v>
      </c>
      <c r="D43" s="214"/>
      <c r="E43" s="17"/>
      <c r="F43" s="307"/>
      <c r="G43" s="308"/>
      <c r="H43" s="309"/>
    </row>
    <row r="44" spans="1:8" ht="20.100000000000001" customHeight="1">
      <c r="A44" s="11"/>
      <c r="B44" s="28"/>
      <c r="C44" s="14" t="s">
        <v>54</v>
      </c>
      <c r="D44" s="214"/>
      <c r="E44" s="17"/>
      <c r="F44" s="307"/>
      <c r="G44" s="308"/>
      <c r="H44" s="309"/>
    </row>
    <row r="45" spans="1:8" ht="20.100000000000001" customHeight="1">
      <c r="A45" s="11"/>
      <c r="B45" s="28"/>
      <c r="C45" s="14" t="s">
        <v>55</v>
      </c>
      <c r="D45" s="214"/>
      <c r="E45" s="17"/>
      <c r="F45" s="307"/>
      <c r="G45" s="308"/>
      <c r="H45" s="309"/>
    </row>
    <row r="46" spans="1:8" ht="20.100000000000001" customHeight="1">
      <c r="A46" s="11"/>
      <c r="B46" s="28"/>
      <c r="C46" s="14" t="s">
        <v>56</v>
      </c>
      <c r="D46" s="214"/>
      <c r="E46" s="10" t="s">
        <v>17</v>
      </c>
      <c r="F46" s="307"/>
      <c r="G46" s="308"/>
      <c r="H46" s="309"/>
    </row>
    <row r="47" spans="1:8" ht="20.100000000000001" customHeight="1">
      <c r="A47" s="19">
        <v>7</v>
      </c>
      <c r="B47" s="27" t="s">
        <v>57</v>
      </c>
      <c r="C47" s="27"/>
      <c r="D47" s="214"/>
      <c r="E47" s="17"/>
      <c r="F47" s="307"/>
      <c r="G47" s="308"/>
      <c r="H47" s="309"/>
    </row>
    <row r="48" spans="1:8" ht="20.100000000000001" customHeight="1">
      <c r="A48" s="11"/>
      <c r="B48" s="28"/>
      <c r="C48" s="14" t="s">
        <v>58</v>
      </c>
      <c r="D48" s="215" t="s">
        <v>33</v>
      </c>
      <c r="E48" s="10" t="s">
        <v>17</v>
      </c>
      <c r="F48" s="307"/>
      <c r="G48" s="308"/>
      <c r="H48" s="309"/>
    </row>
    <row r="49" spans="1:8" ht="20.100000000000001" customHeight="1">
      <c r="A49" s="11"/>
      <c r="B49" s="29"/>
      <c r="C49" s="14" t="s">
        <v>59</v>
      </c>
      <c r="D49" s="214"/>
      <c r="E49" s="17"/>
      <c r="F49" s="307"/>
      <c r="G49" s="308"/>
      <c r="H49" s="309"/>
    </row>
    <row r="50" spans="1:8" ht="20.100000000000001" customHeight="1">
      <c r="A50" s="19">
        <v>8</v>
      </c>
      <c r="B50" s="27" t="s">
        <v>60</v>
      </c>
      <c r="C50" s="27"/>
      <c r="D50" s="214"/>
      <c r="E50" s="17"/>
      <c r="F50" s="307"/>
      <c r="G50" s="308"/>
      <c r="H50" s="309"/>
    </row>
    <row r="51" spans="1:8" ht="20.100000000000001" customHeight="1">
      <c r="A51" s="11"/>
      <c r="B51" s="28"/>
      <c r="C51" s="24" t="s">
        <v>61</v>
      </c>
      <c r="D51" s="214"/>
      <c r="E51" s="10"/>
      <c r="F51" s="307"/>
      <c r="G51" s="308"/>
      <c r="H51" s="309"/>
    </row>
    <row r="52" spans="1:8" ht="20.100000000000001" customHeight="1">
      <c r="A52" s="11"/>
      <c r="B52" s="30"/>
      <c r="C52" s="14" t="s">
        <v>62</v>
      </c>
      <c r="D52" s="215" t="s">
        <v>33</v>
      </c>
      <c r="E52" s="10" t="s">
        <v>17</v>
      </c>
      <c r="F52" s="307"/>
      <c r="G52" s="308"/>
      <c r="H52" s="309"/>
    </row>
    <row r="53" spans="1:8" ht="20.100000000000001" customHeight="1">
      <c r="A53" s="11"/>
      <c r="B53" s="30"/>
      <c r="C53" s="24" t="s">
        <v>63</v>
      </c>
      <c r="D53" s="214"/>
      <c r="E53" s="10"/>
      <c r="F53" s="307"/>
      <c r="G53" s="308"/>
      <c r="H53" s="309"/>
    </row>
    <row r="54" spans="1:8" ht="20.100000000000001" customHeight="1">
      <c r="A54" s="11"/>
      <c r="B54" s="30"/>
      <c r="C54" s="24" t="s">
        <v>64</v>
      </c>
      <c r="D54" s="215" t="s">
        <v>33</v>
      </c>
      <c r="E54" s="10"/>
      <c r="F54" s="307"/>
      <c r="G54" s="308"/>
      <c r="H54" s="309"/>
    </row>
    <row r="55" spans="1:8" ht="20.100000000000001" customHeight="1">
      <c r="A55" s="11"/>
      <c r="B55" s="30"/>
      <c r="C55" s="24" t="s">
        <v>65</v>
      </c>
      <c r="D55" s="215" t="s">
        <v>33</v>
      </c>
      <c r="E55" s="10" t="s">
        <v>17</v>
      </c>
      <c r="F55" s="307"/>
      <c r="G55" s="308"/>
      <c r="H55" s="309"/>
    </row>
    <row r="56" spans="1:8" ht="20.100000000000001" customHeight="1">
      <c r="A56" s="11"/>
      <c r="B56" s="30"/>
      <c r="C56" s="24" t="s">
        <v>66</v>
      </c>
      <c r="D56" s="214"/>
      <c r="E56" s="10" t="s">
        <v>17</v>
      </c>
      <c r="F56" s="307"/>
      <c r="G56" s="308"/>
      <c r="H56" s="309"/>
    </row>
    <row r="57" spans="1:8" ht="20.100000000000001" customHeight="1">
      <c r="A57" s="11"/>
      <c r="B57" s="30"/>
      <c r="C57" s="24" t="s">
        <v>67</v>
      </c>
      <c r="D57" s="214"/>
      <c r="E57" s="10"/>
      <c r="F57" s="307"/>
      <c r="G57" s="308"/>
      <c r="H57" s="309"/>
    </row>
    <row r="58" spans="1:8" ht="20.100000000000001" customHeight="1">
      <c r="A58" s="11"/>
      <c r="B58" s="30"/>
      <c r="C58" s="24" t="s">
        <v>68</v>
      </c>
      <c r="D58" s="214"/>
      <c r="E58" s="10" t="s">
        <v>17</v>
      </c>
      <c r="F58" s="307"/>
      <c r="G58" s="308"/>
      <c r="H58" s="309"/>
    </row>
    <row r="59" spans="1:8" ht="20.100000000000001" customHeight="1">
      <c r="A59" s="19">
        <v>9</v>
      </c>
      <c r="B59" s="27" t="s">
        <v>69</v>
      </c>
      <c r="C59" s="27"/>
      <c r="D59" s="214"/>
      <c r="E59" s="17"/>
      <c r="F59" s="307"/>
      <c r="G59" s="308"/>
      <c r="H59" s="309"/>
    </row>
    <row r="60" spans="1:8" ht="20.100000000000001" customHeight="1">
      <c r="A60" s="31"/>
      <c r="B60" s="26"/>
      <c r="C60" s="14" t="s">
        <v>70</v>
      </c>
      <c r="D60" s="215" t="s">
        <v>33</v>
      </c>
      <c r="E60" s="10" t="s">
        <v>17</v>
      </c>
      <c r="F60" s="307"/>
      <c r="G60" s="308"/>
      <c r="H60" s="309"/>
    </row>
    <row r="61" spans="1:8" ht="20.100000000000001" customHeight="1">
      <c r="A61" s="11"/>
      <c r="B61" s="26"/>
      <c r="C61" s="14" t="s">
        <v>71</v>
      </c>
      <c r="D61" s="214"/>
      <c r="E61" s="10" t="s">
        <v>17</v>
      </c>
      <c r="F61" s="307"/>
      <c r="G61" s="308"/>
      <c r="H61" s="309"/>
    </row>
    <row r="62" spans="1:8" ht="20.100000000000001" customHeight="1">
      <c r="A62" s="11"/>
      <c r="B62" s="26"/>
      <c r="C62" s="14" t="s">
        <v>72</v>
      </c>
      <c r="D62" s="215" t="s">
        <v>33</v>
      </c>
      <c r="E62" s="10" t="s">
        <v>17</v>
      </c>
      <c r="F62" s="307"/>
      <c r="G62" s="308"/>
      <c r="H62" s="309"/>
    </row>
    <row r="63" spans="1:8" ht="20.100000000000001" customHeight="1">
      <c r="A63" s="11"/>
      <c r="B63" s="30"/>
      <c r="C63" s="24" t="s">
        <v>49</v>
      </c>
      <c r="D63" s="214"/>
      <c r="E63" s="10" t="s">
        <v>17</v>
      </c>
      <c r="F63" s="307"/>
      <c r="G63" s="308"/>
      <c r="H63" s="309"/>
    </row>
    <row r="64" spans="1:8" ht="20.100000000000001" customHeight="1">
      <c r="A64" s="19">
        <v>10</v>
      </c>
      <c r="B64" s="27" t="s">
        <v>73</v>
      </c>
      <c r="C64" s="27"/>
      <c r="D64" s="214"/>
      <c r="E64" s="17"/>
      <c r="F64" s="310"/>
      <c r="G64" s="311"/>
      <c r="H64" s="312"/>
    </row>
    <row r="65" spans="1:8" ht="20.100000000000001" customHeight="1">
      <c r="A65" s="11"/>
      <c r="B65" s="30"/>
      <c r="C65" s="24" t="s">
        <v>74</v>
      </c>
      <c r="D65" s="214"/>
      <c r="E65" s="10" t="s">
        <v>17</v>
      </c>
      <c r="F65" s="307" t="s">
        <v>75</v>
      </c>
      <c r="G65" s="308"/>
      <c r="H65" s="309"/>
    </row>
    <row r="66" spans="1:8" ht="20.100000000000001" customHeight="1">
      <c r="A66" s="19">
        <v>11</v>
      </c>
      <c r="B66" s="27" t="s">
        <v>76</v>
      </c>
      <c r="C66" s="27"/>
      <c r="D66" s="214"/>
      <c r="E66" s="17"/>
      <c r="F66" s="307"/>
      <c r="G66" s="308"/>
      <c r="H66" s="309"/>
    </row>
    <row r="67" spans="1:8" ht="20.100000000000001" customHeight="1">
      <c r="A67" s="31"/>
      <c r="B67" s="26"/>
      <c r="C67" s="14" t="s">
        <v>77</v>
      </c>
      <c r="D67" s="215" t="s">
        <v>33</v>
      </c>
      <c r="E67" s="10" t="s">
        <v>17</v>
      </c>
      <c r="F67" s="307"/>
      <c r="G67" s="308"/>
      <c r="H67" s="309"/>
    </row>
    <row r="68" spans="1:8" ht="20.100000000000001" customHeight="1">
      <c r="A68" s="223"/>
      <c r="B68" s="224"/>
      <c r="C68" s="225" t="s">
        <v>78</v>
      </c>
      <c r="D68" s="226" t="s">
        <v>33</v>
      </c>
      <c r="E68" s="10" t="s">
        <v>17</v>
      </c>
      <c r="F68" s="304"/>
      <c r="G68" s="305"/>
      <c r="H68" s="306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sheetPr>
    <tabColor rgb="FFECD9FF"/>
  </sheetPr>
  <dimension ref="A1:Q197"/>
  <sheetViews>
    <sheetView topLeftCell="A6" workbookViewId="0">
      <selection activeCell="B28" sqref="B28:D28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29.85546875" customWidth="1"/>
    <col min="14" max="14" width="14" customWidth="1"/>
    <col min="15" max="15" width="11.140625" customWidth="1"/>
    <col min="17" max="17" width="11.7109375" bestFit="1" customWidth="1"/>
  </cols>
  <sheetData>
    <row r="1" spans="1:17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7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7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7" ht="18">
      <c r="A4" s="121"/>
      <c r="B4" s="52"/>
      <c r="D4" s="54"/>
      <c r="G4" s="122"/>
      <c r="H4" s="64"/>
      <c r="I4" s="65"/>
    </row>
    <row r="5" spans="1:17" ht="18">
      <c r="A5" s="52" t="s">
        <v>260</v>
      </c>
      <c r="C5" s="56"/>
      <c r="F5" s="57"/>
      <c r="G5" s="57"/>
      <c r="H5" s="64"/>
      <c r="J5" s="65"/>
    </row>
    <row r="6" spans="1:17" s="105" customFormat="1" ht="18">
      <c r="A6" s="254"/>
      <c r="B6" s="62"/>
      <c r="C6" s="106"/>
      <c r="D6" s="52"/>
      <c r="E6" s="52"/>
      <c r="F6" s="64"/>
      <c r="G6" s="64"/>
      <c r="H6" s="64"/>
      <c r="I6" s="107"/>
    </row>
    <row r="7" spans="1:17" ht="20.100000000000001" customHeight="1" thickBot="1">
      <c r="A7" s="180"/>
      <c r="H7" s="352"/>
      <c r="I7" s="352"/>
      <c r="J7" s="352"/>
      <c r="K7" s="352"/>
      <c r="L7" s="352"/>
    </row>
    <row r="8" spans="1:17" ht="42.75" customHeight="1" thickBot="1">
      <c r="A8" s="181" t="s">
        <v>156</v>
      </c>
      <c r="B8" s="353" t="s">
        <v>276</v>
      </c>
      <c r="C8" s="354"/>
      <c r="D8" s="355"/>
      <c r="E8" s="182" t="s">
        <v>277</v>
      </c>
      <c r="F8" s="182" t="s">
        <v>278</v>
      </c>
      <c r="G8" s="183" t="s">
        <v>279</v>
      </c>
      <c r="H8" s="184"/>
      <c r="I8" s="181" t="s">
        <v>156</v>
      </c>
      <c r="J8" s="353" t="s">
        <v>276</v>
      </c>
      <c r="K8" s="354"/>
      <c r="L8" s="355"/>
      <c r="M8" s="182" t="s">
        <v>277</v>
      </c>
      <c r="N8" s="182" t="s">
        <v>278</v>
      </c>
      <c r="O8" s="183" t="s">
        <v>279</v>
      </c>
    </row>
    <row r="9" spans="1:17" ht="15.95" customHeight="1">
      <c r="A9" s="185"/>
      <c r="B9" s="356"/>
      <c r="C9" s="356"/>
      <c r="D9" s="356"/>
      <c r="E9" s="186"/>
      <c r="F9" s="187"/>
      <c r="G9" s="188" t="str">
        <f t="shared" ref="G9:G22" si="0">IF(E9=0,IF(F9=0,"",F9),F9*E9)</f>
        <v/>
      </c>
      <c r="H9" s="189"/>
      <c r="I9" s="185"/>
      <c r="J9" s="356"/>
      <c r="K9" s="356"/>
      <c r="L9" s="356"/>
      <c r="M9" s="186"/>
      <c r="N9" s="187"/>
      <c r="O9" s="188" t="str">
        <f t="shared" ref="O9:O15" si="1">IF(M9=0,IF(N9=0,"",N9),N9*M9)</f>
        <v/>
      </c>
    </row>
    <row r="10" spans="1:17" ht="15.95" customHeight="1">
      <c r="A10" s="185"/>
      <c r="B10" s="345" t="s">
        <v>280</v>
      </c>
      <c r="C10" s="346"/>
      <c r="D10" s="347"/>
      <c r="E10" s="186"/>
      <c r="F10" s="187"/>
      <c r="G10" s="193" t="str">
        <f t="shared" si="0"/>
        <v/>
      </c>
      <c r="H10" s="189"/>
      <c r="I10" s="185"/>
      <c r="J10" s="345" t="s">
        <v>281</v>
      </c>
      <c r="K10" s="346"/>
      <c r="L10" s="347"/>
      <c r="M10" s="186"/>
      <c r="N10" s="187"/>
      <c r="O10" s="193" t="str">
        <f t="shared" si="1"/>
        <v/>
      </c>
    </row>
    <row r="11" spans="1:17" ht="15.95" customHeight="1">
      <c r="A11" s="185"/>
      <c r="B11" s="345"/>
      <c r="C11" s="346"/>
      <c r="D11" s="347"/>
      <c r="E11" s="186"/>
      <c r="F11" s="187"/>
      <c r="G11" s="193" t="str">
        <f t="shared" si="0"/>
        <v/>
      </c>
      <c r="H11" s="189"/>
      <c r="I11" s="185"/>
      <c r="J11" s="345"/>
      <c r="K11" s="346"/>
      <c r="L11" s="347"/>
      <c r="M11" s="186"/>
      <c r="N11" s="187"/>
      <c r="O11" s="193" t="str">
        <f t="shared" si="1"/>
        <v/>
      </c>
    </row>
    <row r="12" spans="1:17" ht="15.95" customHeight="1">
      <c r="A12" s="185"/>
      <c r="B12" s="348" t="s">
        <v>282</v>
      </c>
      <c r="C12" s="348"/>
      <c r="D12" s="348"/>
      <c r="E12" s="186"/>
      <c r="F12" s="187"/>
      <c r="G12" s="190" t="str">
        <f t="shared" si="0"/>
        <v/>
      </c>
      <c r="H12" s="189"/>
      <c r="I12" s="185"/>
      <c r="J12" s="348" t="s">
        <v>282</v>
      </c>
      <c r="K12" s="348"/>
      <c r="L12" s="348"/>
      <c r="M12" s="186"/>
      <c r="N12" s="187"/>
      <c r="O12" s="190" t="str">
        <f t="shared" si="1"/>
        <v/>
      </c>
    </row>
    <row r="13" spans="1:17" ht="15.95" customHeight="1">
      <c r="A13" s="185"/>
      <c r="B13" s="341" t="s">
        <v>34</v>
      </c>
      <c r="C13" s="342"/>
      <c r="D13" s="343"/>
      <c r="E13" s="192">
        <v>1</v>
      </c>
      <c r="F13" s="187">
        <v>21114</v>
      </c>
      <c r="G13" s="193">
        <f t="shared" si="0"/>
        <v>21114</v>
      </c>
      <c r="H13" s="189"/>
      <c r="I13" s="185"/>
      <c r="J13" s="341" t="s">
        <v>34</v>
      </c>
      <c r="K13" s="342"/>
      <c r="L13" s="343"/>
      <c r="M13" s="192">
        <v>1</v>
      </c>
      <c r="N13" s="187">
        <v>18830</v>
      </c>
      <c r="O13" s="193">
        <f t="shared" si="1"/>
        <v>18830</v>
      </c>
    </row>
    <row r="14" spans="1:17" ht="15.95" customHeight="1">
      <c r="A14" s="185"/>
      <c r="B14" s="341" t="s">
        <v>283</v>
      </c>
      <c r="C14" s="342"/>
      <c r="D14" s="343"/>
      <c r="E14" s="192">
        <v>1</v>
      </c>
      <c r="F14" s="187">
        <v>10032</v>
      </c>
      <c r="G14" s="193">
        <f t="shared" si="0"/>
        <v>10032</v>
      </c>
      <c r="H14" s="189"/>
      <c r="I14" s="185"/>
      <c r="J14" s="341" t="s">
        <v>283</v>
      </c>
      <c r="K14" s="342"/>
      <c r="L14" s="343"/>
      <c r="M14" s="192">
        <v>1</v>
      </c>
      <c r="N14" s="187">
        <v>10032</v>
      </c>
      <c r="O14" s="193">
        <f t="shared" si="1"/>
        <v>10032</v>
      </c>
    </row>
    <row r="15" spans="1:17" ht="15.95" customHeight="1">
      <c r="A15" s="185"/>
      <c r="B15" s="341" t="s">
        <v>284</v>
      </c>
      <c r="C15" s="342"/>
      <c r="D15" s="343"/>
      <c r="E15" s="192">
        <v>1</v>
      </c>
      <c r="F15" s="187">
        <f>(1800000+2000000)/2</f>
        <v>1900000</v>
      </c>
      <c r="G15" s="193">
        <f t="shared" si="0"/>
        <v>1900000</v>
      </c>
      <c r="H15" s="189"/>
      <c r="I15" s="185"/>
      <c r="J15" s="341" t="s">
        <v>285</v>
      </c>
      <c r="K15" s="342"/>
      <c r="L15" s="343"/>
      <c r="M15" s="192">
        <v>1</v>
      </c>
      <c r="N15" s="187">
        <f>(1557377+1610169)/2</f>
        <v>1583773</v>
      </c>
      <c r="O15" s="193">
        <f t="shared" si="1"/>
        <v>1583773</v>
      </c>
      <c r="Q15" s="287"/>
    </row>
    <row r="16" spans="1:17" ht="15.95" customHeight="1">
      <c r="A16" s="185"/>
      <c r="B16" s="349" t="s">
        <v>286</v>
      </c>
      <c r="C16" s="350"/>
      <c r="D16" s="351"/>
      <c r="E16" s="194"/>
      <c r="F16" s="195"/>
      <c r="G16" s="196">
        <f>SUM(G13:G15)</f>
        <v>1931146</v>
      </c>
      <c r="H16" s="189"/>
      <c r="I16" s="185"/>
      <c r="J16" s="349" t="s">
        <v>286</v>
      </c>
      <c r="K16" s="350"/>
      <c r="L16" s="351"/>
      <c r="M16" s="194"/>
      <c r="N16" s="195"/>
      <c r="O16" s="196">
        <f>SUM(O13:O15)</f>
        <v>1612635</v>
      </c>
    </row>
    <row r="17" spans="1:15" ht="15.95" customHeight="1">
      <c r="A17" s="185"/>
      <c r="B17" s="337"/>
      <c r="C17" s="338"/>
      <c r="D17" s="339"/>
      <c r="E17" s="186"/>
      <c r="F17" s="187"/>
      <c r="G17" s="193" t="str">
        <f t="shared" si="0"/>
        <v/>
      </c>
      <c r="H17" s="189"/>
      <c r="I17" s="185"/>
      <c r="J17" s="337"/>
      <c r="K17" s="338"/>
      <c r="L17" s="339"/>
      <c r="M17" s="186"/>
      <c r="N17" s="187"/>
      <c r="O17" s="193" t="str">
        <f t="shared" ref="O17:O20" si="2">IF(M17=0,IF(N17=0,"",N17),N17*M17)</f>
        <v/>
      </c>
    </row>
    <row r="18" spans="1:15" ht="15.95" customHeight="1">
      <c r="A18" s="185"/>
      <c r="B18" s="348" t="s">
        <v>57</v>
      </c>
      <c r="C18" s="348"/>
      <c r="D18" s="348"/>
      <c r="E18" s="186"/>
      <c r="F18" s="187"/>
      <c r="G18" s="193" t="str">
        <f t="shared" si="0"/>
        <v/>
      </c>
      <c r="H18" s="189"/>
      <c r="I18" s="185"/>
      <c r="J18" s="348" t="s">
        <v>57</v>
      </c>
      <c r="K18" s="348"/>
      <c r="L18" s="348"/>
      <c r="M18" s="186"/>
      <c r="N18" s="187"/>
      <c r="O18" s="193" t="str">
        <f t="shared" si="2"/>
        <v/>
      </c>
    </row>
    <row r="19" spans="1:15" ht="15.95" customHeight="1">
      <c r="A19" s="185"/>
      <c r="B19" s="340" t="s">
        <v>160</v>
      </c>
      <c r="C19" s="340"/>
      <c r="D19" s="340"/>
      <c r="E19" s="186">
        <v>1</v>
      </c>
      <c r="F19" s="187">
        <v>2105</v>
      </c>
      <c r="G19" s="193">
        <f t="shared" si="0"/>
        <v>2105</v>
      </c>
      <c r="H19" s="189"/>
      <c r="I19" s="185"/>
      <c r="J19" s="340" t="s">
        <v>160</v>
      </c>
      <c r="K19" s="340"/>
      <c r="L19" s="340"/>
      <c r="M19" s="186">
        <v>1</v>
      </c>
      <c r="N19" s="187">
        <v>1399</v>
      </c>
      <c r="O19" s="193">
        <f t="shared" si="2"/>
        <v>1399</v>
      </c>
    </row>
    <row r="20" spans="1:15" ht="15.95" customHeight="1">
      <c r="A20" s="185"/>
      <c r="B20" s="341" t="s">
        <v>287</v>
      </c>
      <c r="C20" s="342"/>
      <c r="D20" s="343"/>
      <c r="E20" s="186">
        <v>1</v>
      </c>
      <c r="F20" s="187">
        <v>36437</v>
      </c>
      <c r="G20" s="193">
        <f t="shared" si="0"/>
        <v>36437</v>
      </c>
      <c r="H20" s="189"/>
      <c r="I20" s="185"/>
      <c r="J20" s="341" t="s">
        <v>287</v>
      </c>
      <c r="K20" s="342"/>
      <c r="L20" s="343"/>
      <c r="M20" s="186">
        <v>1</v>
      </c>
      <c r="N20" s="187">
        <v>22514</v>
      </c>
      <c r="O20" s="193">
        <f t="shared" si="2"/>
        <v>22514</v>
      </c>
    </row>
    <row r="21" spans="1:15" ht="15.95" customHeight="1">
      <c r="A21" s="185"/>
      <c r="B21" s="344" t="s">
        <v>288</v>
      </c>
      <c r="C21" s="344"/>
      <c r="D21" s="344"/>
      <c r="E21" s="194"/>
      <c r="F21" s="195"/>
      <c r="G21" s="197">
        <f>SUM(G19:G20)</f>
        <v>38542</v>
      </c>
      <c r="H21" s="189"/>
      <c r="I21" s="185"/>
      <c r="J21" s="344" t="s">
        <v>288</v>
      </c>
      <c r="K21" s="344"/>
      <c r="L21" s="344"/>
      <c r="M21" s="194"/>
      <c r="N21" s="195"/>
      <c r="O21" s="197">
        <f>SUM(O19:O20)</f>
        <v>23913</v>
      </c>
    </row>
    <row r="22" spans="1:15" ht="15.95" customHeight="1">
      <c r="A22" s="185"/>
      <c r="B22" s="337"/>
      <c r="C22" s="338"/>
      <c r="D22" s="339"/>
      <c r="E22" s="186"/>
      <c r="F22" s="187"/>
      <c r="G22" s="198" t="str">
        <f t="shared" si="0"/>
        <v/>
      </c>
      <c r="H22" s="189"/>
      <c r="I22" s="185"/>
      <c r="J22" s="337"/>
      <c r="K22" s="338"/>
      <c r="L22" s="339"/>
      <c r="M22" s="186"/>
      <c r="N22" s="187"/>
      <c r="O22" s="198" t="str">
        <f t="shared" ref="O22" si="3">IF(M22=0,IF(N22=0,"",N22),N22*M22)</f>
        <v/>
      </c>
    </row>
    <row r="23" spans="1:15" ht="15.95" customHeight="1">
      <c r="A23" s="185"/>
      <c r="B23" s="345" t="s">
        <v>289</v>
      </c>
      <c r="C23" s="346"/>
      <c r="D23" s="347"/>
      <c r="E23" s="194"/>
      <c r="F23" s="195"/>
      <c r="G23" s="197">
        <f>G16-G21</f>
        <v>1892604</v>
      </c>
      <c r="H23" s="189"/>
      <c r="I23" s="185"/>
      <c r="J23" s="345" t="s">
        <v>289</v>
      </c>
      <c r="K23" s="346"/>
      <c r="L23" s="347"/>
      <c r="M23" s="194"/>
      <c r="N23" s="195"/>
      <c r="O23" s="286">
        <f>O16-O21</f>
        <v>1588722</v>
      </c>
    </row>
    <row r="24" spans="1:15" ht="15.95" customHeight="1" thickBot="1">
      <c r="A24" s="185"/>
      <c r="B24" s="357"/>
      <c r="C24" s="357"/>
      <c r="D24" s="357"/>
      <c r="E24" s="186"/>
      <c r="F24" s="187"/>
      <c r="G24" s="199" t="str">
        <f t="shared" ref="G24:G34" si="4">IF(E24=0,IF(F24=0,"",F24),F24*E24)</f>
        <v/>
      </c>
      <c r="H24" s="189"/>
      <c r="I24" s="185"/>
      <c r="J24" s="357"/>
      <c r="K24" s="357"/>
      <c r="L24" s="357"/>
      <c r="M24" s="186"/>
      <c r="N24" s="187"/>
      <c r="O24" s="199" t="str">
        <f t="shared" ref="O24:O34" si="5">IF(M24=0,IF(N24=0,"",N24),N24*M24)</f>
        <v/>
      </c>
    </row>
    <row r="25" spans="1:15" ht="15.95" customHeight="1">
      <c r="A25" s="200"/>
      <c r="B25" s="358" t="s">
        <v>290</v>
      </c>
      <c r="C25" s="359"/>
      <c r="D25" s="360"/>
      <c r="E25" s="201"/>
      <c r="F25" s="187"/>
      <c r="G25" s="198"/>
      <c r="H25" s="189"/>
      <c r="I25" s="200"/>
      <c r="J25" s="358" t="s">
        <v>290</v>
      </c>
      <c r="K25" s="359"/>
      <c r="L25" s="360"/>
      <c r="M25" s="201"/>
      <c r="N25" s="187"/>
      <c r="O25" s="198"/>
    </row>
    <row r="26" spans="1:15" ht="15.95" customHeight="1">
      <c r="A26" s="200"/>
      <c r="B26" s="185" t="s">
        <v>291</v>
      </c>
      <c r="C26" s="202"/>
      <c r="D26" s="203">
        <v>840717</v>
      </c>
      <c r="E26" s="201"/>
      <c r="F26" s="187"/>
      <c r="G26" s="198"/>
      <c r="H26" s="189"/>
      <c r="I26" s="200"/>
      <c r="J26" s="185" t="s">
        <v>291</v>
      </c>
      <c r="K26" s="202"/>
      <c r="L26" s="203">
        <v>916300</v>
      </c>
      <c r="M26" s="201"/>
      <c r="N26" s="187"/>
      <c r="O26" s="199"/>
    </row>
    <row r="27" spans="1:15" ht="15.95" customHeight="1" thickBot="1">
      <c r="A27" s="200"/>
      <c r="B27" s="204" t="s">
        <v>292</v>
      </c>
      <c r="C27" s="205"/>
      <c r="D27" s="284">
        <f>G23/D26</f>
        <v>2.2511784583873049</v>
      </c>
      <c r="E27" s="201"/>
      <c r="F27" s="187"/>
      <c r="G27" s="199" t="str">
        <f t="shared" si="4"/>
        <v/>
      </c>
      <c r="H27" s="189"/>
      <c r="I27" s="200"/>
      <c r="J27" s="204" t="s">
        <v>292</v>
      </c>
      <c r="K27" s="205"/>
      <c r="L27" s="284">
        <f>O23/L26</f>
        <v>1.7338448106515334</v>
      </c>
      <c r="M27" s="201"/>
      <c r="N27" s="187"/>
      <c r="O27" s="199" t="str">
        <f t="shared" si="5"/>
        <v/>
      </c>
    </row>
    <row r="28" spans="1:15" ht="15.95" customHeight="1" thickBot="1">
      <c r="A28" s="185"/>
      <c r="B28" s="361"/>
      <c r="C28" s="361"/>
      <c r="D28" s="361"/>
      <c r="E28" s="186"/>
      <c r="F28" s="187"/>
      <c r="G28" s="199" t="str">
        <f t="shared" si="4"/>
        <v/>
      </c>
      <c r="H28" s="189"/>
      <c r="I28" s="185"/>
      <c r="J28" s="361"/>
      <c r="K28" s="361"/>
      <c r="L28" s="361"/>
      <c r="M28" s="186"/>
      <c r="N28" s="187"/>
      <c r="O28" s="199" t="str">
        <f t="shared" si="5"/>
        <v/>
      </c>
    </row>
    <row r="29" spans="1:15" ht="15.95" customHeight="1">
      <c r="A29" s="200"/>
      <c r="B29" s="358" t="s">
        <v>293</v>
      </c>
      <c r="C29" s="359"/>
      <c r="D29" s="360"/>
      <c r="E29" s="201"/>
      <c r="F29" s="187"/>
      <c r="G29" s="199" t="str">
        <f t="shared" si="4"/>
        <v/>
      </c>
      <c r="H29" s="189"/>
      <c r="I29" s="200"/>
      <c r="J29" s="358" t="s">
        <v>293</v>
      </c>
      <c r="K29" s="359"/>
      <c r="L29" s="360"/>
      <c r="M29" s="201"/>
      <c r="N29" s="187"/>
      <c r="O29" s="199" t="str">
        <f t="shared" si="5"/>
        <v/>
      </c>
    </row>
    <row r="30" spans="1:15" ht="15.95" customHeight="1">
      <c r="A30" s="200"/>
      <c r="B30" s="206" t="s">
        <v>34</v>
      </c>
      <c r="C30" s="191"/>
      <c r="D30" s="207">
        <f>(SUM(G13:G14))/G16</f>
        <v>1.6128247165154784E-2</v>
      </c>
      <c r="E30" s="201"/>
      <c r="F30" s="187"/>
      <c r="G30" s="199" t="str">
        <f t="shared" si="4"/>
        <v/>
      </c>
      <c r="H30" s="189"/>
      <c r="I30" s="200"/>
      <c r="J30" s="206" t="s">
        <v>34</v>
      </c>
      <c r="K30" s="191"/>
      <c r="L30" s="207">
        <f>(SUM(O13:O14))/O16</f>
        <v>1.7897416340337396E-2</v>
      </c>
      <c r="M30" s="201"/>
      <c r="N30" s="187"/>
      <c r="O30" s="199" t="str">
        <f t="shared" si="5"/>
        <v/>
      </c>
    </row>
    <row r="31" spans="1:15" ht="15.95" customHeight="1" thickBot="1">
      <c r="A31" s="200"/>
      <c r="B31" s="208" t="s">
        <v>49</v>
      </c>
      <c r="C31" s="209"/>
      <c r="D31" s="210">
        <f>G15/G16</f>
        <v>0.98387175283484518</v>
      </c>
      <c r="E31" s="201"/>
      <c r="F31" s="187"/>
      <c r="G31" s="199" t="str">
        <f t="shared" si="4"/>
        <v/>
      </c>
      <c r="H31" s="189"/>
      <c r="I31" s="200"/>
      <c r="J31" s="208" t="s">
        <v>49</v>
      </c>
      <c r="K31" s="209"/>
      <c r="L31" s="210">
        <f>O15/O16</f>
        <v>0.98210258365966263</v>
      </c>
      <c r="M31" s="201"/>
      <c r="N31" s="187"/>
      <c r="O31" s="199" t="str">
        <f t="shared" si="5"/>
        <v/>
      </c>
    </row>
    <row r="32" spans="1:15" ht="15.95" customHeight="1">
      <c r="A32" s="185"/>
      <c r="B32" s="337"/>
      <c r="C32" s="338"/>
      <c r="D32" s="339"/>
      <c r="E32" s="186"/>
      <c r="F32" s="187"/>
      <c r="G32" s="199" t="str">
        <f t="shared" si="4"/>
        <v/>
      </c>
      <c r="H32" s="189"/>
      <c r="I32" s="185"/>
      <c r="J32" s="337"/>
      <c r="K32" s="338"/>
      <c r="L32" s="339"/>
      <c r="M32" s="186"/>
      <c r="N32" s="187"/>
      <c r="O32" s="199" t="str">
        <f t="shared" si="5"/>
        <v/>
      </c>
    </row>
    <row r="33" spans="1:15">
      <c r="A33" s="185"/>
      <c r="B33" s="337"/>
      <c r="C33" s="338"/>
      <c r="D33" s="339"/>
      <c r="E33" s="186"/>
      <c r="F33" s="187"/>
      <c r="G33" s="199" t="str">
        <f t="shared" si="4"/>
        <v/>
      </c>
      <c r="H33" s="189"/>
      <c r="I33" s="185"/>
      <c r="J33" s="337"/>
      <c r="K33" s="338"/>
      <c r="L33" s="339"/>
      <c r="M33" s="186"/>
      <c r="N33" s="187"/>
      <c r="O33" s="199" t="str">
        <f t="shared" si="5"/>
        <v/>
      </c>
    </row>
    <row r="34" spans="1:15">
      <c r="A34" s="185"/>
      <c r="B34" s="337" t="s">
        <v>294</v>
      </c>
      <c r="C34" s="338"/>
      <c r="D34" s="338"/>
      <c r="E34" s="339"/>
      <c r="F34" s="187"/>
      <c r="G34" s="199" t="str">
        <f t="shared" si="4"/>
        <v/>
      </c>
      <c r="H34" s="189"/>
      <c r="I34" s="185"/>
      <c r="J34" s="337" t="s">
        <v>294</v>
      </c>
      <c r="K34" s="338"/>
      <c r="L34" s="338"/>
      <c r="M34" s="339"/>
      <c r="N34" s="187"/>
      <c r="O34" s="199" t="str">
        <f t="shared" si="5"/>
        <v/>
      </c>
    </row>
    <row r="35" spans="1:15">
      <c r="A35" s="185"/>
      <c r="B35" s="356"/>
      <c r="C35" s="356"/>
      <c r="D35" s="356"/>
      <c r="E35" s="186"/>
      <c r="F35" s="187"/>
      <c r="G35" s="199"/>
      <c r="H35" s="189"/>
      <c r="I35" s="185"/>
      <c r="J35" s="356"/>
      <c r="K35" s="356"/>
      <c r="L35" s="356"/>
      <c r="M35" s="186"/>
      <c r="N35" s="187"/>
      <c r="O35" s="199"/>
    </row>
    <row r="36" spans="1:15" ht="15.95" customHeight="1">
      <c r="A36" s="185"/>
      <c r="B36" s="356"/>
      <c r="C36" s="356"/>
      <c r="D36" s="356"/>
      <c r="E36" s="186"/>
      <c r="F36" s="187"/>
      <c r="G36" s="199"/>
      <c r="H36" s="189"/>
      <c r="I36" s="185"/>
      <c r="J36" s="356"/>
      <c r="K36" s="356"/>
      <c r="L36" s="356"/>
      <c r="M36" s="186"/>
      <c r="N36" s="187"/>
      <c r="O36" s="199"/>
    </row>
    <row r="37" spans="1:15" ht="15.95" customHeight="1" thickBot="1">
      <c r="A37" s="204"/>
      <c r="B37" s="362"/>
      <c r="C37" s="362"/>
      <c r="D37" s="362"/>
      <c r="E37" s="211"/>
      <c r="F37" s="212"/>
      <c r="G37" s="213"/>
      <c r="H37" s="189"/>
      <c r="I37" s="204"/>
      <c r="J37" s="362"/>
      <c r="K37" s="362"/>
      <c r="L37" s="362"/>
      <c r="M37" s="211"/>
      <c r="N37" s="212"/>
      <c r="O37" s="213"/>
    </row>
    <row r="38" spans="1:15" ht="15.9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5" ht="15.9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</row>
    <row r="40" spans="1:15" ht="15.9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</row>
    <row r="41" spans="1:15" ht="15.95" customHeight="1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</row>
    <row r="42" spans="1:15" ht="15.95" customHeight="1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</row>
    <row r="43" spans="1:15" ht="15.95" customHeigh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</row>
    <row r="44" spans="1:15" ht="15.95" customHeight="1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</row>
    <row r="45" spans="1:15" ht="15.95" customHeight="1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5" ht="15.95" customHeight="1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5" ht="15.95" customHeight="1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</row>
    <row r="48" spans="1:15" ht="15.95" customHeigh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</row>
    <row r="49" spans="1:11" ht="15.95" customHeight="1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  <row r="50" spans="1:11" ht="15.95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5.95" customHeight="1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</row>
    <row r="52" spans="1:11" ht="15.95" customHeight="1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</row>
    <row r="53" spans="1:11" ht="15.95" customHeight="1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</row>
    <row r="54" spans="1:11" ht="15.95" customHeigh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</row>
    <row r="55" spans="1:11" ht="15.9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</row>
    <row r="56" spans="1:11" ht="15.95" customHeight="1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</row>
    <row r="57" spans="1:11" ht="15.95" customHeight="1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1" ht="15.95" customHeigh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</row>
    <row r="59" spans="1:11" ht="15.95" customHeigh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</row>
    <row r="60" spans="1:11" ht="15.95" customHeight="1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</row>
    <row r="61" spans="1:11" ht="15.95" customHeight="1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</row>
    <row r="62" spans="1:11" ht="15.95" customHeight="1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</row>
    <row r="63" spans="1:11" ht="15.95" customHeigh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</row>
    <row r="64" spans="1:11" ht="15.95" customHeigh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</row>
    <row r="65" spans="1:11" ht="15.95" customHeigh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</row>
    <row r="66" spans="1:11" ht="15.95" customHeight="1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</row>
    <row r="67" spans="1:11" ht="15.95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</row>
    <row r="68" spans="1:11" ht="15.95" customHeigh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</row>
    <row r="69" spans="1:11" ht="15.95" customHeigh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</row>
    <row r="70" spans="1:11" ht="15.95" customHeigh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</row>
    <row r="71" spans="1:11" ht="15.95" customHeigh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</row>
    <row r="72" spans="1:11" ht="15.95" customHeigh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</row>
    <row r="73" spans="1:11" ht="15.9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</row>
    <row r="74" spans="1:11" ht="15.95" customHeigh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</row>
    <row r="75" spans="1:11" ht="15.95" customHeigh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</row>
    <row r="76" spans="1:11" ht="15.95" customHeigh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</row>
    <row r="77" spans="1:11" ht="15.95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 ht="15.95" customHeigh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</row>
    <row r="79" spans="1:11" ht="15.95" customHeigh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 ht="15.95" customHeigh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</row>
    <row r="81" spans="1:11" ht="15.95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</row>
    <row r="82" spans="1:11" ht="15.95" customHeigh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</row>
    <row r="83" spans="1:11" ht="15.95" customHeigh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</row>
    <row r="84" spans="1:11" ht="15.95" customHeigh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</row>
    <row r="85" spans="1:11" ht="15.95" customHeigh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</row>
    <row r="86" spans="1:11" ht="15.95" customHeigh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</row>
    <row r="87" spans="1:11" ht="15.95" customHeigh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</row>
    <row r="88" spans="1:11" ht="15.95" customHeigh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</row>
    <row r="89" spans="1:11" ht="15.95" customHeigh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</row>
    <row r="90" spans="1:11" ht="15.95" customHeigh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</row>
    <row r="91" spans="1:11" ht="15.95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</row>
    <row r="92" spans="1:11" ht="15.95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</row>
    <row r="93" spans="1:11" ht="15.9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</row>
    <row r="94" spans="1:11" ht="15.95" customHeigh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</row>
    <row r="95" spans="1:11" ht="15.95" customHeigh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</row>
    <row r="96" spans="1:11" ht="15.95" customHeigh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</row>
    <row r="97" spans="1:11" ht="15.95" customHeigh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</row>
    <row r="98" spans="1:11" ht="15.95" customHeigh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</row>
    <row r="99" spans="1:11" ht="15.95" customHeigh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</row>
    <row r="100" spans="1:11" ht="15.95" customHeigh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</row>
    <row r="101" spans="1:11" ht="15.95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</row>
    <row r="102" spans="1:11" ht="15.95" customHeigh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</row>
    <row r="103" spans="1:11" ht="15.95" customHeigh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</row>
    <row r="104" spans="1:11" ht="15.95" customHeigh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</row>
    <row r="105" spans="1:11" ht="15.95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</row>
    <row r="106" spans="1:11" ht="15.95" customHeigh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</row>
    <row r="107" spans="1:11" ht="15.9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1" ht="15.95" customHeigh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</row>
    <row r="109" spans="1:11" ht="15.9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</row>
    <row r="110" spans="1:11" ht="15.95" customHeigh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</row>
    <row r="111" spans="1:11" ht="15.95" customHeigh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</row>
    <row r="112" spans="1:11" ht="15.95" customHeigh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</row>
    <row r="113" spans="1:11" ht="15.95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</row>
    <row r="114" spans="1:11" ht="15.95" customHeigh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</row>
    <row r="115" spans="1:11" ht="15.95" customHeigh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</row>
    <row r="116" spans="1:11" ht="15.9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</row>
    <row r="117" spans="1:11" ht="15.95" customHeigh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</row>
    <row r="118" spans="1:11" ht="15.95" customHeigh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</row>
    <row r="119" spans="1:11" ht="15.95" customHeight="1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1" ht="15.95" customHeigh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</row>
    <row r="121" spans="1:11" ht="15.95" customHeigh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</row>
    <row r="122" spans="1:11" ht="15.95" customHeigh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</row>
    <row r="123" spans="1:11" ht="15.95" customHeigh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</row>
    <row r="124" spans="1:11" ht="15.95" customHeigh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</row>
    <row r="125" spans="1:11" ht="15.95" customHeight="1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</row>
    <row r="126" spans="1:11" ht="15.95" customHeight="1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</row>
    <row r="127" spans="1:11" ht="15.95" customHeight="1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</row>
    <row r="128" spans="1:11" ht="15.95" customHeigh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</row>
    <row r="129" spans="1:11" ht="15.95" customHeigh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</row>
    <row r="130" spans="1:11" ht="15.95" customHeight="1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</row>
    <row r="131" spans="1:11" ht="15.95" customHeight="1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</row>
    <row r="132" spans="1:11" ht="15.95" customHeight="1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</row>
    <row r="133" spans="1:11" ht="15.95" customHeight="1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</row>
    <row r="134" spans="1:11" ht="15.95" customHeight="1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</row>
    <row r="135" spans="1:11" ht="15.95" customHeigh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</row>
    <row r="136" spans="1:11" ht="15.95" customHeight="1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</row>
    <row r="137" spans="1:11" ht="15.95" customHeight="1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</row>
    <row r="138" spans="1:11" ht="15.95" customHeight="1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</row>
    <row r="139" spans="1:11" ht="15.95" customHeight="1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</row>
    <row r="140" spans="1:11" ht="15.95" customHeight="1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</row>
    <row r="141" spans="1:11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</row>
    <row r="142" spans="1:11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</row>
    <row r="143" spans="1:11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</row>
    <row r="144" spans="1:11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</row>
    <row r="145" spans="1:11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</row>
    <row r="146" spans="1:11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</row>
    <row r="147" spans="1:11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</row>
    <row r="148" spans="1:11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</row>
    <row r="149" spans="1:11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</row>
    <row r="150" spans="1:11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</row>
    <row r="151" spans="1:11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</row>
    <row r="152" spans="1:11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</row>
    <row r="153" spans="1:11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</row>
    <row r="154" spans="1:11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</row>
    <row r="155" spans="1:11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</row>
    <row r="156" spans="1:11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</row>
    <row r="157" spans="1:11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</row>
    <row r="158" spans="1:11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</row>
    <row r="159" spans="1:11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</row>
    <row r="160" spans="1:11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</row>
    <row r="161" spans="1:11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</row>
    <row r="162" spans="1:11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</row>
    <row r="163" spans="1:11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</row>
    <row r="164" spans="1:11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</row>
    <row r="165" spans="1:11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</row>
    <row r="166" spans="1:11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</row>
    <row r="167" spans="1:11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</row>
    <row r="168" spans="1:11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</row>
    <row r="169" spans="1:11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</row>
    <row r="170" spans="1:11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</row>
    <row r="171" spans="1:11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</row>
    <row r="172" spans="1:11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</row>
    <row r="173" spans="1:11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</row>
    <row r="174" spans="1:11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</row>
    <row r="175" spans="1:11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</row>
    <row r="176" spans="1:11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</row>
    <row r="177" spans="1:11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</row>
    <row r="178" spans="1:11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</row>
    <row r="179" spans="1:11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</row>
    <row r="180" spans="1:11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</row>
    <row r="181" spans="1:11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</row>
    <row r="182" spans="1:11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</row>
    <row r="183" spans="1:11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</row>
    <row r="184" spans="1:11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</row>
    <row r="185" spans="1:11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</row>
    <row r="186" spans="1:11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</row>
    <row r="187" spans="1:11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</row>
    <row r="188" spans="1:11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</row>
    <row r="189" spans="1:11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</row>
    <row r="190" spans="1:11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</row>
    <row r="191" spans="1:11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</row>
    <row r="192" spans="1:11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</row>
    <row r="193" spans="1:11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</row>
    <row r="194" spans="1:11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</row>
    <row r="195" spans="1:11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</row>
    <row r="196" spans="1:11">
      <c r="A196" s="113"/>
      <c r="B196" s="113"/>
      <c r="C196" s="113"/>
      <c r="D196" s="113"/>
      <c r="E196" s="113"/>
      <c r="F196" s="113"/>
      <c r="G196" s="113"/>
      <c r="H196" s="113"/>
    </row>
    <row r="197" spans="1:11">
      <c r="A197" s="113"/>
      <c r="B197" s="113"/>
      <c r="C197" s="113"/>
      <c r="D197" s="113"/>
      <c r="E197" s="113"/>
      <c r="F197" s="113"/>
      <c r="G197" s="113"/>
      <c r="H197" s="113"/>
    </row>
  </sheetData>
  <mergeCells count="56">
    <mergeCell ref="B37:D37"/>
    <mergeCell ref="J37:L37"/>
    <mergeCell ref="J33:L33"/>
    <mergeCell ref="J35:L35"/>
    <mergeCell ref="B36:D36"/>
    <mergeCell ref="J36:L36"/>
    <mergeCell ref="B35:D35"/>
    <mergeCell ref="B34:E34"/>
    <mergeCell ref="J34:M34"/>
    <mergeCell ref="B28:D28"/>
    <mergeCell ref="J28:L28"/>
    <mergeCell ref="B29:D29"/>
    <mergeCell ref="J29:L29"/>
    <mergeCell ref="J32:L32"/>
    <mergeCell ref="J23:L23"/>
    <mergeCell ref="B24:D24"/>
    <mergeCell ref="J24:L24"/>
    <mergeCell ref="B25:D25"/>
    <mergeCell ref="J25:L25"/>
    <mergeCell ref="J18:L18"/>
    <mergeCell ref="J19:L19"/>
    <mergeCell ref="J20:L20"/>
    <mergeCell ref="J21:L21"/>
    <mergeCell ref="J22:L22"/>
    <mergeCell ref="B17:D17"/>
    <mergeCell ref="J8:L8"/>
    <mergeCell ref="J9:L9"/>
    <mergeCell ref="J10:L10"/>
    <mergeCell ref="J11:L11"/>
    <mergeCell ref="J12:L12"/>
    <mergeCell ref="J13:L13"/>
    <mergeCell ref="J14:L14"/>
    <mergeCell ref="J15:L15"/>
    <mergeCell ref="J16:L16"/>
    <mergeCell ref="J17:L17"/>
    <mergeCell ref="H7:L7"/>
    <mergeCell ref="B8:D8"/>
    <mergeCell ref="B9:D9"/>
    <mergeCell ref="B10:D10"/>
    <mergeCell ref="B11:D11"/>
    <mergeCell ref="C1:E1"/>
    <mergeCell ref="C2:E2"/>
    <mergeCell ref="C3:E3"/>
    <mergeCell ref="B32:D32"/>
    <mergeCell ref="B33:D33"/>
    <mergeCell ref="B19:D19"/>
    <mergeCell ref="B20:D20"/>
    <mergeCell ref="B21:D21"/>
    <mergeCell ref="B22:D22"/>
    <mergeCell ref="B23:D23"/>
    <mergeCell ref="B18:D18"/>
    <mergeCell ref="B12:D12"/>
    <mergeCell ref="B13:D13"/>
    <mergeCell ref="B14:D14"/>
    <mergeCell ref="B15:D15"/>
    <mergeCell ref="B16:D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ECD9FF"/>
  </sheetPr>
  <dimension ref="A1:L34"/>
  <sheetViews>
    <sheetView workbookViewId="0">
      <selection activeCell="C26" sqref="C26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2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2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2" ht="18">
      <c r="A4" s="121"/>
      <c r="B4" s="52"/>
      <c r="D4" s="54"/>
      <c r="E4"/>
      <c r="G4" s="122"/>
      <c r="H4" s="64"/>
      <c r="I4" s="65"/>
    </row>
    <row r="5" spans="1:12" ht="18">
      <c r="A5" s="52" t="s">
        <v>295</v>
      </c>
      <c r="C5" s="56"/>
      <c r="E5"/>
      <c r="F5" s="57"/>
      <c r="G5" s="57"/>
      <c r="H5" s="64"/>
      <c r="J5" s="65"/>
    </row>
    <row r="6" spans="1:12" s="105" customFormat="1" ht="18">
      <c r="A6" s="61"/>
      <c r="B6" s="62"/>
      <c r="C6" s="106"/>
      <c r="D6" s="52"/>
      <c r="E6" s="52"/>
      <c r="F6" s="64"/>
      <c r="G6" s="64"/>
      <c r="H6" s="64"/>
      <c r="I6" s="107"/>
    </row>
    <row r="8" spans="1:12" s="68" customFormat="1" ht="30">
      <c r="A8" s="135" t="s">
        <v>156</v>
      </c>
      <c r="B8" s="326" t="s">
        <v>157</v>
      </c>
      <c r="C8" s="327"/>
      <c r="D8" s="328"/>
      <c r="E8" s="136" t="s">
        <v>158</v>
      </c>
      <c r="F8" s="326" t="s">
        <v>211</v>
      </c>
      <c r="G8" s="335"/>
      <c r="H8" s="336"/>
    </row>
    <row r="10" spans="1:12">
      <c r="D10" s="363" t="s">
        <v>196</v>
      </c>
      <c r="E10" s="363"/>
      <c r="F10" s="363"/>
    </row>
    <row r="11" spans="1:12" ht="30">
      <c r="D11" s="111" t="s">
        <v>296</v>
      </c>
      <c r="E11" s="179" t="s">
        <v>297</v>
      </c>
      <c r="F11" s="179" t="s">
        <v>141</v>
      </c>
      <c r="H11" t="s">
        <v>298</v>
      </c>
      <c r="J11" s="179" t="s">
        <v>299</v>
      </c>
      <c r="K11" s="179" t="s">
        <v>300</v>
      </c>
      <c r="L11" s="179" t="s">
        <v>301</v>
      </c>
    </row>
    <row r="12" spans="1:12">
      <c r="A12" s="70"/>
      <c r="B12" s="70"/>
      <c r="E12" s="69"/>
    </row>
    <row r="13" spans="1:12">
      <c r="B13" s="70"/>
      <c r="C13" t="s">
        <v>302</v>
      </c>
      <c r="D13" s="233">
        <v>14675.14</v>
      </c>
      <c r="E13" s="91">
        <f>+H13-D13</f>
        <v>1092337.3600000001</v>
      </c>
      <c r="F13" s="91">
        <f>+D13+E13</f>
        <v>1107012.5</v>
      </c>
      <c r="G13" s="91"/>
      <c r="H13" s="91">
        <f>SUM(J13:K13)/2</f>
        <v>1107012.5</v>
      </c>
      <c r="I13" s="91"/>
      <c r="J13" s="233">
        <v>1088250</v>
      </c>
      <c r="K13" s="233">
        <v>1125775</v>
      </c>
      <c r="L13" s="285">
        <v>45306</v>
      </c>
    </row>
    <row r="14" spans="1:12">
      <c r="B14" s="70"/>
      <c r="C14" t="s">
        <v>303</v>
      </c>
      <c r="D14" s="233"/>
      <c r="E14" s="91">
        <f>+H14-D14</f>
        <v>0</v>
      </c>
      <c r="F14" s="91">
        <f>+D14+E14</f>
        <v>0</v>
      </c>
      <c r="G14" s="91"/>
      <c r="H14" s="91">
        <f>SUM(J14:K14)/2</f>
        <v>0</v>
      </c>
      <c r="I14" s="91"/>
      <c r="J14" s="233"/>
      <c r="K14" s="233"/>
      <c r="L14" s="112"/>
    </row>
    <row r="15" spans="1:12">
      <c r="B15" s="70"/>
      <c r="C15" t="s">
        <v>304</v>
      </c>
      <c r="D15" s="233"/>
      <c r="E15" s="91">
        <f>+H15-D15</f>
        <v>0</v>
      </c>
      <c r="F15" s="91">
        <f>+D15+E15</f>
        <v>0</v>
      </c>
      <c r="G15" s="91"/>
      <c r="H15" s="91">
        <f>SUM(J15:K15)/2</f>
        <v>0</v>
      </c>
      <c r="I15" s="91"/>
      <c r="J15" s="233"/>
      <c r="K15" s="233"/>
      <c r="L15" s="112"/>
    </row>
    <row r="17" spans="1:8" ht="15.75" thickBot="1">
      <c r="D17" s="110">
        <f>SUM(D13:D16)</f>
        <v>14675.14</v>
      </c>
      <c r="E17" s="110">
        <f>SUM(E13:E16)</f>
        <v>1092337.3600000001</v>
      </c>
      <c r="F17" s="110">
        <f>SUM(F13:F16)</f>
        <v>1107012.5</v>
      </c>
      <c r="H17" s="110">
        <f>SUM(H13:H16)</f>
        <v>1107012.5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1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CD9FF"/>
  </sheetPr>
  <dimension ref="A1:J55"/>
  <sheetViews>
    <sheetView workbookViewId="0">
      <selection activeCell="L44" sqref="L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ht="18">
      <c r="A4" s="121"/>
      <c r="B4" s="52"/>
      <c r="D4" s="54"/>
      <c r="F4"/>
      <c r="G4" s="122"/>
      <c r="H4" s="64"/>
      <c r="I4" s="65"/>
    </row>
    <row r="5" spans="1:10" ht="18">
      <c r="A5" s="52" t="s">
        <v>305</v>
      </c>
      <c r="C5" s="56"/>
      <c r="G5" s="57"/>
      <c r="H5" s="64"/>
      <c r="J5" s="65"/>
    </row>
    <row r="6" spans="1:10" s="105" customFormat="1" ht="18">
      <c r="A6" s="61"/>
      <c r="B6" s="62"/>
      <c r="C6" s="106"/>
      <c r="D6" s="52"/>
      <c r="E6" s="52"/>
      <c r="F6" s="64"/>
      <c r="G6" s="64"/>
      <c r="H6" s="64"/>
      <c r="I6" s="107"/>
    </row>
    <row r="8" spans="1:10" s="68" customFormat="1" ht="30">
      <c r="A8" s="135" t="s">
        <v>156</v>
      </c>
      <c r="B8" s="326" t="s">
        <v>157</v>
      </c>
      <c r="C8" s="327"/>
      <c r="D8" s="327"/>
      <c r="E8" s="328"/>
      <c r="F8" s="136" t="s">
        <v>158</v>
      </c>
      <c r="G8" s="326" t="s">
        <v>211</v>
      </c>
      <c r="H8" s="335"/>
      <c r="I8" s="336"/>
    </row>
    <row r="10" spans="1:10">
      <c r="F10" s="69"/>
    </row>
    <row r="11" spans="1:10">
      <c r="A11" s="70">
        <v>61800</v>
      </c>
      <c r="B11" s="70"/>
      <c r="C11" s="70" t="s">
        <v>38</v>
      </c>
    </row>
    <row r="12" spans="1:10">
      <c r="A12" s="70"/>
      <c r="B12" s="70"/>
      <c r="C12" s="113" t="s">
        <v>306</v>
      </c>
      <c r="E12" s="233"/>
    </row>
    <row r="13" spans="1:10">
      <c r="A13" s="70"/>
      <c r="B13" s="70"/>
      <c r="C13" s="113" t="s">
        <v>307</v>
      </c>
      <c r="E13" s="114">
        <f>F22</f>
        <v>0</v>
      </c>
      <c r="F13" s="57">
        <f>+E12-E13</f>
        <v>0</v>
      </c>
    </row>
    <row r="14" spans="1:10">
      <c r="A14" s="70"/>
      <c r="B14" s="70"/>
      <c r="C14" s="113" t="s">
        <v>308</v>
      </c>
      <c r="F14" s="57">
        <v>36437</v>
      </c>
    </row>
    <row r="15" spans="1:10">
      <c r="A15" s="70"/>
      <c r="B15" s="70"/>
      <c r="C15" s="113" t="s">
        <v>309</v>
      </c>
      <c r="F15" s="57">
        <v>22513</v>
      </c>
    </row>
    <row r="17" spans="1:7" ht="15.75" thickBot="1">
      <c r="F17" s="110">
        <f>SUM(F12:F16)</f>
        <v>58950</v>
      </c>
      <c r="G17" t="s">
        <v>310</v>
      </c>
    </row>
    <row r="19" spans="1:7">
      <c r="A19" s="70"/>
      <c r="B19" s="70"/>
      <c r="C19" s="76" t="s">
        <v>311</v>
      </c>
    </row>
    <row r="20" spans="1:7">
      <c r="A20" s="70"/>
      <c r="B20" s="70"/>
      <c r="C20" s="76"/>
      <c r="D20" s="46" t="s">
        <v>312</v>
      </c>
      <c r="E20" s="46" t="s">
        <v>313</v>
      </c>
      <c r="F20" s="84" t="s">
        <v>237</v>
      </c>
    </row>
    <row r="21" spans="1:7">
      <c r="A21" s="70"/>
      <c r="B21" s="70"/>
      <c r="C21" t="s">
        <v>314</v>
      </c>
      <c r="D21" s="233"/>
      <c r="E21" s="233"/>
      <c r="F21" s="69">
        <f>+D21-E21</f>
        <v>0</v>
      </c>
    </row>
    <row r="22" spans="1:7" ht="15.75" thickBot="1">
      <c r="A22" s="70"/>
      <c r="B22" s="70"/>
      <c r="F22" s="115">
        <f>+SUM(F21:F21)</f>
        <v>0</v>
      </c>
    </row>
    <row r="23" spans="1:7" ht="15.75" thickTop="1">
      <c r="A23" s="70"/>
      <c r="B23" s="70"/>
      <c r="F23" s="69"/>
    </row>
    <row r="24" spans="1:7" hidden="1">
      <c r="A24" s="76">
        <v>62000</v>
      </c>
      <c r="B24" s="76"/>
      <c r="C24" s="70" t="s">
        <v>39</v>
      </c>
    </row>
    <row r="25" spans="1:7" hidden="1">
      <c r="F25" s="57">
        <v>0</v>
      </c>
    </row>
    <row r="26" spans="1:7" hidden="1">
      <c r="F26" s="57">
        <v>0</v>
      </c>
    </row>
    <row r="27" spans="1:7" hidden="1"/>
    <row r="28" spans="1:7" hidden="1">
      <c r="F28" s="110">
        <f>SUM(F25:F27)</f>
        <v>0</v>
      </c>
    </row>
    <row r="29" spans="1:7" hidden="1">
      <c r="A29" s="70"/>
      <c r="B29" s="70"/>
      <c r="F29" s="69"/>
    </row>
    <row r="30" spans="1:7" hidden="1">
      <c r="A30" s="76">
        <v>62550</v>
      </c>
      <c r="B30" s="76"/>
      <c r="C30" s="70" t="s">
        <v>315</v>
      </c>
    </row>
    <row r="31" spans="1:7" hidden="1">
      <c r="F31" s="57">
        <v>0</v>
      </c>
    </row>
    <row r="32" spans="1:7" hidden="1">
      <c r="F32" s="57">
        <v>0</v>
      </c>
    </row>
    <row r="33" spans="1:6" hidden="1"/>
    <row r="34" spans="1:6" hidden="1">
      <c r="F34" s="110">
        <f>SUM(F31:F33)</f>
        <v>0</v>
      </c>
    </row>
    <row r="35" spans="1:6" hidden="1">
      <c r="A35" s="70"/>
      <c r="B35" s="70"/>
      <c r="F35" s="69"/>
    </row>
    <row r="36" spans="1:6" hidden="1">
      <c r="A36" s="76">
        <v>64500</v>
      </c>
      <c r="B36" s="76"/>
      <c r="C36" s="70" t="s">
        <v>40</v>
      </c>
    </row>
    <row r="37" spans="1:6" hidden="1">
      <c r="F37" s="57">
        <v>0</v>
      </c>
    </row>
    <row r="38" spans="1:6" hidden="1">
      <c r="F38" s="57">
        <v>0</v>
      </c>
    </row>
    <row r="39" spans="1:6" hidden="1"/>
    <row r="40" spans="1:6" ht="15.75" hidden="1" thickBot="1">
      <c r="F40" s="110">
        <f>SUM(F37:F39)</f>
        <v>0</v>
      </c>
    </row>
    <row r="41" spans="1:6" hidden="1">
      <c r="F41" s="69"/>
    </row>
    <row r="42" spans="1:6" hidden="1">
      <c r="A42" s="70"/>
      <c r="B42" s="70"/>
      <c r="F42" s="69"/>
    </row>
    <row r="43" spans="1:6">
      <c r="A43" s="70">
        <v>65500</v>
      </c>
      <c r="B43" s="70"/>
      <c r="C43" s="70" t="s">
        <v>316</v>
      </c>
    </row>
    <row r="44" spans="1:6">
      <c r="A44" s="70"/>
      <c r="B44" s="70"/>
      <c r="C44" t="s">
        <v>317</v>
      </c>
      <c r="F44" s="57">
        <v>100</v>
      </c>
    </row>
    <row r="45" spans="1:6">
      <c r="A45" s="70"/>
      <c r="B45" s="70"/>
      <c r="F45" s="69"/>
    </row>
    <row r="46" spans="1:6">
      <c r="A46" s="70"/>
      <c r="B46" s="70"/>
      <c r="F46" s="69"/>
    </row>
    <row r="47" spans="1:6">
      <c r="A47" s="76">
        <v>68000</v>
      </c>
      <c r="B47" s="76"/>
      <c r="C47" s="70" t="s">
        <v>41</v>
      </c>
    </row>
    <row r="48" spans="1:6">
      <c r="C48" t="s">
        <v>318</v>
      </c>
      <c r="F48" s="57">
        <v>606</v>
      </c>
    </row>
    <row r="50" spans="3:6" ht="15.75" thickBot="1">
      <c r="F50" s="110">
        <f>SUM(F48:F49)</f>
        <v>606</v>
      </c>
    </row>
    <row r="53" spans="3:6">
      <c r="F53" s="79"/>
    </row>
    <row r="55" spans="3:6">
      <c r="C55" s="91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CD9FF"/>
  </sheetPr>
  <dimension ref="A1:J26"/>
  <sheetViews>
    <sheetView workbookViewId="0">
      <selection activeCell="J27" sqref="J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319</v>
      </c>
      <c r="C5" s="56"/>
      <c r="G5" s="57"/>
      <c r="H5" s="64"/>
      <c r="J5" s="65"/>
    </row>
    <row r="6" spans="1:10" s="105" customFormat="1" ht="18">
      <c r="A6" s="61"/>
      <c r="B6" s="62"/>
      <c r="C6" s="106"/>
      <c r="D6" s="52"/>
      <c r="E6" s="52"/>
      <c r="F6" s="64"/>
      <c r="G6" s="64"/>
      <c r="H6" s="64"/>
      <c r="I6" s="107"/>
    </row>
    <row r="8" spans="1:10" s="68" customFormat="1" ht="30">
      <c r="A8" s="135" t="s">
        <v>156</v>
      </c>
      <c r="B8" s="326" t="s">
        <v>157</v>
      </c>
      <c r="C8" s="327"/>
      <c r="D8" s="327"/>
      <c r="E8" s="328"/>
      <c r="F8" s="136" t="s">
        <v>158</v>
      </c>
      <c r="G8" s="326" t="s">
        <v>211</v>
      </c>
      <c r="H8" s="335"/>
      <c r="I8" s="336"/>
    </row>
    <row r="10" spans="1:10">
      <c r="F10" s="69"/>
    </row>
    <row r="11" spans="1:10">
      <c r="A11" s="70">
        <v>88000</v>
      </c>
      <c r="B11" s="70"/>
      <c r="C11" s="70" t="s">
        <v>58</v>
      </c>
    </row>
    <row r="12" spans="1:10">
      <c r="C12" t="s">
        <v>320</v>
      </c>
      <c r="F12" s="57">
        <v>1427</v>
      </c>
      <c r="G12" t="s">
        <v>321</v>
      </c>
    </row>
    <row r="14" spans="1:10">
      <c r="F14" s="57">
        <v>0</v>
      </c>
    </row>
    <row r="16" spans="1:10" ht="15.75" thickBot="1">
      <c r="F16" s="110">
        <f>SUM(F12:F15)</f>
        <v>1427</v>
      </c>
    </row>
    <row r="19" spans="1:6">
      <c r="A19" s="76"/>
      <c r="B19" s="76"/>
      <c r="C19" s="76"/>
      <c r="F19" s="79"/>
    </row>
    <row r="20" spans="1:6">
      <c r="F20" s="78"/>
    </row>
    <row r="21" spans="1:6">
      <c r="F21" s="69"/>
    </row>
    <row r="26" spans="1:6">
      <c r="C26" s="91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6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6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6" ht="18">
      <c r="D4" s="52"/>
      <c r="E4" s="52"/>
      <c r="F4" s="63"/>
      <c r="G4" s="64"/>
      <c r="I4" s="65"/>
    </row>
    <row r="5" spans="1:16" ht="18">
      <c r="A5" s="123" t="s">
        <v>322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5" t="s">
        <v>156</v>
      </c>
      <c r="B8" s="326" t="s">
        <v>157</v>
      </c>
      <c r="C8" s="328"/>
      <c r="D8" s="136" t="s">
        <v>158</v>
      </c>
      <c r="E8" s="136"/>
      <c r="F8" s="136"/>
      <c r="G8" s="136"/>
      <c r="H8" s="136" t="s">
        <v>158</v>
      </c>
      <c r="I8" s="326" t="s">
        <v>211</v>
      </c>
      <c r="J8" s="335"/>
      <c r="K8" s="336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323</v>
      </c>
      <c r="E11" s="46" t="s">
        <v>323</v>
      </c>
      <c r="F11" s="46" t="s">
        <v>324</v>
      </c>
      <c r="G11" s="46" t="s">
        <v>325</v>
      </c>
      <c r="H11" s="71" t="s">
        <v>141</v>
      </c>
      <c r="J11" s="76"/>
    </row>
    <row r="12" spans="1:16">
      <c r="D12" s="46" t="s">
        <v>190</v>
      </c>
      <c r="E12" s="76" t="s">
        <v>326</v>
      </c>
      <c r="F12" s="46" t="s">
        <v>327</v>
      </c>
      <c r="G12" s="46"/>
      <c r="H12" s="57"/>
    </row>
    <row r="13" spans="1:16">
      <c r="H13" s="57"/>
      <c r="K13" s="46" t="s">
        <v>328</v>
      </c>
      <c r="L13" s="46" t="s">
        <v>329</v>
      </c>
      <c r="M13" s="46" t="s">
        <v>330</v>
      </c>
    </row>
    <row r="14" spans="1:16">
      <c r="C14" s="76" t="s">
        <v>331</v>
      </c>
      <c r="D14" s="91"/>
      <c r="E14" s="255"/>
      <c r="F14" s="91"/>
      <c r="G14" s="91"/>
      <c r="H14" s="91">
        <f t="shared" ref="H14:H27" si="0">SUM(D14:G14)</f>
        <v>0</v>
      </c>
      <c r="J14" t="s">
        <v>332</v>
      </c>
      <c r="K14" s="91">
        <f>+H40</f>
        <v>0</v>
      </c>
      <c r="L14" s="91"/>
      <c r="M14" s="91">
        <f>+K14-L14</f>
        <v>0</v>
      </c>
    </row>
    <row r="15" spans="1:16">
      <c r="C15" t="s">
        <v>333</v>
      </c>
      <c r="D15" s="91"/>
      <c r="E15" s="91"/>
      <c r="F15" s="91"/>
      <c r="G15" s="91"/>
      <c r="H15" s="91">
        <f t="shared" si="0"/>
        <v>0</v>
      </c>
      <c r="J15" t="s">
        <v>334</v>
      </c>
      <c r="K15" s="91">
        <f>+H26</f>
        <v>0</v>
      </c>
      <c r="L15" s="91"/>
      <c r="M15" s="91">
        <f t="shared" ref="M15:M27" si="1">+K15-L15</f>
        <v>0</v>
      </c>
    </row>
    <row r="16" spans="1:16">
      <c r="C16" t="s">
        <v>335</v>
      </c>
      <c r="D16" s="91"/>
      <c r="E16" s="91"/>
      <c r="F16" s="91"/>
      <c r="G16" s="91"/>
      <c r="H16" s="91">
        <f t="shared" si="0"/>
        <v>0</v>
      </c>
      <c r="J16" t="s">
        <v>336</v>
      </c>
      <c r="K16" s="91">
        <f>+H24+H25</f>
        <v>0</v>
      </c>
      <c r="L16" s="91"/>
      <c r="M16" s="91">
        <f t="shared" si="1"/>
        <v>0</v>
      </c>
    </row>
    <row r="17" spans="3:13">
      <c r="C17" s="137" t="s">
        <v>337</v>
      </c>
      <c r="D17" s="91"/>
      <c r="E17" s="91"/>
      <c r="F17" s="91"/>
      <c r="G17" s="91"/>
      <c r="H17" s="91">
        <f t="shared" si="0"/>
        <v>0</v>
      </c>
      <c r="J17" t="s">
        <v>338</v>
      </c>
      <c r="K17" s="91">
        <f>+H15+H28</f>
        <v>0</v>
      </c>
      <c r="L17" s="91"/>
      <c r="M17" s="91">
        <f t="shared" si="1"/>
        <v>0</v>
      </c>
    </row>
    <row r="18" spans="3:13">
      <c r="C18" s="137" t="s">
        <v>339</v>
      </c>
      <c r="D18" s="91"/>
      <c r="E18" s="91"/>
      <c r="F18" s="91"/>
      <c r="G18" s="91"/>
      <c r="H18" s="91">
        <f t="shared" si="0"/>
        <v>0</v>
      </c>
      <c r="J18" t="s">
        <v>340</v>
      </c>
      <c r="K18" s="91">
        <f>+H27</f>
        <v>0</v>
      </c>
      <c r="L18" s="91"/>
      <c r="M18" s="91">
        <f t="shared" si="1"/>
        <v>0</v>
      </c>
    </row>
    <row r="19" spans="3:13">
      <c r="C19" t="s">
        <v>341</v>
      </c>
      <c r="D19" s="91"/>
      <c r="E19" s="91"/>
      <c r="F19" s="91"/>
      <c r="G19" s="91"/>
      <c r="H19" s="91">
        <f t="shared" si="0"/>
        <v>0</v>
      </c>
      <c r="J19" t="s">
        <v>342</v>
      </c>
      <c r="K19" s="91">
        <f>+H20+H21-H36</f>
        <v>0</v>
      </c>
      <c r="L19" s="91"/>
      <c r="M19" s="91">
        <f t="shared" si="1"/>
        <v>0</v>
      </c>
    </row>
    <row r="20" spans="3:13">
      <c r="C20" s="137" t="s">
        <v>337</v>
      </c>
      <c r="D20" s="91"/>
      <c r="E20" s="91"/>
      <c r="F20" s="91"/>
      <c r="G20" s="91"/>
      <c r="H20" s="91">
        <f t="shared" si="0"/>
        <v>0</v>
      </c>
      <c r="J20" t="s">
        <v>343</v>
      </c>
      <c r="K20" s="91">
        <f>+H20+H21</f>
        <v>0</v>
      </c>
      <c r="L20" s="91"/>
      <c r="M20" s="91">
        <f t="shared" si="1"/>
        <v>0</v>
      </c>
    </row>
    <row r="21" spans="3:13">
      <c r="C21" s="137" t="s">
        <v>339</v>
      </c>
      <c r="D21" s="91"/>
      <c r="E21" s="91"/>
      <c r="F21" s="91"/>
      <c r="G21" s="91"/>
      <c r="H21" s="91">
        <f t="shared" si="0"/>
        <v>0</v>
      </c>
      <c r="J21" t="s">
        <v>344</v>
      </c>
      <c r="K21" s="91">
        <f>+H17+H18</f>
        <v>0</v>
      </c>
      <c r="L21" s="91"/>
      <c r="M21" s="91">
        <f t="shared" si="1"/>
        <v>0</v>
      </c>
    </row>
    <row r="22" spans="3:13">
      <c r="C22" t="s">
        <v>345</v>
      </c>
      <c r="D22" s="91"/>
      <c r="E22" s="91"/>
      <c r="F22" s="91"/>
      <c r="G22" s="91"/>
      <c r="H22" s="91">
        <f t="shared" si="0"/>
        <v>0</v>
      </c>
      <c r="J22" t="s">
        <v>346</v>
      </c>
      <c r="K22" s="91">
        <f>+H22-H35</f>
        <v>0</v>
      </c>
      <c r="L22" s="91"/>
      <c r="M22" s="91">
        <f t="shared" si="1"/>
        <v>0</v>
      </c>
    </row>
    <row r="23" spans="3:13">
      <c r="C23" t="s">
        <v>347</v>
      </c>
      <c r="D23" s="91"/>
      <c r="E23" s="91"/>
      <c r="F23" s="91"/>
      <c r="G23" s="91"/>
      <c r="H23" s="91">
        <f t="shared" si="0"/>
        <v>0</v>
      </c>
      <c r="J23" t="s">
        <v>348</v>
      </c>
      <c r="K23" s="91">
        <f>+H35+H36</f>
        <v>0</v>
      </c>
      <c r="L23" s="91"/>
      <c r="M23" s="91">
        <f t="shared" si="1"/>
        <v>0</v>
      </c>
    </row>
    <row r="24" spans="3:13">
      <c r="C24" s="137" t="s">
        <v>349</v>
      </c>
      <c r="D24" s="91"/>
      <c r="E24" s="91"/>
      <c r="F24" s="91"/>
      <c r="G24" s="91"/>
      <c r="H24" s="91">
        <f t="shared" si="0"/>
        <v>0</v>
      </c>
      <c r="J24" t="s">
        <v>350</v>
      </c>
      <c r="K24" s="91">
        <v>0</v>
      </c>
      <c r="L24" s="91"/>
      <c r="M24" s="91">
        <f t="shared" si="1"/>
        <v>0</v>
      </c>
    </row>
    <row r="25" spans="3:13">
      <c r="C25" s="137" t="s">
        <v>351</v>
      </c>
      <c r="D25" s="91"/>
      <c r="E25" s="91"/>
      <c r="F25" s="91"/>
      <c r="G25" s="91"/>
      <c r="H25" s="91">
        <f t="shared" si="0"/>
        <v>0</v>
      </c>
      <c r="J25" t="s">
        <v>352</v>
      </c>
      <c r="K25" s="91">
        <v>0</v>
      </c>
      <c r="L25" s="91"/>
      <c r="M25" s="91">
        <f t="shared" si="1"/>
        <v>0</v>
      </c>
    </row>
    <row r="26" spans="3:13">
      <c r="C26" s="137" t="s">
        <v>353</v>
      </c>
      <c r="D26" s="91"/>
      <c r="E26" s="255"/>
      <c r="F26" s="91"/>
      <c r="G26" s="91"/>
      <c r="H26" s="91">
        <f t="shared" si="0"/>
        <v>0</v>
      </c>
      <c r="J26" t="s">
        <v>354</v>
      </c>
      <c r="K26" s="91">
        <f>H31-H38</f>
        <v>0</v>
      </c>
      <c r="L26" s="91"/>
      <c r="M26" s="91">
        <f t="shared" si="1"/>
        <v>0</v>
      </c>
    </row>
    <row r="27" spans="3:13">
      <c r="C27" s="137" t="s">
        <v>355</v>
      </c>
      <c r="D27" s="91"/>
      <c r="E27" s="91"/>
      <c r="F27" s="91"/>
      <c r="G27" s="91"/>
      <c r="H27" s="91">
        <f t="shared" si="0"/>
        <v>0</v>
      </c>
      <c r="J27" t="s">
        <v>69</v>
      </c>
      <c r="K27" s="91">
        <f>+H33</f>
        <v>0</v>
      </c>
      <c r="L27" s="91"/>
      <c r="M27" s="91">
        <f t="shared" si="1"/>
        <v>0</v>
      </c>
    </row>
    <row r="28" spans="3:13">
      <c r="C28" t="s">
        <v>356</v>
      </c>
      <c r="D28" s="91"/>
      <c r="E28" s="91"/>
      <c r="F28" s="91"/>
      <c r="G28" s="91"/>
      <c r="H28" s="91">
        <f t="shared" ref="H28:H33" si="2">SUM(D28:G28)</f>
        <v>0</v>
      </c>
    </row>
    <row r="29" spans="3:13">
      <c r="C29" t="s">
        <v>343</v>
      </c>
      <c r="D29" s="91"/>
      <c r="E29" s="91"/>
      <c r="F29" s="91"/>
      <c r="G29" s="91"/>
      <c r="H29" s="91">
        <f t="shared" si="2"/>
        <v>0</v>
      </c>
      <c r="J29" t="s">
        <v>357</v>
      </c>
      <c r="K29" s="78">
        <f>+K15+K16+K17+K19+K20+K21+K22+K26-K14+K27</f>
        <v>0</v>
      </c>
      <c r="L29" s="91">
        <f>+L15+L16+L17+L19+L20+L21+L22+L26-L14+L27</f>
        <v>0</v>
      </c>
      <c r="M29" s="91">
        <f>+K29-L29</f>
        <v>0</v>
      </c>
    </row>
    <row r="30" spans="3:13">
      <c r="C30" t="s">
        <v>352</v>
      </c>
      <c r="D30" s="91"/>
      <c r="E30" s="91"/>
      <c r="F30" s="91"/>
      <c r="G30" s="91"/>
      <c r="H30" s="91">
        <f t="shared" si="2"/>
        <v>0</v>
      </c>
    </row>
    <row r="31" spans="3:13">
      <c r="C31" t="s">
        <v>358</v>
      </c>
      <c r="D31" s="91"/>
      <c r="E31" s="91"/>
      <c r="F31" s="91"/>
      <c r="G31" s="91"/>
      <c r="H31" s="91">
        <f t="shared" si="2"/>
        <v>0</v>
      </c>
    </row>
    <row r="32" spans="3:13">
      <c r="C32" t="s">
        <v>350</v>
      </c>
      <c r="D32" s="91">
        <f>0+D38</f>
        <v>0</v>
      </c>
      <c r="E32" s="91"/>
      <c r="F32" s="91"/>
      <c r="G32" s="91"/>
      <c r="H32" s="91">
        <f t="shared" si="2"/>
        <v>0</v>
      </c>
      <c r="J32" s="138"/>
    </row>
    <row r="33" spans="3:10">
      <c r="C33" t="s">
        <v>69</v>
      </c>
      <c r="D33" s="91"/>
      <c r="E33" s="91">
        <f>-E26</f>
        <v>0</v>
      </c>
      <c r="F33" s="91"/>
      <c r="G33" s="91"/>
      <c r="H33" s="91">
        <f t="shared" si="2"/>
        <v>0</v>
      </c>
    </row>
    <row r="34" spans="3:10">
      <c r="D34" s="91"/>
      <c r="E34" s="91"/>
      <c r="F34" s="91"/>
      <c r="G34" s="91"/>
      <c r="H34" s="91"/>
    </row>
    <row r="35" spans="3:10">
      <c r="C35" t="s">
        <v>348</v>
      </c>
      <c r="D35" s="91"/>
      <c r="E35" s="255"/>
      <c r="F35" s="91"/>
      <c r="G35" s="91"/>
      <c r="H35" s="91">
        <f>SUM(D35:G35)</f>
        <v>0</v>
      </c>
      <c r="J35" s="138"/>
    </row>
    <row r="36" spans="3:10">
      <c r="C36" t="s">
        <v>359</v>
      </c>
      <c r="D36" s="91"/>
      <c r="E36" s="91">
        <f>-E35</f>
        <v>0</v>
      </c>
      <c r="F36" s="91"/>
      <c r="G36" s="91"/>
      <c r="H36" s="91">
        <f>SUM(D36:G36)</f>
        <v>0</v>
      </c>
    </row>
    <row r="37" spans="3:10">
      <c r="C37" t="s">
        <v>360</v>
      </c>
      <c r="D37" s="91"/>
      <c r="E37" s="91"/>
      <c r="F37" s="91"/>
      <c r="G37" s="91"/>
      <c r="H37" s="91">
        <f>SUM(D37:G37)</f>
        <v>0</v>
      </c>
    </row>
    <row r="38" spans="3:10">
      <c r="C38" t="s">
        <v>361</v>
      </c>
      <c r="D38" s="91"/>
      <c r="E38" s="91"/>
      <c r="F38" s="91"/>
      <c r="G38" s="91"/>
      <c r="H38" s="91">
        <f>SUM(D38:G38)</f>
        <v>0</v>
      </c>
    </row>
    <row r="39" spans="3:10">
      <c r="D39" s="91"/>
      <c r="E39" s="91"/>
      <c r="F39" s="91"/>
      <c r="G39" s="91"/>
      <c r="H39" s="91"/>
    </row>
    <row r="40" spans="3:10">
      <c r="C40" s="76" t="s">
        <v>362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1">
        <f>SUM(D40:G40)</f>
        <v>0</v>
      </c>
    </row>
    <row r="41" spans="3:10">
      <c r="D41" s="78"/>
      <c r="E41" s="78"/>
      <c r="F41" s="78"/>
      <c r="G41" s="78"/>
      <c r="H41" s="91"/>
    </row>
    <row r="42" spans="3:10">
      <c r="D42" s="78"/>
      <c r="E42" s="78"/>
      <c r="F42" s="78"/>
      <c r="G42" s="78"/>
      <c r="H42" s="91"/>
    </row>
    <row r="43" spans="3:10">
      <c r="C43" s="76" t="s">
        <v>363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237</v>
      </c>
      <c r="D44" s="92">
        <f>+D43-D40</f>
        <v>0</v>
      </c>
      <c r="E44" s="92">
        <f>+E43-E40</f>
        <v>0</v>
      </c>
      <c r="F44" s="92">
        <f>+F43-F40</f>
        <v>0</v>
      </c>
      <c r="G44" s="92">
        <f>+G43-G40</f>
        <v>0</v>
      </c>
      <c r="H44" s="93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H13" sqref="H13"/>
    </sheetView>
  </sheetViews>
  <sheetFormatPr defaultColWidth="13.140625" defaultRowHeight="15"/>
  <cols>
    <col min="4" max="6" width="13.140625" style="91"/>
    <col min="7" max="7" width="14.42578125" customWidth="1"/>
  </cols>
  <sheetData>
    <row r="1" spans="1:9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9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9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9" ht="18">
      <c r="D4" s="52"/>
      <c r="E4" s="52"/>
      <c r="F4" s="63"/>
      <c r="G4" s="64"/>
      <c r="I4" s="65"/>
    </row>
    <row r="5" spans="1:9" ht="18">
      <c r="A5" s="123" t="s">
        <v>364</v>
      </c>
      <c r="D5" s="242"/>
      <c r="E5" s="242"/>
      <c r="F5" s="243"/>
      <c r="G5" s="244"/>
      <c r="I5" s="65"/>
    </row>
    <row r="6" spans="1:9" ht="18.75">
      <c r="D6" s="245"/>
      <c r="E6" s="245"/>
      <c r="F6" s="246"/>
      <c r="G6" s="247"/>
      <c r="I6" s="65"/>
    </row>
    <row r="7" spans="1:9">
      <c r="G7" s="91"/>
    </row>
    <row r="8" spans="1:9" s="68" customFormat="1" ht="25.5">
      <c r="A8" s="128" t="s">
        <v>156</v>
      </c>
      <c r="B8" s="364" t="s">
        <v>157</v>
      </c>
      <c r="C8" s="365"/>
      <c r="D8" s="248" t="s">
        <v>158</v>
      </c>
      <c r="E8" s="248" t="s">
        <v>158</v>
      </c>
      <c r="F8" s="248" t="s">
        <v>158</v>
      </c>
      <c r="G8" s="364" t="s">
        <v>211</v>
      </c>
      <c r="H8" s="335"/>
      <c r="I8" s="336"/>
    </row>
    <row r="10" spans="1:9">
      <c r="D10" s="249" t="s">
        <v>334</v>
      </c>
      <c r="E10" s="249" t="s">
        <v>365</v>
      </c>
      <c r="F10" s="249" t="s">
        <v>336</v>
      </c>
      <c r="G10" s="249" t="s">
        <v>366</v>
      </c>
      <c r="H10" s="249" t="s">
        <v>367</v>
      </c>
    </row>
    <row r="11" spans="1:9">
      <c r="B11" t="s">
        <v>368</v>
      </c>
      <c r="G11" s="91"/>
      <c r="H11" s="91"/>
    </row>
    <row r="12" spans="1:9">
      <c r="B12" t="s">
        <v>369</v>
      </c>
      <c r="G12" s="91"/>
      <c r="H12" s="91"/>
    </row>
    <row r="13" spans="1:9" s="42" customFormat="1">
      <c r="B13" s="42" t="s">
        <v>237</v>
      </c>
      <c r="D13" s="250">
        <f>D11-D12</f>
        <v>0</v>
      </c>
      <c r="E13" s="250">
        <f>E11-E12</f>
        <v>0</v>
      </c>
      <c r="F13" s="250">
        <f>F11-F12</f>
        <v>0</v>
      </c>
      <c r="G13" s="250">
        <f>G11-G12</f>
        <v>0</v>
      </c>
      <c r="H13" s="250">
        <f>H11-H12</f>
        <v>0</v>
      </c>
    </row>
    <row r="15" spans="1:9">
      <c r="A15" s="42" t="s">
        <v>370</v>
      </c>
    </row>
    <row r="19" spans="7:8">
      <c r="G19" s="91"/>
      <c r="H19" s="91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G1"/>
      <c r="H1" s="55" t="s">
        <v>2</v>
      </c>
      <c r="I1" s="55" t="s">
        <v>3</v>
      </c>
    </row>
    <row r="2" spans="1:10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371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5" t="s">
        <v>156</v>
      </c>
      <c r="B8" s="326" t="s">
        <v>157</v>
      </c>
      <c r="C8" s="327"/>
      <c r="D8" s="327"/>
      <c r="E8" s="328"/>
      <c r="F8" s="136" t="s">
        <v>158</v>
      </c>
      <c r="G8" s="140"/>
      <c r="H8" s="326" t="s">
        <v>211</v>
      </c>
      <c r="I8" s="335"/>
      <c r="J8" s="336"/>
    </row>
    <row r="10" spans="1:10">
      <c r="A10" s="76" t="s">
        <v>372</v>
      </c>
      <c r="C10" s="46" t="s">
        <v>373</v>
      </c>
      <c r="D10" s="366" t="s">
        <v>374</v>
      </c>
      <c r="E10" s="366"/>
      <c r="F10" s="366"/>
      <c r="G10" s="99" t="s">
        <v>375</v>
      </c>
      <c r="H10" s="367" t="s">
        <v>376</v>
      </c>
      <c r="I10" s="367"/>
      <c r="J10" s="367"/>
    </row>
    <row r="11" spans="1:10">
      <c r="A11" s="70"/>
      <c r="B11" s="70"/>
      <c r="D11" s="46" t="s">
        <v>377</v>
      </c>
      <c r="E11" s="84" t="s">
        <v>378</v>
      </c>
      <c r="F11" s="71" t="s">
        <v>379</v>
      </c>
      <c r="G11" s="71"/>
      <c r="H11" s="46" t="s">
        <v>377</v>
      </c>
      <c r="I11" s="100" t="s">
        <v>378</v>
      </c>
      <c r="J11" s="101" t="s">
        <v>379</v>
      </c>
    </row>
    <row r="12" spans="1:10">
      <c r="A12" s="70"/>
      <c r="B12" s="70"/>
      <c r="D12" s="46"/>
      <c r="E12" s="84"/>
      <c r="F12" s="71"/>
      <c r="G12" s="71"/>
      <c r="H12" s="46"/>
      <c r="I12" s="100"/>
      <c r="J12" s="101"/>
    </row>
    <row r="13" spans="1:10">
      <c r="A13" s="70"/>
      <c r="C13" s="139"/>
      <c r="D13" s="79"/>
      <c r="E13" s="79"/>
      <c r="F13" s="79">
        <f>D13-E13</f>
        <v>0</v>
      </c>
      <c r="G13" s="102"/>
      <c r="H13" s="103">
        <f>D13*$G$13</f>
        <v>0</v>
      </c>
      <c r="I13" s="103">
        <f>E13*$G$13</f>
        <v>0</v>
      </c>
      <c r="J13" s="103">
        <f>F13*$G$13</f>
        <v>0</v>
      </c>
    </row>
    <row r="14" spans="1:10">
      <c r="C14" s="139"/>
      <c r="D14" s="79"/>
      <c r="E14" s="79"/>
      <c r="F14" s="79">
        <f>D14-E14</f>
        <v>0</v>
      </c>
      <c r="G14" s="102"/>
      <c r="H14" s="103">
        <f>D14*$G$14</f>
        <v>0</v>
      </c>
      <c r="I14" s="103">
        <f>E14*$G$14</f>
        <v>0</v>
      </c>
      <c r="J14" s="103">
        <f>F14*$G$14</f>
        <v>0</v>
      </c>
    </row>
    <row r="15" spans="1:10" ht="15.75" thickBot="1">
      <c r="D15" s="79"/>
      <c r="E15" s="79"/>
      <c r="F15" s="79"/>
      <c r="G15" s="69"/>
      <c r="H15" s="104">
        <f>SUM(H13:H14)</f>
        <v>0</v>
      </c>
      <c r="I15" s="104">
        <f>SUM(I13:I14)</f>
        <v>0</v>
      </c>
      <c r="J15" s="104">
        <f>SUM(J13:J14)</f>
        <v>0</v>
      </c>
    </row>
    <row r="16" spans="1:10">
      <c r="D16" s="79"/>
      <c r="E16" s="79"/>
      <c r="F16" s="79"/>
      <c r="G16" s="69"/>
      <c r="H16" s="103"/>
      <c r="I16" s="103"/>
      <c r="J16" s="103"/>
    </row>
    <row r="17" spans="1:10">
      <c r="D17" s="79"/>
      <c r="E17" s="79"/>
      <c r="F17" s="79"/>
      <c r="G17" s="69"/>
      <c r="H17" s="103"/>
      <c r="I17" s="103"/>
      <c r="J17" s="103"/>
    </row>
    <row r="18" spans="1:10">
      <c r="A18" s="76"/>
      <c r="C18" s="139"/>
      <c r="D18" s="79"/>
      <c r="E18" s="79"/>
      <c r="F18" s="79">
        <f>D18-E18</f>
        <v>0</v>
      </c>
      <c r="G18" s="102"/>
      <c r="H18" s="103">
        <f t="shared" ref="H18:J21" si="0">D18*$G$13</f>
        <v>0</v>
      </c>
      <c r="I18" s="103">
        <f t="shared" si="0"/>
        <v>0</v>
      </c>
      <c r="J18" s="103">
        <f t="shared" si="0"/>
        <v>0</v>
      </c>
    </row>
    <row r="19" spans="1:10">
      <c r="C19" s="139"/>
      <c r="D19" s="79"/>
      <c r="E19" s="79"/>
      <c r="F19" s="79">
        <f>D19-E19</f>
        <v>0</v>
      </c>
      <c r="G19" s="102"/>
      <c r="H19" s="103">
        <f t="shared" si="0"/>
        <v>0</v>
      </c>
      <c r="I19" s="103">
        <f t="shared" si="0"/>
        <v>0</v>
      </c>
      <c r="J19" s="103">
        <f t="shared" si="0"/>
        <v>0</v>
      </c>
    </row>
    <row r="20" spans="1:10">
      <c r="C20" s="139"/>
      <c r="D20" s="79"/>
      <c r="E20" s="79"/>
      <c r="F20" s="79">
        <f>D20-E20</f>
        <v>0</v>
      </c>
      <c r="G20" s="102"/>
      <c r="H20" s="103">
        <f t="shared" si="0"/>
        <v>0</v>
      </c>
      <c r="I20" s="103">
        <f t="shared" si="0"/>
        <v>0</v>
      </c>
      <c r="J20" s="103">
        <f t="shared" si="0"/>
        <v>0</v>
      </c>
    </row>
    <row r="21" spans="1:10">
      <c r="C21" s="139"/>
      <c r="D21" s="79"/>
      <c r="E21" s="79"/>
      <c r="F21" s="79">
        <f>D21-E21</f>
        <v>0</v>
      </c>
      <c r="G21" s="102"/>
      <c r="H21" s="103">
        <f t="shared" si="0"/>
        <v>0</v>
      </c>
      <c r="I21" s="103">
        <f t="shared" si="0"/>
        <v>0</v>
      </c>
      <c r="J21" s="103">
        <f t="shared" si="0"/>
        <v>0</v>
      </c>
    </row>
    <row r="22" spans="1:10" ht="15.75" thickBot="1">
      <c r="D22" s="79"/>
      <c r="E22" s="79"/>
      <c r="F22" s="79"/>
      <c r="G22" s="78"/>
      <c r="H22" s="104">
        <f t="shared" ref="H22:J22" si="1">SUM(H18:H21)</f>
        <v>0</v>
      </c>
      <c r="I22" s="104">
        <f t="shared" si="1"/>
        <v>0</v>
      </c>
      <c r="J22" s="104">
        <f t="shared" si="1"/>
        <v>0</v>
      </c>
    </row>
    <row r="23" spans="1:10">
      <c r="D23" s="79"/>
      <c r="E23" s="79"/>
      <c r="F23" s="79"/>
      <c r="G23" s="69"/>
      <c r="H23" s="91"/>
      <c r="I23" s="91"/>
      <c r="J23" s="91"/>
    </row>
    <row r="24" spans="1:10">
      <c r="D24" s="91"/>
      <c r="E24" s="91"/>
      <c r="F24" s="91"/>
      <c r="H24" s="91"/>
      <c r="I24" s="91"/>
      <c r="J24" s="91"/>
    </row>
    <row r="25" spans="1:10">
      <c r="D25" s="91"/>
      <c r="E25" s="91"/>
      <c r="F25" s="91"/>
      <c r="H25" s="91"/>
      <c r="I25" s="91"/>
      <c r="J25" s="91"/>
    </row>
    <row r="26" spans="1:10">
      <c r="D26" s="91"/>
      <c r="E26" s="91"/>
      <c r="F26" s="91"/>
      <c r="H26" s="91"/>
      <c r="I26" s="91"/>
      <c r="J26" s="91"/>
    </row>
    <row r="27" spans="1:10">
      <c r="D27" s="91"/>
      <c r="E27" s="91"/>
      <c r="F27" s="91"/>
      <c r="H27" s="91"/>
      <c r="I27" s="91"/>
      <c r="J27" s="91"/>
    </row>
    <row r="28" spans="1:10">
      <c r="C28" s="91"/>
      <c r="D28" s="91"/>
      <c r="E28" s="91"/>
      <c r="F28" s="91"/>
      <c r="H28" s="91"/>
      <c r="I28" s="91"/>
      <c r="J28" s="91"/>
    </row>
    <row r="29" spans="1:10">
      <c r="D29" s="91"/>
      <c r="E29" s="91"/>
      <c r="F29" s="91"/>
      <c r="H29" s="91"/>
      <c r="I29" s="91"/>
      <c r="J29" s="91"/>
    </row>
    <row r="30" spans="1:10">
      <c r="H30" s="91"/>
      <c r="I30" s="91"/>
      <c r="J30" s="91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ECD9FF"/>
  </sheetPr>
  <dimension ref="A1:Y118"/>
  <sheetViews>
    <sheetView zoomScaleNormal="100" workbookViewId="0">
      <selection activeCell="Q29" sqref="Q2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5" width="14.42578125" customWidth="1"/>
    <col min="6" max="6" width="21.85546875" customWidth="1"/>
    <col min="7" max="8" width="14.42578125" customWidth="1"/>
    <col min="9" max="9" width="24.5703125" customWidth="1"/>
    <col min="10" max="14" width="14.42578125" customWidth="1"/>
    <col min="15" max="15" width="1" customWidth="1"/>
    <col min="16" max="16" width="15" bestFit="1" customWidth="1"/>
    <col min="17" max="17" width="12" customWidth="1"/>
    <col min="18" max="18" width="1.28515625" customWidth="1"/>
    <col min="19" max="19" width="0.7109375" customWidth="1"/>
    <col min="20" max="20" width="9.7109375" bestFit="1" customWidth="1"/>
    <col min="21" max="21" width="10.5703125" bestFit="1" customWidth="1"/>
    <col min="22" max="22" width="1.42578125" customWidth="1"/>
    <col min="23" max="23" width="0.7109375" customWidth="1"/>
    <col min="24" max="24" width="10.7109375" bestFit="1" customWidth="1"/>
    <col min="25" max="25" width="10.5703125" bestFit="1" customWidth="1"/>
  </cols>
  <sheetData>
    <row r="1" spans="1:24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24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24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24" ht="18">
      <c r="D4" s="52"/>
      <c r="E4" s="52"/>
      <c r="F4" s="63"/>
      <c r="G4" s="64"/>
      <c r="I4" s="65"/>
    </row>
    <row r="5" spans="1:24" ht="18">
      <c r="A5" s="123" t="s">
        <v>380</v>
      </c>
      <c r="D5" s="52"/>
      <c r="E5" s="52"/>
      <c r="F5" s="63"/>
      <c r="G5" s="64"/>
      <c r="I5" s="65"/>
    </row>
    <row r="6" spans="1:24" ht="20.100000000000001" customHeight="1"/>
    <row r="7" spans="1:24">
      <c r="D7" s="113"/>
    </row>
    <row r="8" spans="1:24">
      <c r="E8" s="113"/>
      <c r="F8" s="113"/>
    </row>
    <row r="9" spans="1:24" ht="18.75" thickBot="1">
      <c r="A9" s="123" t="s">
        <v>381</v>
      </c>
      <c r="B9" s="389"/>
      <c r="C9" s="389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</row>
    <row r="10" spans="1:24">
      <c r="A10" s="264" t="s">
        <v>382</v>
      </c>
      <c r="B10" s="373" t="s">
        <v>157</v>
      </c>
      <c r="C10" s="374"/>
      <c r="D10" s="377" t="s">
        <v>383</v>
      </c>
      <c r="E10" s="379" t="s">
        <v>160</v>
      </c>
      <c r="F10" s="379" t="s">
        <v>185</v>
      </c>
      <c r="G10" s="373" t="s">
        <v>211</v>
      </c>
      <c r="H10" s="374"/>
      <c r="I10" s="377"/>
      <c r="J10" s="390"/>
      <c r="K10" s="390"/>
      <c r="L10" s="390"/>
      <c r="M10" s="391" t="s">
        <v>384</v>
      </c>
      <c r="N10" s="390"/>
      <c r="O10" s="390"/>
      <c r="P10" s="391" t="s">
        <v>385</v>
      </c>
      <c r="Q10" s="390"/>
      <c r="R10" s="390"/>
      <c r="S10" s="390"/>
      <c r="T10" s="391" t="s">
        <v>386</v>
      </c>
      <c r="U10" s="390"/>
      <c r="X10" s="381" t="s">
        <v>387</v>
      </c>
    </row>
    <row r="11" spans="1:24" ht="15.75" thickBot="1">
      <c r="A11" s="265" t="s">
        <v>388</v>
      </c>
      <c r="B11" s="375"/>
      <c r="C11" s="376"/>
      <c r="D11" s="378"/>
      <c r="E11" s="380"/>
      <c r="F11" s="380"/>
      <c r="G11" s="375"/>
      <c r="H11" s="376"/>
      <c r="I11" s="378"/>
      <c r="J11" s="390"/>
      <c r="K11" s="390"/>
      <c r="L11" s="390"/>
      <c r="M11" s="391"/>
      <c r="N11" s="390"/>
      <c r="O11" s="390"/>
      <c r="P11" s="391"/>
      <c r="Q11" s="390"/>
      <c r="R11" s="390"/>
      <c r="S11" s="390"/>
      <c r="T11" s="391"/>
      <c r="U11" s="390"/>
      <c r="X11" s="381"/>
    </row>
    <row r="12" spans="1:24">
      <c r="A12" s="216"/>
      <c r="B12" s="392"/>
      <c r="C12" s="393"/>
      <c r="D12" s="217"/>
      <c r="E12" s="218"/>
      <c r="F12" s="218"/>
      <c r="G12" s="392"/>
      <c r="H12" s="393"/>
      <c r="I12" s="394"/>
      <c r="J12" s="222"/>
      <c r="K12" s="222"/>
      <c r="L12" s="222"/>
      <c r="M12" s="271" t="s">
        <v>389</v>
      </c>
      <c r="N12" s="222"/>
      <c r="O12" s="222"/>
      <c r="P12" s="271" t="s">
        <v>389</v>
      </c>
      <c r="Q12" s="222"/>
      <c r="R12" s="222"/>
      <c r="S12" s="222"/>
      <c r="T12" s="222"/>
      <c r="U12" s="222"/>
    </row>
    <row r="13" spans="1:24">
      <c r="A13" s="185"/>
      <c r="B13" s="370" t="s">
        <v>390</v>
      </c>
      <c r="C13" s="371"/>
      <c r="D13" s="371"/>
      <c r="E13" s="371"/>
      <c r="F13" s="372"/>
      <c r="G13" s="395"/>
      <c r="H13" s="396"/>
      <c r="I13" s="397"/>
      <c r="J13" s="222"/>
      <c r="K13" s="222"/>
      <c r="L13" s="222"/>
      <c r="M13" s="222" t="s">
        <v>3</v>
      </c>
      <c r="N13" s="222" t="s">
        <v>391</v>
      </c>
      <c r="O13" s="222"/>
      <c r="P13" s="222" t="s">
        <v>3</v>
      </c>
      <c r="Q13" s="222" t="s">
        <v>392</v>
      </c>
      <c r="R13" s="222"/>
      <c r="S13" s="222"/>
      <c r="T13" s="222"/>
      <c r="U13" s="222"/>
    </row>
    <row r="14" spans="1:24">
      <c r="A14" s="185"/>
      <c r="B14" s="395"/>
      <c r="C14" s="396"/>
      <c r="D14" s="219"/>
      <c r="E14" s="202"/>
      <c r="F14" s="202"/>
      <c r="G14" s="395"/>
      <c r="H14" s="396"/>
      <c r="I14" s="397"/>
      <c r="J14" s="222"/>
      <c r="K14" s="222"/>
      <c r="L14" s="222"/>
      <c r="M14" s="272">
        <v>44766</v>
      </c>
      <c r="N14" s="273">
        <v>288.05</v>
      </c>
      <c r="O14" s="222"/>
      <c r="P14" s="272">
        <v>44792</v>
      </c>
      <c r="Q14" s="273">
        <v>548.62</v>
      </c>
      <c r="R14" s="222"/>
      <c r="S14" s="222"/>
      <c r="T14" s="222"/>
      <c r="U14" s="222"/>
    </row>
    <row r="15" spans="1:24">
      <c r="A15" s="185"/>
      <c r="B15" s="398" t="s">
        <v>393</v>
      </c>
      <c r="C15" s="399"/>
      <c r="D15" s="399"/>
      <c r="E15" s="399"/>
      <c r="F15" s="400"/>
      <c r="G15" s="395"/>
      <c r="H15" s="396"/>
      <c r="I15" s="397"/>
      <c r="J15" s="222"/>
      <c r="K15" s="222"/>
      <c r="L15" s="222"/>
      <c r="M15" s="272">
        <v>44855</v>
      </c>
      <c r="N15" s="273">
        <v>288.81</v>
      </c>
      <c r="O15" s="222"/>
      <c r="P15" s="272">
        <v>44886</v>
      </c>
      <c r="Q15" s="273">
        <v>493.66</v>
      </c>
      <c r="R15" s="222"/>
      <c r="S15" s="222"/>
      <c r="T15" s="222"/>
      <c r="U15" s="222"/>
    </row>
    <row r="16" spans="1:24">
      <c r="A16" s="185"/>
      <c r="B16" s="395" t="s">
        <v>394</v>
      </c>
      <c r="C16" s="397"/>
      <c r="D16" s="261" t="s">
        <v>395</v>
      </c>
      <c r="E16" s="262"/>
      <c r="F16" s="262"/>
      <c r="G16" s="337" t="s">
        <v>396</v>
      </c>
      <c r="H16" s="338"/>
      <c r="I16" s="339"/>
      <c r="J16" s="222"/>
      <c r="K16" s="222"/>
      <c r="L16" s="222"/>
      <c r="M16" s="272">
        <v>44944</v>
      </c>
      <c r="N16" s="273">
        <v>208.28</v>
      </c>
      <c r="O16" s="222"/>
      <c r="P16" s="272">
        <v>44937</v>
      </c>
      <c r="Q16" s="273">
        <v>324.01</v>
      </c>
      <c r="R16" s="222"/>
      <c r="S16" s="222"/>
      <c r="T16" s="222"/>
      <c r="U16" s="222"/>
    </row>
    <row r="17" spans="1:25">
      <c r="A17" s="185"/>
      <c r="B17" s="395" t="s">
        <v>397</v>
      </c>
      <c r="C17" s="396"/>
      <c r="D17" s="266">
        <v>3049.4</v>
      </c>
      <c r="E17" s="267">
        <f>D17/11</f>
        <v>277.21818181818185</v>
      </c>
      <c r="F17" s="267">
        <f>D17-E17</f>
        <v>2772.181818181818</v>
      </c>
      <c r="G17" s="395" t="s">
        <v>398</v>
      </c>
      <c r="H17" s="396"/>
      <c r="I17" s="397"/>
      <c r="J17" s="222"/>
      <c r="K17" s="222"/>
      <c r="L17" s="271"/>
      <c r="M17" s="222"/>
      <c r="N17" s="274">
        <f>SUM(N14:N16)</f>
        <v>785.14</v>
      </c>
      <c r="O17" s="222"/>
      <c r="P17" s="222"/>
      <c r="Q17" s="274">
        <f>SUM(Q14:Q16)</f>
        <v>1366.29</v>
      </c>
      <c r="R17" s="222"/>
      <c r="S17" s="222"/>
      <c r="T17" s="222"/>
      <c r="U17" s="222"/>
    </row>
    <row r="18" spans="1:25">
      <c r="A18" s="185"/>
      <c r="B18" s="337" t="s">
        <v>397</v>
      </c>
      <c r="C18" s="338"/>
      <c r="D18" s="266">
        <v>1524.7</v>
      </c>
      <c r="E18" s="267">
        <f>D18/11</f>
        <v>138.60909090909092</v>
      </c>
      <c r="F18" s="267">
        <f>D18-E18</f>
        <v>1386.090909090909</v>
      </c>
      <c r="G18" s="337" t="s">
        <v>399</v>
      </c>
      <c r="H18" s="338"/>
      <c r="I18" s="339"/>
      <c r="J18" s="222"/>
      <c r="K18" s="222"/>
      <c r="L18" s="271"/>
      <c r="M18" s="222"/>
      <c r="N18" s="279"/>
      <c r="O18" s="222"/>
      <c r="P18" s="222"/>
      <c r="Q18" s="279"/>
      <c r="R18" s="222"/>
      <c r="S18" s="222"/>
      <c r="T18" s="222"/>
      <c r="U18" s="222"/>
    </row>
    <row r="19" spans="1:25">
      <c r="A19" s="185"/>
      <c r="B19" s="395" t="s">
        <v>400</v>
      </c>
      <c r="C19" s="396"/>
      <c r="D19" s="219"/>
      <c r="E19" s="202"/>
      <c r="F19" s="219"/>
      <c r="G19" s="395"/>
      <c r="H19" s="396"/>
      <c r="I19" s="397"/>
      <c r="J19" s="222"/>
      <c r="K19" s="222"/>
      <c r="L19" s="222"/>
      <c r="M19" s="222"/>
      <c r="N19" s="273"/>
      <c r="O19" s="222"/>
      <c r="P19" s="222"/>
      <c r="Q19" s="222"/>
      <c r="R19" s="222"/>
      <c r="S19" s="222"/>
      <c r="T19" s="222"/>
      <c r="U19" s="222"/>
    </row>
    <row r="20" spans="1:25">
      <c r="A20" s="185"/>
      <c r="B20" s="395"/>
      <c r="C20" s="396"/>
      <c r="D20" s="219"/>
      <c r="E20" s="202"/>
      <c r="F20" s="219"/>
      <c r="G20" s="395"/>
      <c r="H20" s="396"/>
      <c r="I20" s="397"/>
      <c r="J20" s="222"/>
      <c r="K20" s="222"/>
      <c r="L20" s="222"/>
      <c r="M20" s="222"/>
      <c r="N20" s="273"/>
      <c r="O20" s="222"/>
      <c r="P20" s="222"/>
      <c r="Q20" s="222"/>
      <c r="R20" s="222"/>
      <c r="S20" s="222"/>
      <c r="T20" s="222"/>
      <c r="U20" s="222"/>
    </row>
    <row r="21" spans="1:25">
      <c r="A21" s="185"/>
      <c r="B21" s="395" t="s">
        <v>401</v>
      </c>
      <c r="C21" s="396"/>
      <c r="D21" s="266">
        <f>(D17*4)+D18</f>
        <v>13722.300000000001</v>
      </c>
      <c r="E21" s="266">
        <f t="shared" ref="E21:F21" si="0">(E17*4)+E18</f>
        <v>1247.4818181818182</v>
      </c>
      <c r="F21" s="266">
        <f t="shared" si="0"/>
        <v>12474.81818181818</v>
      </c>
      <c r="G21" s="395"/>
      <c r="H21" s="396"/>
      <c r="I21" s="397"/>
      <c r="J21" s="222"/>
      <c r="K21" s="222"/>
      <c r="L21" s="222"/>
      <c r="M21" s="271" t="s">
        <v>402</v>
      </c>
      <c r="N21" s="273"/>
      <c r="O21" s="222"/>
      <c r="P21" s="271" t="s">
        <v>402</v>
      </c>
      <c r="Q21" s="222"/>
      <c r="R21" s="222"/>
      <c r="S21" s="222"/>
      <c r="T21" s="271" t="s">
        <v>402</v>
      </c>
      <c r="U21" s="222"/>
      <c r="X21" s="271" t="s">
        <v>402</v>
      </c>
    </row>
    <row r="22" spans="1:25">
      <c r="A22" s="185"/>
      <c r="B22" s="395" t="s">
        <v>403</v>
      </c>
      <c r="C22" s="396"/>
      <c r="D22" s="276">
        <f>Q17</f>
        <v>1366.29</v>
      </c>
      <c r="E22" s="266">
        <f>D22/11</f>
        <v>124.20818181818181</v>
      </c>
      <c r="F22" s="276">
        <f>D22-E22</f>
        <v>1242.0818181818181</v>
      </c>
      <c r="G22" s="395"/>
      <c r="H22" s="396"/>
      <c r="I22" s="397"/>
      <c r="J22" s="222"/>
      <c r="K22" s="222"/>
      <c r="L22" s="222"/>
      <c r="M22" s="222" t="s">
        <v>3</v>
      </c>
      <c r="N22" s="273" t="s">
        <v>404</v>
      </c>
      <c r="O22" s="222"/>
      <c r="P22" s="222" t="s">
        <v>3</v>
      </c>
      <c r="Q22" s="222" t="s">
        <v>392</v>
      </c>
      <c r="R22" s="222"/>
      <c r="S22" s="222"/>
      <c r="T22" s="222" t="s">
        <v>3</v>
      </c>
      <c r="U22" s="222" t="s">
        <v>404</v>
      </c>
      <c r="X22" t="s">
        <v>3</v>
      </c>
      <c r="Y22" t="s">
        <v>392</v>
      </c>
    </row>
    <row r="23" spans="1:25">
      <c r="A23" s="185"/>
      <c r="B23" s="395" t="s">
        <v>405</v>
      </c>
      <c r="C23" s="396"/>
      <c r="D23" s="276">
        <f>N17</f>
        <v>785.14</v>
      </c>
      <c r="E23" s="202">
        <v>0</v>
      </c>
      <c r="F23" s="276">
        <f>N17</f>
        <v>785.14</v>
      </c>
      <c r="G23" s="395" t="s">
        <v>406</v>
      </c>
      <c r="H23" s="396"/>
      <c r="I23" s="397"/>
      <c r="J23" s="222"/>
      <c r="K23" s="222"/>
      <c r="L23" s="222"/>
      <c r="M23" s="272">
        <v>45035</v>
      </c>
      <c r="N23" s="273">
        <v>303.06</v>
      </c>
      <c r="O23" s="222"/>
      <c r="P23" s="222"/>
      <c r="Q23" s="222"/>
      <c r="R23" s="222"/>
      <c r="S23" s="222"/>
      <c r="T23" s="272">
        <v>44927</v>
      </c>
      <c r="U23" s="273">
        <v>1642.7</v>
      </c>
      <c r="X23" s="126">
        <v>44927</v>
      </c>
      <c r="Y23" s="57">
        <v>2561.9299999999998</v>
      </c>
    </row>
    <row r="24" spans="1:25">
      <c r="A24" s="185"/>
      <c r="B24" s="401" t="s">
        <v>407</v>
      </c>
      <c r="C24" s="402"/>
      <c r="D24" s="268">
        <f>D21+D22+D23</f>
        <v>15873.73</v>
      </c>
      <c r="E24" s="268">
        <f t="shared" ref="E24:F24" si="1">E21+E22+E23</f>
        <v>1371.69</v>
      </c>
      <c r="F24" s="268">
        <f t="shared" si="1"/>
        <v>14502.039999999997</v>
      </c>
      <c r="G24" s="395"/>
      <c r="H24" s="396"/>
      <c r="I24" s="397"/>
      <c r="J24" s="222"/>
      <c r="K24" s="222"/>
      <c r="L24" s="222"/>
      <c r="M24" s="222"/>
      <c r="N24" s="273"/>
      <c r="O24" s="222"/>
      <c r="P24" s="222"/>
      <c r="Q24" s="222"/>
      <c r="R24" s="222"/>
      <c r="S24" s="222"/>
      <c r="T24" s="272">
        <v>44991</v>
      </c>
      <c r="U24" s="273">
        <v>1642.7</v>
      </c>
      <c r="X24" s="126">
        <v>45013</v>
      </c>
      <c r="Y24" s="57">
        <v>2561.9299999999998</v>
      </c>
    </row>
    <row r="25" spans="1:25">
      <c r="A25" s="185"/>
      <c r="B25" s="395"/>
      <c r="C25" s="396"/>
      <c r="D25" s="260"/>
      <c r="E25" s="260"/>
      <c r="F25" s="260"/>
      <c r="G25" s="395"/>
      <c r="H25" s="396"/>
      <c r="I25" s="397"/>
      <c r="J25" s="222"/>
      <c r="K25" s="222"/>
      <c r="L25" s="222"/>
      <c r="M25" s="222"/>
      <c r="N25" s="273"/>
      <c r="O25" s="222"/>
      <c r="P25" s="222"/>
      <c r="Q25" s="222"/>
      <c r="R25" s="222"/>
      <c r="S25" s="222"/>
      <c r="T25" s="222"/>
      <c r="U25" s="273"/>
      <c r="X25" s="126"/>
      <c r="Y25" s="57"/>
    </row>
    <row r="26" spans="1:25">
      <c r="A26" s="185"/>
      <c r="B26" s="395"/>
      <c r="C26" s="396"/>
      <c r="D26" s="219"/>
      <c r="E26" s="202"/>
      <c r="F26" s="219"/>
      <c r="G26" s="395"/>
      <c r="H26" s="396"/>
      <c r="I26" s="397"/>
      <c r="J26" s="222"/>
      <c r="K26" s="222"/>
      <c r="L26" s="222"/>
      <c r="M26" s="222"/>
      <c r="N26" s="274">
        <f>SUM(N23:N25)</f>
        <v>303.06</v>
      </c>
      <c r="O26" s="222"/>
      <c r="P26" s="222"/>
      <c r="Q26" s="275">
        <f>SUM(Q23:Q25)</f>
        <v>0</v>
      </c>
      <c r="R26" s="222"/>
      <c r="S26" s="222"/>
      <c r="T26" s="222"/>
      <c r="U26" s="274">
        <f>SUM(U23:U25)</f>
        <v>3285.4</v>
      </c>
      <c r="Y26" s="277">
        <f>SUM(Y23:Y25)</f>
        <v>5123.8599999999997</v>
      </c>
    </row>
    <row r="27" spans="1:25">
      <c r="A27" s="185"/>
      <c r="B27" s="398" t="s">
        <v>408</v>
      </c>
      <c r="C27" s="399"/>
      <c r="D27" s="399"/>
      <c r="E27" s="399"/>
      <c r="F27" s="400"/>
      <c r="G27" s="395"/>
      <c r="H27" s="396"/>
      <c r="I27" s="397"/>
      <c r="J27" s="222"/>
      <c r="K27" s="222"/>
      <c r="L27" s="222"/>
      <c r="M27" s="222"/>
      <c r="N27" s="273"/>
      <c r="O27" s="222"/>
      <c r="P27" s="222"/>
      <c r="Q27" s="222"/>
      <c r="R27" s="222"/>
      <c r="S27" s="222"/>
      <c r="T27" s="222"/>
      <c r="U27" s="222"/>
    </row>
    <row r="28" spans="1:25">
      <c r="A28" s="185"/>
      <c r="B28" s="395" t="s">
        <v>394</v>
      </c>
      <c r="C28" s="397"/>
      <c r="D28" s="395" t="s">
        <v>395</v>
      </c>
      <c r="E28" s="396"/>
      <c r="F28" s="397"/>
      <c r="G28" s="395" t="s">
        <v>396</v>
      </c>
      <c r="H28" s="396"/>
      <c r="I28" s="397"/>
      <c r="J28" s="222"/>
      <c r="K28" s="222"/>
      <c r="L28" s="222"/>
      <c r="M28" s="222"/>
      <c r="N28" s="273"/>
      <c r="O28" s="222"/>
      <c r="P28" s="222"/>
      <c r="Q28" s="222"/>
      <c r="R28" s="222"/>
      <c r="S28" s="222"/>
      <c r="T28" s="222"/>
      <c r="U28" s="222"/>
    </row>
    <row r="29" spans="1:25">
      <c r="A29" s="185"/>
      <c r="B29" s="395" t="s">
        <v>397</v>
      </c>
      <c r="C29" s="396"/>
      <c r="D29" s="266">
        <f>779.16</f>
        <v>779.16</v>
      </c>
      <c r="E29" s="267">
        <f>D29/11</f>
        <v>70.832727272727269</v>
      </c>
      <c r="F29" s="267">
        <f>D29-E29</f>
        <v>708.32727272727266</v>
      </c>
      <c r="G29" s="395"/>
      <c r="H29" s="396"/>
      <c r="I29" s="397"/>
      <c r="J29" s="222"/>
      <c r="K29" s="222"/>
      <c r="L29" s="222"/>
      <c r="M29" s="222"/>
      <c r="N29" s="273"/>
      <c r="O29" s="222"/>
      <c r="P29" s="222"/>
      <c r="Q29" s="222"/>
      <c r="R29" s="222"/>
      <c r="S29" s="222"/>
      <c r="T29" s="222"/>
      <c r="U29" s="222"/>
    </row>
    <row r="30" spans="1:25">
      <c r="A30" s="185"/>
      <c r="B30" s="395"/>
      <c r="C30" s="396"/>
      <c r="D30" s="219"/>
      <c r="E30" s="202"/>
      <c r="F30" s="219"/>
      <c r="G30" s="395"/>
      <c r="H30" s="396"/>
      <c r="I30" s="397"/>
      <c r="J30" s="222"/>
      <c r="K30" s="222"/>
      <c r="L30" s="222"/>
      <c r="M30" s="222"/>
      <c r="N30" s="298"/>
      <c r="O30" s="222"/>
      <c r="P30" s="222"/>
      <c r="Q30" s="298"/>
      <c r="R30" s="222"/>
      <c r="S30" s="222"/>
      <c r="T30" s="222"/>
      <c r="U30" s="222"/>
    </row>
    <row r="31" spans="1:25">
      <c r="A31" s="185"/>
      <c r="B31" s="401" t="s">
        <v>401</v>
      </c>
      <c r="C31" s="402"/>
      <c r="D31" s="268">
        <f>D29*5</f>
        <v>3895.7999999999997</v>
      </c>
      <c r="E31" s="268">
        <f>E29*5</f>
        <v>354.16363636363633</v>
      </c>
      <c r="F31" s="268">
        <f>F29*5</f>
        <v>3541.6363636363631</v>
      </c>
      <c r="G31" s="395"/>
      <c r="H31" s="396"/>
      <c r="I31" s="397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</row>
    <row r="32" spans="1:25">
      <c r="A32" s="185"/>
      <c r="B32" s="395"/>
      <c r="C32" s="396"/>
      <c r="D32" s="219"/>
      <c r="E32" s="202"/>
      <c r="F32" s="219"/>
      <c r="G32" s="395"/>
      <c r="H32" s="396"/>
      <c r="I32" s="397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</row>
    <row r="33" spans="1:21">
      <c r="A33" s="185"/>
      <c r="B33" s="395"/>
      <c r="C33" s="396"/>
      <c r="D33" s="219"/>
      <c r="E33" s="202"/>
      <c r="F33" s="219"/>
      <c r="G33" s="395"/>
      <c r="H33" s="396"/>
      <c r="I33" s="397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</row>
    <row r="34" spans="1:21">
      <c r="A34" s="185"/>
      <c r="B34" s="398" t="s">
        <v>409</v>
      </c>
      <c r="C34" s="399"/>
      <c r="D34" s="399"/>
      <c r="E34" s="399"/>
      <c r="F34" s="400"/>
      <c r="G34" s="395"/>
      <c r="H34" s="396"/>
      <c r="I34" s="397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</row>
    <row r="35" spans="1:21">
      <c r="A35" s="185"/>
      <c r="B35" s="395" t="s">
        <v>394</v>
      </c>
      <c r="C35" s="396"/>
      <c r="D35" s="403" t="s">
        <v>410</v>
      </c>
      <c r="E35" s="403"/>
      <c r="F35" s="404"/>
      <c r="G35" s="395"/>
      <c r="H35" s="396"/>
      <c r="I35" s="397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</row>
    <row r="36" spans="1:21">
      <c r="A36" s="185"/>
      <c r="B36" s="395" t="s">
        <v>411</v>
      </c>
      <c r="C36" s="396"/>
      <c r="D36" s="403" t="s">
        <v>412</v>
      </c>
      <c r="E36" s="403"/>
      <c r="F36" s="404"/>
      <c r="G36" s="395"/>
      <c r="H36" s="396"/>
      <c r="I36" s="397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</row>
    <row r="37" spans="1:21">
      <c r="A37" s="185"/>
      <c r="B37" s="395" t="s">
        <v>413</v>
      </c>
      <c r="C37" s="396"/>
      <c r="D37" s="403" t="s">
        <v>414</v>
      </c>
      <c r="E37" s="403"/>
      <c r="F37" s="404"/>
      <c r="G37" s="395"/>
      <c r="H37" s="396"/>
      <c r="I37" s="397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</row>
    <row r="38" spans="1:21">
      <c r="A38" s="185"/>
      <c r="B38" s="395" t="s">
        <v>415</v>
      </c>
      <c r="C38" s="396"/>
      <c r="D38" s="403" t="s">
        <v>416</v>
      </c>
      <c r="E38" s="403"/>
      <c r="F38" s="404"/>
      <c r="G38" s="395"/>
      <c r="H38" s="396"/>
      <c r="I38" s="397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</row>
    <row r="39" spans="1:21">
      <c r="A39" s="185"/>
      <c r="B39" s="395"/>
      <c r="C39" s="396"/>
      <c r="D39" s="294" t="s">
        <v>417</v>
      </c>
      <c r="E39" s="294"/>
      <c r="F39" s="295"/>
      <c r="G39" s="395"/>
      <c r="H39" s="396"/>
      <c r="I39" s="397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</row>
    <row r="40" spans="1:21">
      <c r="A40" s="185"/>
      <c r="B40" s="395"/>
      <c r="C40" s="396"/>
      <c r="D40" s="405" t="s">
        <v>418</v>
      </c>
      <c r="E40" s="405"/>
      <c r="F40" s="406"/>
      <c r="G40" s="395"/>
      <c r="H40" s="396"/>
      <c r="I40" s="397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</row>
    <row r="41" spans="1:21">
      <c r="A41" s="185"/>
      <c r="B41" s="261" t="s">
        <v>419</v>
      </c>
      <c r="C41" s="262"/>
      <c r="D41" s="266">
        <f>+F41+E41</f>
        <v>68145</v>
      </c>
      <c r="E41" s="266">
        <f>+F41*0.1</f>
        <v>6195</v>
      </c>
      <c r="F41" s="266">
        <v>61950</v>
      </c>
      <c r="G41" s="395"/>
      <c r="H41" s="396"/>
      <c r="I41" s="397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</row>
    <row r="42" spans="1:21">
      <c r="A42" s="185"/>
      <c r="B42" s="395" t="s">
        <v>397</v>
      </c>
      <c r="C42" s="396"/>
      <c r="D42" s="266">
        <f>+D41/12</f>
        <v>5678.75</v>
      </c>
      <c r="E42" s="267">
        <f>D42/11</f>
        <v>516.25</v>
      </c>
      <c r="F42" s="266">
        <f>D42-E42</f>
        <v>5162.5</v>
      </c>
      <c r="G42" s="395"/>
      <c r="H42" s="396"/>
      <c r="I42" s="397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</row>
    <row r="43" spans="1:21">
      <c r="A43" s="185"/>
      <c r="B43" s="395" t="s">
        <v>420</v>
      </c>
      <c r="C43" s="396"/>
      <c r="D43" s="296">
        <v>1</v>
      </c>
      <c r="E43" s="262"/>
      <c r="F43" s="219"/>
      <c r="G43" s="395"/>
      <c r="H43" s="396"/>
      <c r="I43" s="397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</row>
    <row r="44" spans="1:21">
      <c r="A44" s="185"/>
      <c r="B44" s="395"/>
      <c r="C44" s="396"/>
      <c r="G44" s="395"/>
      <c r="H44" s="396"/>
      <c r="I44" s="397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</row>
    <row r="45" spans="1:21">
      <c r="A45" s="185"/>
      <c r="B45" s="395"/>
      <c r="C45" s="396"/>
      <c r="D45" s="266"/>
      <c r="E45" s="267"/>
      <c r="F45" s="266"/>
      <c r="G45" s="395"/>
      <c r="H45" s="396"/>
      <c r="I45" s="397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</row>
    <row r="46" spans="1:21">
      <c r="A46" s="185"/>
      <c r="B46" s="337" t="s">
        <v>401</v>
      </c>
      <c r="C46" s="338"/>
      <c r="D46" s="266">
        <f>D42*7</f>
        <v>39751.25</v>
      </c>
      <c r="E46" s="266">
        <f>E42*7</f>
        <v>3613.75</v>
      </c>
      <c r="F46" s="266">
        <f>F42*7</f>
        <v>36137.5</v>
      </c>
      <c r="G46" s="395" t="s">
        <v>421</v>
      </c>
      <c r="H46" s="396"/>
      <c r="I46" s="397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</row>
    <row r="47" spans="1:21">
      <c r="A47" s="185"/>
      <c r="B47" s="395" t="s">
        <v>384</v>
      </c>
      <c r="C47" s="396"/>
      <c r="D47" s="276">
        <f>N26</f>
        <v>303.06</v>
      </c>
      <c r="E47" s="267">
        <v>0</v>
      </c>
      <c r="F47" s="278">
        <f>D47</f>
        <v>303.06</v>
      </c>
      <c r="G47" s="395" t="s">
        <v>406</v>
      </c>
      <c r="H47" s="396"/>
      <c r="I47" s="397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</row>
    <row r="48" spans="1:21">
      <c r="A48" s="185"/>
      <c r="B48" s="382" t="s">
        <v>386</v>
      </c>
      <c r="C48" s="383"/>
      <c r="D48" s="276">
        <f>U26</f>
        <v>3285.4</v>
      </c>
      <c r="E48" s="202">
        <v>0</v>
      </c>
      <c r="F48" s="276">
        <f>D48</f>
        <v>3285.4</v>
      </c>
      <c r="G48" s="395" t="s">
        <v>406</v>
      </c>
      <c r="H48" s="396"/>
      <c r="I48" s="397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</row>
    <row r="49" spans="1:21">
      <c r="A49" s="185"/>
      <c r="B49" s="395" t="s">
        <v>387</v>
      </c>
      <c r="C49" s="396"/>
      <c r="D49" s="276">
        <f>Y26</f>
        <v>5123.8599999999997</v>
      </c>
      <c r="E49" s="276">
        <f>D49/11</f>
        <v>465.8054545454545</v>
      </c>
      <c r="F49" s="276">
        <f>D49-E49</f>
        <v>4658.0545454545454</v>
      </c>
      <c r="G49" s="395"/>
      <c r="H49" s="396"/>
      <c r="I49" s="397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</row>
    <row r="50" spans="1:21">
      <c r="A50" s="220"/>
      <c r="B50" s="401" t="s">
        <v>422</v>
      </c>
      <c r="C50" s="402"/>
      <c r="D50" s="268">
        <f>SUM(D46:D49)</f>
        <v>48463.57</v>
      </c>
      <c r="E50" s="268">
        <f t="shared" ref="E50" si="2">SUM(E46:E49)</f>
        <v>4079.5554545454543</v>
      </c>
      <c r="F50" s="268">
        <f>SUM(F46:F49)</f>
        <v>44384.014545454542</v>
      </c>
      <c r="G50" s="401"/>
      <c r="H50" s="402"/>
      <c r="I50" s="407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</row>
    <row r="51" spans="1:21">
      <c r="A51" s="220"/>
      <c r="B51" s="395"/>
      <c r="C51" s="396"/>
      <c r="D51" s="266"/>
      <c r="E51" s="266"/>
      <c r="F51" s="266"/>
      <c r="G51" s="395"/>
      <c r="H51" s="396"/>
      <c r="I51" s="397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</row>
    <row r="52" spans="1:21">
      <c r="A52" s="220"/>
      <c r="B52" s="395"/>
      <c r="C52" s="396"/>
      <c r="D52" s="266"/>
      <c r="E52" s="266"/>
      <c r="F52" s="266"/>
      <c r="G52" s="395"/>
      <c r="H52" s="396"/>
      <c r="I52" s="397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</row>
    <row r="53" spans="1:21">
      <c r="A53" s="220"/>
      <c r="B53" s="401"/>
      <c r="C53" s="402"/>
      <c r="D53" s="268"/>
      <c r="E53" s="268"/>
      <c r="F53" s="268"/>
      <c r="G53" s="395"/>
      <c r="H53" s="396"/>
      <c r="I53" s="397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</row>
    <row r="54" spans="1:21">
      <c r="A54" s="220"/>
      <c r="B54" s="408" t="s">
        <v>423</v>
      </c>
      <c r="C54" s="409"/>
      <c r="D54" s="290">
        <f>D24+D31+D50</f>
        <v>68233.100000000006</v>
      </c>
      <c r="E54" s="290">
        <f>E24+E31+E50</f>
        <v>5805.4090909090901</v>
      </c>
      <c r="F54" s="290">
        <f>F24+F31+F50</f>
        <v>62427.690909090903</v>
      </c>
      <c r="G54" s="395"/>
      <c r="H54" s="396"/>
      <c r="I54" s="397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</row>
    <row r="55" spans="1:21">
      <c r="A55" s="289"/>
      <c r="B55" s="368" t="s">
        <v>424</v>
      </c>
      <c r="C55" s="369"/>
      <c r="D55" s="288"/>
      <c r="E55" s="288"/>
      <c r="F55" s="293">
        <v>62427.7</v>
      </c>
      <c r="G55" s="396"/>
      <c r="H55" s="396"/>
      <c r="I55" s="397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</row>
    <row r="56" spans="1:21">
      <c r="A56" s="289"/>
      <c r="B56" s="291" t="s">
        <v>237</v>
      </c>
      <c r="C56" s="292"/>
      <c r="D56" s="288"/>
      <c r="E56" s="288"/>
      <c r="F56" s="288"/>
      <c r="G56" s="396"/>
      <c r="H56" s="396"/>
      <c r="I56" s="397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</row>
    <row r="57" spans="1:21" ht="15.75" thickBot="1">
      <c r="A57" s="204"/>
      <c r="B57" s="410"/>
      <c r="C57" s="411"/>
      <c r="D57" s="221"/>
      <c r="E57" s="221"/>
      <c r="F57" s="280"/>
      <c r="G57" s="412"/>
      <c r="H57" s="413"/>
      <c r="I57" s="414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</row>
    <row r="58" spans="1:21">
      <c r="A58" s="222"/>
      <c r="B58" s="415"/>
      <c r="C58" s="415"/>
      <c r="D58" s="222"/>
      <c r="E58" s="113"/>
      <c r="F58" s="281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</row>
    <row r="59" spans="1:21">
      <c r="A59" s="222"/>
      <c r="B59" s="222"/>
      <c r="C59" s="222"/>
      <c r="D59" s="113"/>
      <c r="E59" s="222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</row>
    <row r="60" spans="1:21">
      <c r="A60" s="222"/>
      <c r="B60" s="222"/>
      <c r="C60" s="222" t="s">
        <v>425</v>
      </c>
      <c r="D60" s="297">
        <f>+D21+D22+D31+D46+D49</f>
        <v>63859.5</v>
      </c>
      <c r="E60" s="299">
        <f>+D60/11</f>
        <v>5805.409090909091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69"/>
      <c r="Q60" s="222"/>
      <c r="R60" s="222"/>
      <c r="S60" s="222"/>
      <c r="T60" s="222"/>
      <c r="U60" s="222"/>
    </row>
    <row r="61" spans="1:21">
      <c r="A61" s="222"/>
      <c r="B61" s="222"/>
      <c r="C61" s="222" t="s">
        <v>426</v>
      </c>
      <c r="D61" s="298">
        <f>+D23+D48+D47</f>
        <v>4373.6000000000004</v>
      </c>
      <c r="E61" s="113"/>
      <c r="F61" s="113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</row>
    <row r="62" spans="1:21">
      <c r="A62" s="222"/>
      <c r="B62" s="222"/>
      <c r="C62" s="222"/>
      <c r="D62" s="222"/>
      <c r="E62" s="113"/>
      <c r="F62" s="113"/>
      <c r="G62" s="222"/>
      <c r="H62" s="222"/>
      <c r="I62" s="222"/>
      <c r="J62" s="222"/>
      <c r="K62" s="222"/>
      <c r="L62" s="222"/>
      <c r="M62" s="222"/>
      <c r="N62" s="222"/>
      <c r="O62" s="222"/>
      <c r="P62" s="269"/>
      <c r="Q62" s="222"/>
      <c r="R62" s="222"/>
      <c r="S62" s="222"/>
      <c r="T62" s="222"/>
      <c r="U62" s="222"/>
    </row>
    <row r="63" spans="1:21">
      <c r="A63" s="222"/>
      <c r="B63" s="222"/>
      <c r="C63" s="269"/>
      <c r="D63" s="270"/>
      <c r="E63" s="113"/>
      <c r="F63" s="113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</row>
    <row r="64" spans="1:21">
      <c r="A64" s="222"/>
      <c r="B64" s="222"/>
      <c r="C64" s="222"/>
      <c r="D64" s="222"/>
      <c r="E64" s="113"/>
      <c r="F64" s="113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</row>
    <row r="65" spans="1:21">
      <c r="A65" s="222"/>
      <c r="B65" s="222"/>
      <c r="C65" s="222"/>
      <c r="D65" s="269"/>
      <c r="E65" s="113"/>
      <c r="F65" s="113"/>
      <c r="G65" s="222"/>
      <c r="H65" s="222"/>
      <c r="I65" s="222"/>
      <c r="J65" s="222"/>
      <c r="K65" s="222"/>
      <c r="L65" s="222"/>
      <c r="M65" s="222"/>
      <c r="N65" s="222"/>
      <c r="O65" s="222"/>
      <c r="P65" s="269"/>
      <c r="Q65" s="222"/>
      <c r="R65" s="222"/>
      <c r="S65" s="222"/>
      <c r="T65" s="222"/>
      <c r="U65" s="222"/>
    </row>
    <row r="66" spans="1:21">
      <c r="A66" s="222"/>
      <c r="B66" s="222"/>
      <c r="C66" s="222"/>
      <c r="D66" s="222"/>
      <c r="E66" s="113"/>
      <c r="F66" s="113"/>
      <c r="G66" s="222"/>
      <c r="H66" s="222"/>
      <c r="I66" s="222"/>
      <c r="J66" s="222"/>
      <c r="K66" s="222"/>
      <c r="L66" s="222"/>
      <c r="M66" s="222"/>
      <c r="N66" s="222"/>
      <c r="O66" s="222"/>
      <c r="P66" s="269"/>
      <c r="Q66" s="222"/>
      <c r="R66" s="222"/>
      <c r="S66" s="222"/>
      <c r="T66" s="222"/>
      <c r="U66" s="222"/>
    </row>
    <row r="67" spans="1:21">
      <c r="A67" s="222"/>
      <c r="B67" s="222"/>
      <c r="C67" s="222"/>
      <c r="D67" s="222"/>
      <c r="E67" s="113"/>
      <c r="F67" s="113"/>
      <c r="G67" s="222"/>
      <c r="H67" s="222"/>
      <c r="I67" s="222"/>
      <c r="J67" s="222"/>
      <c r="K67" s="222"/>
      <c r="L67" s="222"/>
      <c r="M67" s="222"/>
      <c r="N67" s="222"/>
      <c r="O67" s="222"/>
      <c r="P67" s="269"/>
      <c r="Q67" s="222"/>
      <c r="R67" s="222"/>
      <c r="S67" s="222"/>
      <c r="T67" s="222"/>
      <c r="U67" s="222"/>
    </row>
    <row r="68" spans="1:21">
      <c r="A68" s="222"/>
      <c r="B68" s="390"/>
      <c r="C68" s="390"/>
      <c r="D68" s="222"/>
      <c r="E68" s="113"/>
      <c r="F68" s="113"/>
      <c r="G68" s="222"/>
      <c r="H68" s="222"/>
      <c r="I68" s="222"/>
      <c r="J68" s="222"/>
      <c r="K68" s="222"/>
      <c r="L68" s="222"/>
      <c r="M68" s="222"/>
      <c r="N68" s="222"/>
      <c r="O68" s="222"/>
      <c r="P68" s="269"/>
      <c r="Q68" s="222"/>
      <c r="R68" s="222"/>
      <c r="S68" s="222"/>
      <c r="T68" s="222"/>
      <c r="U68" s="222"/>
    </row>
    <row r="69" spans="1:21">
      <c r="A69" s="222"/>
      <c r="B69" s="390"/>
      <c r="C69" s="390"/>
      <c r="D69" s="222"/>
      <c r="E69" s="113"/>
      <c r="F69" s="113"/>
      <c r="G69" s="222"/>
      <c r="H69" s="222"/>
      <c r="I69" s="222"/>
      <c r="J69" s="222"/>
      <c r="K69" s="222"/>
      <c r="L69" s="222"/>
      <c r="M69" s="222"/>
      <c r="N69" s="222"/>
      <c r="O69" s="222"/>
      <c r="P69" s="269"/>
      <c r="Q69" s="222"/>
      <c r="R69" s="222"/>
      <c r="S69" s="222"/>
      <c r="T69" s="222"/>
      <c r="U69" s="222"/>
    </row>
    <row r="70" spans="1:21">
      <c r="A70" s="222"/>
      <c r="B70" s="390"/>
      <c r="C70" s="390"/>
      <c r="D70" s="222"/>
      <c r="E70" s="113"/>
      <c r="F70" s="113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</row>
    <row r="71" spans="1:21">
      <c r="A71" s="222"/>
      <c r="B71" s="390"/>
      <c r="C71" s="390"/>
      <c r="D71" s="222"/>
      <c r="E71" s="113"/>
      <c r="F71" s="113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</row>
    <row r="72" spans="1:21">
      <c r="A72" s="222"/>
      <c r="B72" s="390"/>
      <c r="C72" s="390"/>
      <c r="D72" s="222"/>
      <c r="E72" s="113"/>
      <c r="F72" s="113"/>
      <c r="G72" s="222"/>
      <c r="H72" s="222"/>
      <c r="I72" s="222"/>
      <c r="J72" s="222"/>
      <c r="K72" s="222"/>
      <c r="L72" s="222"/>
      <c r="M72" s="222"/>
      <c r="N72" s="222"/>
      <c r="O72" s="222"/>
      <c r="P72" s="269"/>
      <c r="Q72" s="222"/>
      <c r="R72" s="222"/>
      <c r="S72" s="222"/>
      <c r="T72" s="222"/>
      <c r="U72" s="222"/>
    </row>
    <row r="73" spans="1:21">
      <c r="A73" s="222"/>
      <c r="B73" s="390"/>
      <c r="C73" s="390"/>
      <c r="D73" s="222"/>
      <c r="E73" s="113"/>
      <c r="F73" s="113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</row>
    <row r="74" spans="1:21">
      <c r="A74" s="222"/>
      <c r="B74" s="390"/>
      <c r="C74" s="390"/>
      <c r="D74" s="222"/>
      <c r="E74" s="113"/>
      <c r="F74" s="113"/>
      <c r="G74" s="222"/>
      <c r="H74" s="222"/>
      <c r="I74" s="222"/>
      <c r="J74" s="222"/>
      <c r="K74" s="222"/>
      <c r="L74" s="222"/>
      <c r="M74" s="222"/>
      <c r="N74" s="222"/>
      <c r="O74" s="222"/>
      <c r="P74" s="269"/>
      <c r="Q74" s="222"/>
      <c r="R74" s="222"/>
      <c r="S74" s="222"/>
      <c r="T74" s="222"/>
      <c r="U74" s="222"/>
    </row>
    <row r="75" spans="1:21">
      <c r="A75" s="222"/>
      <c r="B75" s="390"/>
      <c r="C75" s="390"/>
      <c r="D75" s="222"/>
      <c r="E75" s="113"/>
      <c r="F75" s="113"/>
      <c r="G75" s="222"/>
      <c r="H75" s="222"/>
      <c r="I75" s="222"/>
      <c r="J75" s="222"/>
      <c r="K75" s="222"/>
      <c r="L75" s="222"/>
      <c r="M75" s="222"/>
      <c r="N75" s="222"/>
      <c r="O75" s="222"/>
      <c r="P75" s="269"/>
      <c r="Q75" s="222"/>
      <c r="R75" s="222"/>
      <c r="S75" s="222"/>
      <c r="T75" s="222"/>
      <c r="U75" s="222"/>
    </row>
    <row r="76" spans="1:21">
      <c r="A76" s="222"/>
      <c r="B76" s="390"/>
      <c r="C76" s="390"/>
      <c r="D76" s="222"/>
      <c r="E76" s="113"/>
      <c r="F76" s="113"/>
      <c r="G76" s="222"/>
      <c r="H76" s="222"/>
      <c r="I76" s="222"/>
      <c r="J76" s="222"/>
      <c r="K76" s="222"/>
      <c r="L76" s="222"/>
      <c r="M76" s="222"/>
      <c r="N76" s="222"/>
      <c r="O76" s="222"/>
      <c r="P76" s="269"/>
      <c r="Q76" s="222"/>
      <c r="R76" s="222"/>
      <c r="S76" s="222"/>
      <c r="T76" s="222"/>
      <c r="U76" s="222"/>
    </row>
    <row r="77" spans="1:21">
      <c r="A77" s="222"/>
      <c r="B77" s="390"/>
      <c r="C77" s="390"/>
      <c r="D77" s="222"/>
      <c r="E77" s="113"/>
      <c r="F77" s="113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</row>
    <row r="78" spans="1:21">
      <c r="A78" s="222"/>
      <c r="B78" s="390"/>
      <c r="C78" s="390"/>
      <c r="D78" s="222"/>
      <c r="E78" s="113"/>
      <c r="F78" s="113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</row>
    <row r="79" spans="1:21">
      <c r="A79" s="222"/>
      <c r="B79" s="390"/>
      <c r="C79" s="390"/>
      <c r="D79" s="222"/>
      <c r="E79" s="113"/>
      <c r="F79" s="113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69"/>
      <c r="R79" s="222"/>
      <c r="S79" s="222"/>
      <c r="T79" s="269"/>
      <c r="U79" s="222"/>
    </row>
    <row r="80" spans="1:21">
      <c r="A80" s="222"/>
      <c r="B80" s="390"/>
      <c r="C80" s="390"/>
      <c r="D80" s="222"/>
      <c r="E80" s="113"/>
      <c r="F80" s="113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69"/>
      <c r="R80" s="222"/>
      <c r="S80" s="222"/>
      <c r="T80" s="269"/>
      <c r="U80" s="222"/>
    </row>
    <row r="81" spans="1:21">
      <c r="A81" s="222"/>
      <c r="B81" s="390"/>
      <c r="C81" s="390"/>
      <c r="D81" s="222"/>
      <c r="E81" s="113"/>
      <c r="F81" s="113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69"/>
      <c r="R81" s="222"/>
      <c r="S81" s="222"/>
      <c r="T81" s="269"/>
      <c r="U81" s="222"/>
    </row>
    <row r="82" spans="1:21">
      <c r="A82" s="222"/>
      <c r="B82" s="390"/>
      <c r="C82" s="390"/>
      <c r="D82" s="222"/>
      <c r="E82" s="113"/>
      <c r="F82" s="113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69"/>
      <c r="R82" s="222"/>
      <c r="S82" s="222"/>
      <c r="T82" s="269"/>
      <c r="U82" s="222"/>
    </row>
    <row r="83" spans="1:21">
      <c r="A83" s="222"/>
      <c r="B83" s="390"/>
      <c r="C83" s="390"/>
      <c r="D83" s="222"/>
      <c r="E83" s="113"/>
      <c r="F83" s="113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69"/>
      <c r="R83" s="222"/>
      <c r="S83" s="222"/>
      <c r="T83" s="269"/>
      <c r="U83" s="222"/>
    </row>
    <row r="84" spans="1:21">
      <c r="A84" s="222"/>
      <c r="B84" s="390"/>
      <c r="C84" s="390"/>
      <c r="D84" s="222"/>
      <c r="E84" s="113"/>
      <c r="F84" s="113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69"/>
      <c r="R84" s="222"/>
      <c r="S84" s="222"/>
      <c r="T84" s="269"/>
      <c r="U84" s="222"/>
    </row>
    <row r="85" spans="1:21">
      <c r="A85" s="222"/>
      <c r="B85" s="390"/>
      <c r="C85" s="390"/>
      <c r="D85" s="222"/>
      <c r="E85" s="113"/>
      <c r="F85" s="113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69"/>
      <c r="R85" s="222"/>
      <c r="S85" s="222"/>
      <c r="T85" s="269"/>
      <c r="U85" s="222"/>
    </row>
    <row r="86" spans="1:21">
      <c r="A86" s="222"/>
      <c r="B86" s="390"/>
      <c r="C86" s="390"/>
      <c r="D86" s="222"/>
      <c r="E86" s="113"/>
      <c r="F86" s="113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69"/>
      <c r="R86" s="222"/>
      <c r="S86" s="222"/>
      <c r="T86" s="269"/>
      <c r="U86" s="222"/>
    </row>
    <row r="87" spans="1:21">
      <c r="A87" s="222"/>
      <c r="B87" s="390"/>
      <c r="C87" s="390"/>
      <c r="D87" s="222"/>
      <c r="E87" s="113"/>
      <c r="F87" s="113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69"/>
      <c r="R87" s="222"/>
      <c r="S87" s="222"/>
      <c r="T87" s="269"/>
      <c r="U87" s="222"/>
    </row>
    <row r="88" spans="1:21">
      <c r="A88" s="222"/>
      <c r="B88" s="390"/>
      <c r="C88" s="390"/>
      <c r="D88" s="222"/>
      <c r="E88" s="113"/>
      <c r="F88" s="113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69"/>
      <c r="R88" s="222"/>
      <c r="S88" s="222"/>
      <c r="T88" s="269"/>
      <c r="U88" s="222"/>
    </row>
    <row r="89" spans="1:21">
      <c r="A89" s="222"/>
      <c r="B89" s="390"/>
      <c r="C89" s="390"/>
      <c r="D89" s="222"/>
      <c r="E89" s="113"/>
      <c r="F89" s="113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</row>
    <row r="90" spans="1:21">
      <c r="A90" s="222"/>
      <c r="B90" s="390"/>
      <c r="C90" s="390"/>
      <c r="D90" s="222"/>
      <c r="E90" s="113"/>
      <c r="F90" s="113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</row>
    <row r="91" spans="1:21">
      <c r="A91" s="222"/>
      <c r="B91" s="390"/>
      <c r="C91" s="390"/>
      <c r="D91" s="222"/>
      <c r="E91" s="113"/>
      <c r="F91" s="113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69"/>
      <c r="R91" s="269"/>
      <c r="S91" s="269"/>
      <c r="T91" s="269"/>
      <c r="U91" s="222"/>
    </row>
    <row r="92" spans="1:21">
      <c r="A92" s="222"/>
      <c r="B92" s="390"/>
      <c r="C92" s="390"/>
      <c r="D92" s="222"/>
      <c r="E92" s="113"/>
      <c r="F92" s="113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</row>
    <row r="93" spans="1:21">
      <c r="A93" s="222"/>
      <c r="B93" s="390"/>
      <c r="C93" s="390"/>
      <c r="D93" s="222"/>
      <c r="E93" s="113"/>
      <c r="F93" s="113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</row>
    <row r="94" spans="1:21">
      <c r="A94" s="222"/>
      <c r="B94" s="390"/>
      <c r="C94" s="390"/>
      <c r="D94" s="222"/>
      <c r="E94" s="113"/>
      <c r="F94" s="113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69"/>
      <c r="R94" s="222"/>
      <c r="S94" s="222"/>
      <c r="T94" s="222"/>
      <c r="U94" s="222"/>
    </row>
    <row r="95" spans="1:21">
      <c r="A95" s="222"/>
      <c r="B95" s="390"/>
      <c r="C95" s="390"/>
      <c r="D95" s="222"/>
      <c r="E95" s="113"/>
      <c r="F95" s="113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</row>
    <row r="96" spans="1:21">
      <c r="A96" s="222"/>
      <c r="B96" s="390"/>
      <c r="C96" s="390"/>
      <c r="D96" s="222"/>
      <c r="E96" s="113"/>
      <c r="F96" s="113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69"/>
      <c r="R96" s="222"/>
      <c r="S96" s="222"/>
      <c r="T96" s="222"/>
      <c r="U96" s="222"/>
    </row>
    <row r="97" spans="1:21">
      <c r="A97" s="222"/>
      <c r="B97" s="390"/>
      <c r="C97" s="390"/>
      <c r="D97" s="222"/>
      <c r="E97" s="113"/>
      <c r="F97" s="113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</row>
    <row r="98" spans="1:21">
      <c r="A98" s="222"/>
      <c r="B98" s="390"/>
      <c r="C98" s="390"/>
      <c r="D98" s="222"/>
      <c r="E98" s="113"/>
      <c r="F98" s="113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69"/>
      <c r="R98" s="222"/>
      <c r="S98" s="222"/>
      <c r="T98" s="222"/>
      <c r="U98" s="222"/>
    </row>
    <row r="99" spans="1:21">
      <c r="A99" s="222"/>
      <c r="B99" s="390"/>
      <c r="C99" s="390"/>
      <c r="D99" s="222"/>
      <c r="E99" s="113"/>
      <c r="F99" s="113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69"/>
      <c r="R99" s="222"/>
      <c r="S99" s="222"/>
      <c r="T99" s="222"/>
      <c r="U99" s="222"/>
    </row>
    <row r="100" spans="1:21">
      <c r="A100" s="222"/>
      <c r="B100" s="390"/>
      <c r="C100" s="390"/>
      <c r="D100" s="222"/>
      <c r="E100" s="113"/>
      <c r="F100" s="113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69"/>
      <c r="R100" s="222"/>
      <c r="S100" s="222"/>
      <c r="T100" s="222"/>
      <c r="U100" s="222"/>
    </row>
    <row r="101" spans="1:21">
      <c r="A101" s="222"/>
      <c r="B101" s="390"/>
      <c r="C101" s="390"/>
      <c r="D101" s="222"/>
      <c r="E101" s="113"/>
      <c r="F101" s="113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</row>
    <row r="102" spans="1:21">
      <c r="A102" s="222"/>
      <c r="B102" s="390"/>
      <c r="C102" s="390"/>
      <c r="D102" s="222"/>
      <c r="E102" s="113"/>
      <c r="F102" s="113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69"/>
      <c r="R102" s="222"/>
      <c r="S102" s="222"/>
      <c r="T102" s="222"/>
      <c r="U102" s="222"/>
    </row>
    <row r="103" spans="1:21">
      <c r="A103" s="222"/>
      <c r="B103" s="390"/>
      <c r="C103" s="390"/>
      <c r="D103" s="222"/>
      <c r="E103" s="113"/>
      <c r="F103" s="113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69"/>
      <c r="R103" s="222"/>
      <c r="S103" s="222"/>
      <c r="T103" s="222"/>
      <c r="U103" s="222"/>
    </row>
    <row r="104" spans="1:21">
      <c r="A104" s="222"/>
      <c r="B104" s="390"/>
      <c r="C104" s="390"/>
      <c r="D104" s="222"/>
      <c r="E104" s="113"/>
      <c r="F104" s="113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69"/>
      <c r="R104" s="222"/>
      <c r="S104" s="222"/>
      <c r="T104" s="222"/>
      <c r="U104" s="222"/>
    </row>
    <row r="105" spans="1:21">
      <c r="A105" s="222"/>
      <c r="B105" s="390"/>
      <c r="C105" s="390"/>
      <c r="D105" s="222"/>
      <c r="E105" s="113"/>
      <c r="F105" s="113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</row>
    <row r="106" spans="1:21">
      <c r="A106" s="222"/>
      <c r="B106" s="390"/>
      <c r="C106" s="390"/>
      <c r="D106" s="222"/>
      <c r="E106" s="113"/>
      <c r="F106" s="113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</row>
    <row r="107" spans="1:21">
      <c r="A107" s="222"/>
      <c r="B107" s="390"/>
      <c r="C107" s="390"/>
      <c r="D107" s="222"/>
      <c r="E107" s="113"/>
      <c r="F107" s="113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</row>
    <row r="108" spans="1:21">
      <c r="A108" s="222"/>
      <c r="B108" s="390"/>
      <c r="C108" s="390"/>
      <c r="D108" s="222"/>
      <c r="E108" s="113"/>
      <c r="F108" s="113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</row>
    <row r="109" spans="1:21">
      <c r="A109" s="222"/>
      <c r="B109" s="390"/>
      <c r="C109" s="390"/>
      <c r="D109" s="222"/>
      <c r="E109" s="113"/>
      <c r="F109" s="113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</row>
    <row r="110" spans="1:21">
      <c r="A110" s="222"/>
      <c r="B110" s="390"/>
      <c r="C110" s="390"/>
      <c r="D110" s="222"/>
      <c r="E110" s="113"/>
      <c r="F110" s="113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</row>
    <row r="111" spans="1:21">
      <c r="A111" s="222"/>
      <c r="B111" s="390"/>
      <c r="C111" s="390"/>
      <c r="D111" s="222"/>
      <c r="E111" s="113"/>
      <c r="F111" s="113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</row>
    <row r="112" spans="1:21">
      <c r="A112" s="222"/>
      <c r="B112" s="390"/>
      <c r="C112" s="390"/>
      <c r="D112" s="222"/>
      <c r="E112" s="113"/>
      <c r="F112" s="113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</row>
    <row r="113" spans="1:21">
      <c r="A113" s="222"/>
      <c r="B113" s="390"/>
      <c r="C113" s="390"/>
      <c r="D113" s="222"/>
      <c r="E113" s="113"/>
      <c r="F113" s="113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</row>
    <row r="114" spans="1:21">
      <c r="A114" s="222"/>
      <c r="B114" s="390"/>
      <c r="C114" s="390"/>
      <c r="D114" s="222"/>
      <c r="E114" s="113"/>
      <c r="F114" s="113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</row>
    <row r="115" spans="1:21">
      <c r="A115" s="222"/>
      <c r="B115" s="390"/>
      <c r="C115" s="390"/>
      <c r="D115" s="222"/>
      <c r="E115" s="113"/>
      <c r="F115" s="113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</row>
    <row r="116" spans="1:21">
      <c r="A116" s="222"/>
      <c r="B116" s="390"/>
      <c r="C116" s="390"/>
      <c r="D116" s="222"/>
      <c r="E116" s="113"/>
      <c r="F116" s="113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</row>
    <row r="117" spans="1:21">
      <c r="A117" s="222"/>
      <c r="B117" s="390"/>
      <c r="C117" s="390"/>
      <c r="D117" s="222"/>
      <c r="E117" s="113"/>
      <c r="F117" s="113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</row>
    <row r="118" spans="1:21">
      <c r="A118" s="222"/>
      <c r="B118" s="390"/>
      <c r="C118" s="390"/>
      <c r="D118" s="222"/>
      <c r="E118" s="113"/>
      <c r="F118" s="113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</row>
  </sheetData>
  <mergeCells count="170">
    <mergeCell ref="C1:E1"/>
    <mergeCell ref="C2:E2"/>
    <mergeCell ref="C3:E3"/>
    <mergeCell ref="B9:C9"/>
    <mergeCell ref="B19:C19"/>
    <mergeCell ref="G19:I19"/>
    <mergeCell ref="B20:C20"/>
    <mergeCell ref="G20:I20"/>
    <mergeCell ref="B22:C22"/>
    <mergeCell ref="G16:I16"/>
    <mergeCell ref="B17:C17"/>
    <mergeCell ref="G17:I17"/>
    <mergeCell ref="G33:I33"/>
    <mergeCell ref="G46:I46"/>
    <mergeCell ref="G29:I29"/>
    <mergeCell ref="D28:F28"/>
    <mergeCell ref="G36:I36"/>
    <mergeCell ref="G37:I37"/>
    <mergeCell ref="X10:X11"/>
    <mergeCell ref="B48:C48"/>
    <mergeCell ref="B46:C46"/>
    <mergeCell ref="B18:C18"/>
    <mergeCell ref="G18:I18"/>
    <mergeCell ref="B21:C21"/>
    <mergeCell ref="G22:I22"/>
    <mergeCell ref="B32:C32"/>
    <mergeCell ref="G32:I32"/>
    <mergeCell ref="B23:C23"/>
    <mergeCell ref="G23:I23"/>
    <mergeCell ref="B24:C24"/>
    <mergeCell ref="B16:C16"/>
    <mergeCell ref="G21:I21"/>
    <mergeCell ref="G24:I24"/>
    <mergeCell ref="B25:C25"/>
    <mergeCell ref="G25:I25"/>
    <mergeCell ref="T10:T11"/>
    <mergeCell ref="G52:I52"/>
    <mergeCell ref="B26:C26"/>
    <mergeCell ref="G26:I26"/>
    <mergeCell ref="G27:I27"/>
    <mergeCell ref="B28:C28"/>
    <mergeCell ref="B29:C29"/>
    <mergeCell ref="G28:I28"/>
    <mergeCell ref="B27:F27"/>
    <mergeCell ref="B34:F34"/>
    <mergeCell ref="B35:C35"/>
    <mergeCell ref="G43:I43"/>
    <mergeCell ref="G34:I34"/>
    <mergeCell ref="G35:I35"/>
    <mergeCell ref="B30:C30"/>
    <mergeCell ref="G30:I30"/>
    <mergeCell ref="B31:C31"/>
    <mergeCell ref="G31:I31"/>
    <mergeCell ref="B33:C33"/>
    <mergeCell ref="G38:I38"/>
    <mergeCell ref="D35:F35"/>
    <mergeCell ref="D36:F36"/>
    <mergeCell ref="D37:F37"/>
    <mergeCell ref="D38:F38"/>
    <mergeCell ref="G44:I44"/>
    <mergeCell ref="U10:U11"/>
    <mergeCell ref="B13:F13"/>
    <mergeCell ref="B15:F15"/>
    <mergeCell ref="O10:O11"/>
    <mergeCell ref="P10:P11"/>
    <mergeCell ref="Q10:Q11"/>
    <mergeCell ref="R10:R11"/>
    <mergeCell ref="S10:S11"/>
    <mergeCell ref="J10:J11"/>
    <mergeCell ref="K10:K11"/>
    <mergeCell ref="L10:L11"/>
    <mergeCell ref="M10:M11"/>
    <mergeCell ref="N10:N11"/>
    <mergeCell ref="B10:C11"/>
    <mergeCell ref="D10:D11"/>
    <mergeCell ref="E10:E11"/>
    <mergeCell ref="F10:F11"/>
    <mergeCell ref="G10:I11"/>
    <mergeCell ref="B12:C12"/>
    <mergeCell ref="G12:I12"/>
    <mergeCell ref="G13:I13"/>
    <mergeCell ref="B14:C14"/>
    <mergeCell ref="G14:I14"/>
    <mergeCell ref="G15:I15"/>
    <mergeCell ref="B68:C68"/>
    <mergeCell ref="B69:C69"/>
    <mergeCell ref="B51:C51"/>
    <mergeCell ref="B53:C53"/>
    <mergeCell ref="G53:I53"/>
    <mergeCell ref="G54:I54"/>
    <mergeCell ref="B54:C54"/>
    <mergeCell ref="G56:I56"/>
    <mergeCell ref="B45:C45"/>
    <mergeCell ref="G48:I48"/>
    <mergeCell ref="B49:C49"/>
    <mergeCell ref="G49:I49"/>
    <mergeCell ref="B50:C50"/>
    <mergeCell ref="B57:C57"/>
    <mergeCell ref="G57:I57"/>
    <mergeCell ref="B58:C58"/>
    <mergeCell ref="B55:C55"/>
    <mergeCell ref="G55:I55"/>
    <mergeCell ref="G45:I45"/>
    <mergeCell ref="B47:C47"/>
    <mergeCell ref="G47:I47"/>
    <mergeCell ref="G50:I50"/>
    <mergeCell ref="G51:I51"/>
    <mergeCell ref="B52:C52"/>
    <mergeCell ref="B75:C75"/>
    <mergeCell ref="B76:C76"/>
    <mergeCell ref="B77:C77"/>
    <mergeCell ref="B78:C78"/>
    <mergeCell ref="B79:C79"/>
    <mergeCell ref="B70:C70"/>
    <mergeCell ref="B71:C71"/>
    <mergeCell ref="B72:C72"/>
    <mergeCell ref="B73:C73"/>
    <mergeCell ref="B74:C74"/>
    <mergeCell ref="B85:C85"/>
    <mergeCell ref="B86:C86"/>
    <mergeCell ref="B87:C87"/>
    <mergeCell ref="B88:C88"/>
    <mergeCell ref="B89:C89"/>
    <mergeCell ref="B80:C80"/>
    <mergeCell ref="B81:C81"/>
    <mergeCell ref="B82:C82"/>
    <mergeCell ref="B83:C83"/>
    <mergeCell ref="B84:C84"/>
    <mergeCell ref="B95:C95"/>
    <mergeCell ref="B96:C96"/>
    <mergeCell ref="B97:C97"/>
    <mergeCell ref="B98:C98"/>
    <mergeCell ref="B99:C99"/>
    <mergeCell ref="B90:C90"/>
    <mergeCell ref="B91:C91"/>
    <mergeCell ref="B92:C92"/>
    <mergeCell ref="B93:C93"/>
    <mergeCell ref="B94:C94"/>
    <mergeCell ref="B105:C105"/>
    <mergeCell ref="B106:C106"/>
    <mergeCell ref="B107:C107"/>
    <mergeCell ref="B108:C108"/>
    <mergeCell ref="B109:C109"/>
    <mergeCell ref="B100:C100"/>
    <mergeCell ref="B101:C101"/>
    <mergeCell ref="B102:C102"/>
    <mergeCell ref="B103:C103"/>
    <mergeCell ref="B104:C104"/>
    <mergeCell ref="B115:C115"/>
    <mergeCell ref="B116:C116"/>
    <mergeCell ref="B117:C117"/>
    <mergeCell ref="B118:C118"/>
    <mergeCell ref="B110:C110"/>
    <mergeCell ref="B111:C111"/>
    <mergeCell ref="B112:C112"/>
    <mergeCell ref="B113:C113"/>
    <mergeCell ref="B114:C114"/>
    <mergeCell ref="B44:C44"/>
    <mergeCell ref="B36:C36"/>
    <mergeCell ref="B37:C37"/>
    <mergeCell ref="B38:C38"/>
    <mergeCell ref="B43:C43"/>
    <mergeCell ref="G39:I39"/>
    <mergeCell ref="G40:I40"/>
    <mergeCell ref="G42:I42"/>
    <mergeCell ref="B40:C40"/>
    <mergeCell ref="B39:C39"/>
    <mergeCell ref="D40:F40"/>
    <mergeCell ref="G41:I41"/>
    <mergeCell ref="B42:C4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CD9FF"/>
  </sheetPr>
  <dimension ref="A1:N34"/>
  <sheetViews>
    <sheetView workbookViewId="0">
      <selection activeCell="F24" sqref="F2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4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4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4" ht="18">
      <c r="D4" s="52"/>
      <c r="E4" s="52"/>
      <c r="F4" s="63"/>
      <c r="G4" s="64"/>
      <c r="I4" s="65"/>
    </row>
    <row r="5" spans="1:14" ht="18">
      <c r="A5" s="123" t="s">
        <v>322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156</v>
      </c>
      <c r="B8" s="384" t="s">
        <v>157</v>
      </c>
      <c r="C8" s="385"/>
      <c r="D8" s="385"/>
      <c r="E8" s="386"/>
      <c r="F8" s="67" t="s">
        <v>158</v>
      </c>
      <c r="G8" s="384" t="s">
        <v>211</v>
      </c>
      <c r="H8" s="335"/>
      <c r="I8" s="336"/>
    </row>
    <row r="10" spans="1:14">
      <c r="F10" s="69"/>
    </row>
    <row r="11" spans="1:14">
      <c r="A11" s="64"/>
      <c r="B11" s="64"/>
      <c r="C11" s="64" t="s">
        <v>427</v>
      </c>
      <c r="G11" s="84" t="s">
        <v>141</v>
      </c>
      <c r="I11" s="46" t="s">
        <v>428</v>
      </c>
    </row>
    <row r="12" spans="1:14">
      <c r="A12" s="64"/>
      <c r="B12" s="64"/>
      <c r="C12" t="s">
        <v>429</v>
      </c>
      <c r="G12" s="85">
        <f>800*1.1</f>
        <v>880.00000000000011</v>
      </c>
      <c r="I12" s="57">
        <v>0</v>
      </c>
    </row>
    <row r="13" spans="1:14">
      <c r="A13" s="64"/>
      <c r="B13" s="64"/>
      <c r="C13" t="s">
        <v>430</v>
      </c>
      <c r="G13" s="85">
        <f>160*1.1</f>
        <v>176</v>
      </c>
      <c r="I13" s="57">
        <f>+G13/11*0.75</f>
        <v>12</v>
      </c>
    </row>
    <row r="14" spans="1:14">
      <c r="C14" t="s">
        <v>431</v>
      </c>
      <c r="G14" s="85">
        <f>(1100+200)*1.1</f>
        <v>1430.0000000000002</v>
      </c>
      <c r="I14" s="57">
        <v>0</v>
      </c>
    </row>
    <row r="15" spans="1:14">
      <c r="C15" t="s">
        <v>432</v>
      </c>
      <c r="G15" s="86">
        <f>(1780+200)*1.1</f>
        <v>2178</v>
      </c>
      <c r="I15" s="87">
        <f>+G15/11*0.75</f>
        <v>148.5</v>
      </c>
      <c r="K15" t="s">
        <v>433</v>
      </c>
      <c r="N15" s="300">
        <f>(G15-220)/(G16-220)</f>
        <v>0.4405940594059406</v>
      </c>
    </row>
    <row r="16" spans="1:14">
      <c r="G16" s="69">
        <f>SUM(G12:G15)</f>
        <v>4664</v>
      </c>
      <c r="I16" s="69">
        <f>SUM(I12:I15)</f>
        <v>160.5</v>
      </c>
      <c r="K16" t="s">
        <v>434</v>
      </c>
      <c r="N16" s="88">
        <v>1122</v>
      </c>
    </row>
    <row r="17" spans="1:14">
      <c r="A17" s="64"/>
      <c r="B17" s="64"/>
      <c r="C17" s="64"/>
      <c r="F17" s="69"/>
      <c r="K17" t="s">
        <v>435</v>
      </c>
      <c r="N17">
        <f>ROUND(N16-N18,0)</f>
        <v>628</v>
      </c>
    </row>
    <row r="18" spans="1:14">
      <c r="A18" s="76"/>
      <c r="B18" s="76"/>
      <c r="C18" s="64"/>
      <c r="F18" s="69"/>
      <c r="K18" t="s">
        <v>436</v>
      </c>
      <c r="N18">
        <f>ROUNDDOWN(N16*N15,0)</f>
        <v>494</v>
      </c>
    </row>
    <row r="19" spans="1:14">
      <c r="C19" s="76" t="s">
        <v>437</v>
      </c>
      <c r="E19" s="46" t="s">
        <v>435</v>
      </c>
      <c r="F19" s="84" t="s">
        <v>436</v>
      </c>
      <c r="G19" s="46" t="s">
        <v>141</v>
      </c>
      <c r="I19" s="46" t="s">
        <v>438</v>
      </c>
    </row>
    <row r="20" spans="1:14">
      <c r="C20" s="72">
        <v>44470</v>
      </c>
      <c r="E20" s="85">
        <v>628</v>
      </c>
      <c r="F20" s="85">
        <f>1067-628</f>
        <v>439</v>
      </c>
      <c r="G20" s="89">
        <f>SUM(E20:F20)</f>
        <v>1067</v>
      </c>
      <c r="I20" s="57">
        <f>+F20/11*0.75</f>
        <v>29.93181818181818</v>
      </c>
    </row>
    <row r="21" spans="1:14">
      <c r="C21" s="72">
        <v>44562</v>
      </c>
      <c r="E21" s="69">
        <f>+E20</f>
        <v>628</v>
      </c>
      <c r="F21" s="69">
        <f>+F20</f>
        <v>439</v>
      </c>
      <c r="G21" s="89">
        <f>SUM(E21:F21)</f>
        <v>1067</v>
      </c>
      <c r="I21" s="57">
        <f>+F21/11*0.75</f>
        <v>29.93181818181818</v>
      </c>
    </row>
    <row r="22" spans="1:14">
      <c r="C22" s="72">
        <v>44652</v>
      </c>
      <c r="E22" s="69">
        <f>+E20</f>
        <v>628</v>
      </c>
      <c r="F22" s="69">
        <f>+F20</f>
        <v>439</v>
      </c>
      <c r="G22" s="89">
        <f>SUM(E22:F22)</f>
        <v>1067</v>
      </c>
      <c r="I22" s="69">
        <f>+F22/11*0.75</f>
        <v>29.93181818181818</v>
      </c>
    </row>
    <row r="23" spans="1:14">
      <c r="C23" s="72">
        <v>44743</v>
      </c>
      <c r="E23" s="69">
        <v>628</v>
      </c>
      <c r="F23" s="69">
        <f>+F20</f>
        <v>439</v>
      </c>
      <c r="G23" s="89">
        <f>SUM(E23:F23)</f>
        <v>1067</v>
      </c>
      <c r="I23" s="69">
        <f>+F23/11*0.75</f>
        <v>29.93181818181818</v>
      </c>
    </row>
    <row r="24" spans="1:14">
      <c r="C24" s="72">
        <v>44927</v>
      </c>
      <c r="E24" s="282">
        <v>0</v>
      </c>
      <c r="F24" s="282">
        <v>396</v>
      </c>
      <c r="G24" s="283">
        <f>SUM(E24:F24)</f>
        <v>396</v>
      </c>
      <c r="I24" s="282">
        <f>+F24/11*0.75</f>
        <v>27</v>
      </c>
    </row>
    <row r="25" spans="1:14">
      <c r="E25" s="89">
        <f>SUM(E20:E24)</f>
        <v>2512</v>
      </c>
      <c r="F25" s="89">
        <f>SUM(F20:F24)</f>
        <v>2152</v>
      </c>
      <c r="G25" s="89">
        <f>SUM(G20:G24)</f>
        <v>4664</v>
      </c>
      <c r="I25" s="89">
        <f>SUM(I20:I24)</f>
        <v>146.72727272727272</v>
      </c>
    </row>
    <row r="26" spans="1:14">
      <c r="F26" s="69"/>
    </row>
    <row r="27" spans="1:14">
      <c r="C27" s="76" t="s">
        <v>439</v>
      </c>
      <c r="F27" s="79"/>
    </row>
    <row r="28" spans="1:14">
      <c r="C28" t="s">
        <v>104</v>
      </c>
      <c r="G28" s="89">
        <f>+G12</f>
        <v>880.00000000000011</v>
      </c>
    </row>
    <row r="29" spans="1:14">
      <c r="C29" t="s">
        <v>440</v>
      </c>
      <c r="F29" s="79"/>
      <c r="G29" s="89">
        <f>+G13</f>
        <v>176</v>
      </c>
      <c r="I29" s="57">
        <f>+G29/11*0.75</f>
        <v>12</v>
      </c>
    </row>
    <row r="30" spans="1:14">
      <c r="C30" t="s">
        <v>435</v>
      </c>
      <c r="F30" s="78"/>
      <c r="G30" s="89">
        <f>+G14-E25</f>
        <v>-1081.9999999999998</v>
      </c>
    </row>
    <row r="31" spans="1:14">
      <c r="C31" t="s">
        <v>436</v>
      </c>
      <c r="F31" s="69"/>
      <c r="G31" s="90">
        <f>+G15-F25</f>
        <v>26</v>
      </c>
      <c r="I31" s="87">
        <f>+G31/11*0.75</f>
        <v>1.7727272727272729</v>
      </c>
    </row>
    <row r="32" spans="1:14">
      <c r="G32" s="89">
        <f>SUM(G28:G31)</f>
        <v>2.2737367544323206E-13</v>
      </c>
      <c r="I32" s="57">
        <f>SUM(I28:I31)</f>
        <v>13.772727272727273</v>
      </c>
    </row>
    <row r="34" spans="3:3">
      <c r="C34" s="91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  <c r="J1" s="241"/>
    </row>
    <row r="2" spans="1:13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  <c r="J2" s="65"/>
    </row>
    <row r="3" spans="1:13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3" t="s">
        <v>441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4"/>
      <c r="G6" s="4"/>
      <c r="I6" s="65"/>
      <c r="J6" s="65"/>
    </row>
    <row r="8" spans="1:13" s="68" customFormat="1" ht="25.5">
      <c r="A8" s="128" t="s">
        <v>156</v>
      </c>
      <c r="B8" s="364" t="s">
        <v>157</v>
      </c>
      <c r="C8" s="365"/>
      <c r="D8" s="365"/>
      <c r="E8" s="387"/>
      <c r="F8" s="129" t="s">
        <v>158</v>
      </c>
      <c r="G8" s="364" t="s">
        <v>211</v>
      </c>
      <c r="H8" s="335"/>
      <c r="I8" s="336"/>
    </row>
    <row r="10" spans="1:13">
      <c r="F10" s="69"/>
    </row>
    <row r="11" spans="1:13">
      <c r="A11" s="76">
        <v>30900</v>
      </c>
      <c r="B11" s="76"/>
      <c r="C11" s="76" t="s">
        <v>442</v>
      </c>
      <c r="F11" s="69"/>
    </row>
    <row r="12" spans="1:13">
      <c r="C12" t="s">
        <v>443</v>
      </c>
      <c r="G12" s="231">
        <f>L13</f>
        <v>0</v>
      </c>
      <c r="K12" s="46" t="s">
        <v>444</v>
      </c>
      <c r="L12" s="46" t="s">
        <v>158</v>
      </c>
    </row>
    <row r="13" spans="1:13">
      <c r="C13" t="s">
        <v>445</v>
      </c>
      <c r="G13" s="69">
        <f>+G12/11*0.75</f>
        <v>0</v>
      </c>
      <c r="H13" t="s">
        <v>446</v>
      </c>
      <c r="K13" t="s">
        <v>447</v>
      </c>
    </row>
    <row r="14" spans="1:13">
      <c r="C14" t="s">
        <v>448</v>
      </c>
      <c r="G14" s="83">
        <f>+G12-G13</f>
        <v>0</v>
      </c>
      <c r="K14" t="s">
        <v>449</v>
      </c>
    </row>
    <row r="15" spans="1:13">
      <c r="G15" s="69"/>
      <c r="K15" t="s">
        <v>450</v>
      </c>
    </row>
    <row r="16" spans="1:13" ht="15.75" thickBot="1">
      <c r="G16" s="57"/>
      <c r="L16" s="230">
        <f>SUM(L13:L15)</f>
        <v>0</v>
      </c>
      <c r="M16" t="s">
        <v>451</v>
      </c>
    </row>
    <row r="17" spans="1:8" ht="15.75" thickTop="1">
      <c r="A17" s="76">
        <v>37500</v>
      </c>
      <c r="B17" s="76"/>
      <c r="C17" s="76" t="s">
        <v>452</v>
      </c>
      <c r="G17" s="57"/>
    </row>
    <row r="18" spans="1:8">
      <c r="C18" t="s">
        <v>453</v>
      </c>
      <c r="G18" s="228">
        <f>L14</f>
        <v>0</v>
      </c>
    </row>
    <row r="19" spans="1:8">
      <c r="C19" t="s">
        <v>454</v>
      </c>
      <c r="G19" s="232">
        <f>L15</f>
        <v>0</v>
      </c>
    </row>
    <row r="20" spans="1:8">
      <c r="G20" s="57">
        <f>SUM(G18:G19)</f>
        <v>0</v>
      </c>
    </row>
    <row r="21" spans="1:8">
      <c r="C21" t="s">
        <v>445</v>
      </c>
      <c r="G21" s="69">
        <f>+G20/11*0.75</f>
        <v>0</v>
      </c>
      <c r="H21" t="s">
        <v>446</v>
      </c>
    </row>
    <row r="22" spans="1:8">
      <c r="C22" t="s">
        <v>455</v>
      </c>
      <c r="G22" s="83">
        <f>+G20-G21</f>
        <v>0</v>
      </c>
    </row>
    <row r="27" spans="1:8">
      <c r="G27" s="22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186E6-A7D7-4EE9-8A64-83DBAE3395D1}">
  <sheetPr>
    <tabColor rgb="FFFFFF00"/>
  </sheetPr>
  <dimension ref="A1:D35"/>
  <sheetViews>
    <sheetView workbookViewId="0">
      <selection activeCell="E18" sqref="E18"/>
    </sheetView>
  </sheetViews>
  <sheetFormatPr defaultRowHeight="15"/>
  <cols>
    <col min="1" max="1" width="11.140625" customWidth="1"/>
    <col min="2" max="2" width="48.85546875" customWidth="1"/>
    <col min="3" max="3" width="48.140625" customWidth="1"/>
    <col min="4" max="4" width="13.85546875" customWidth="1"/>
  </cols>
  <sheetData>
    <row r="1" spans="1:4">
      <c r="A1" s="263" t="s">
        <v>79</v>
      </c>
      <c r="B1" s="263" t="s">
        <v>80</v>
      </c>
      <c r="C1" s="263" t="s">
        <v>81</v>
      </c>
      <c r="D1" s="263" t="s">
        <v>82</v>
      </c>
    </row>
    <row r="2" spans="1:4">
      <c r="A2">
        <v>1</v>
      </c>
      <c r="B2" s="235" t="s">
        <v>83</v>
      </c>
      <c r="C2" s="235"/>
      <c r="D2" s="235" t="s">
        <v>84</v>
      </c>
    </row>
    <row r="3" spans="1:4">
      <c r="A3">
        <v>2</v>
      </c>
      <c r="B3" s="235" t="s">
        <v>85</v>
      </c>
      <c r="C3" s="235" t="s">
        <v>86</v>
      </c>
      <c r="D3" s="235" t="s">
        <v>84</v>
      </c>
    </row>
    <row r="4" spans="1:4">
      <c r="A4">
        <v>3</v>
      </c>
      <c r="B4" s="235" t="s">
        <v>87</v>
      </c>
      <c r="C4" s="235" t="s">
        <v>88</v>
      </c>
      <c r="D4" s="235" t="s">
        <v>84</v>
      </c>
    </row>
    <row r="5" spans="1:4">
      <c r="A5">
        <v>4</v>
      </c>
      <c r="B5" s="235"/>
      <c r="C5" s="235"/>
      <c r="D5" s="235"/>
    </row>
    <row r="6" spans="1:4">
      <c r="A6">
        <v>5</v>
      </c>
      <c r="B6" s="235" t="s">
        <v>89</v>
      </c>
      <c r="C6" s="235"/>
      <c r="D6" s="235" t="s">
        <v>84</v>
      </c>
    </row>
    <row r="7" spans="1:4" ht="45">
      <c r="A7">
        <v>6</v>
      </c>
      <c r="B7" s="235" t="s">
        <v>90</v>
      </c>
      <c r="C7" s="235"/>
      <c r="D7" s="235" t="s">
        <v>91</v>
      </c>
    </row>
    <row r="8" spans="1:4" ht="45">
      <c r="A8">
        <v>7</v>
      </c>
      <c r="B8" s="235" t="s">
        <v>92</v>
      </c>
      <c r="C8" s="235"/>
      <c r="D8" s="235" t="s">
        <v>93</v>
      </c>
    </row>
    <row r="9" spans="1:4" ht="30">
      <c r="A9">
        <v>8</v>
      </c>
      <c r="B9" s="235" t="s">
        <v>94</v>
      </c>
      <c r="C9" s="235" t="s">
        <v>95</v>
      </c>
      <c r="D9" s="235" t="s">
        <v>84</v>
      </c>
    </row>
    <row r="10" spans="1:4">
      <c r="A10">
        <v>9</v>
      </c>
      <c r="B10" s="235" t="s">
        <v>96</v>
      </c>
      <c r="C10" s="235" t="s">
        <v>97</v>
      </c>
      <c r="D10" s="235" t="s">
        <v>84</v>
      </c>
    </row>
    <row r="11" spans="1:4" ht="30">
      <c r="A11">
        <v>10</v>
      </c>
      <c r="B11" s="235" t="s">
        <v>98</v>
      </c>
      <c r="C11" s="235" t="s">
        <v>99</v>
      </c>
      <c r="D11" s="235" t="s">
        <v>100</v>
      </c>
    </row>
    <row r="12" spans="1:4" ht="45">
      <c r="A12">
        <v>11</v>
      </c>
      <c r="B12" s="235" t="s">
        <v>101</v>
      </c>
      <c r="C12" s="235" t="s">
        <v>102</v>
      </c>
      <c r="D12" s="235" t="s">
        <v>84</v>
      </c>
    </row>
    <row r="13" spans="1:4">
      <c r="B13" s="235"/>
      <c r="C13" s="235"/>
      <c r="D13" s="235"/>
    </row>
    <row r="14" spans="1:4">
      <c r="B14" s="235"/>
      <c r="C14" s="235"/>
      <c r="D14" s="235"/>
    </row>
    <row r="15" spans="1:4">
      <c r="B15" s="235"/>
      <c r="C15" s="235"/>
      <c r="D15" s="235"/>
    </row>
    <row r="16" spans="1:4">
      <c r="B16" s="235"/>
      <c r="C16" s="235"/>
      <c r="D16" s="235"/>
    </row>
    <row r="17" spans="2:4">
      <c r="B17" s="235"/>
      <c r="C17" s="235"/>
      <c r="D17" s="235"/>
    </row>
    <row r="18" spans="2:4">
      <c r="B18" s="235"/>
      <c r="C18" s="235"/>
      <c r="D18" s="235"/>
    </row>
    <row r="19" spans="2:4">
      <c r="B19" s="235"/>
      <c r="C19" s="235"/>
      <c r="D19" s="235"/>
    </row>
    <row r="20" spans="2:4">
      <c r="B20" s="235"/>
      <c r="C20" s="235"/>
      <c r="D20" s="235"/>
    </row>
    <row r="21" spans="2:4">
      <c r="B21" s="235"/>
      <c r="C21" s="235"/>
      <c r="D21" s="235"/>
    </row>
    <row r="22" spans="2:4">
      <c r="B22" s="235"/>
      <c r="C22" s="235"/>
      <c r="D22" s="235"/>
    </row>
    <row r="23" spans="2:4">
      <c r="B23" s="235"/>
      <c r="C23" s="235"/>
      <c r="D23" s="235"/>
    </row>
    <row r="24" spans="2:4">
      <c r="B24" s="235"/>
      <c r="C24" s="235"/>
      <c r="D24" s="235"/>
    </row>
    <row r="25" spans="2:4">
      <c r="B25" s="235"/>
      <c r="C25" s="235"/>
      <c r="D25" s="235"/>
    </row>
    <row r="26" spans="2:4">
      <c r="B26" s="235"/>
      <c r="C26" s="235"/>
      <c r="D26" s="235"/>
    </row>
    <row r="27" spans="2:4">
      <c r="B27" s="235"/>
      <c r="C27" s="235"/>
      <c r="D27" s="235"/>
    </row>
    <row r="28" spans="2:4">
      <c r="B28" s="235"/>
      <c r="C28" s="235"/>
      <c r="D28" s="235"/>
    </row>
    <row r="29" spans="2:4">
      <c r="B29" s="235"/>
      <c r="C29" s="235"/>
      <c r="D29" s="235"/>
    </row>
    <row r="30" spans="2:4">
      <c r="B30" s="235"/>
      <c r="C30" s="235"/>
      <c r="D30" s="235"/>
    </row>
    <row r="31" spans="2:4">
      <c r="B31" s="235"/>
      <c r="C31" s="235"/>
      <c r="D31" s="235"/>
    </row>
    <row r="32" spans="2:4">
      <c r="B32" s="235"/>
      <c r="C32" s="235"/>
      <c r="D32" s="235"/>
    </row>
    <row r="33" spans="2:4">
      <c r="B33" s="235"/>
      <c r="C33" s="235"/>
      <c r="D33" s="235"/>
    </row>
    <row r="34" spans="2:4">
      <c r="B34" s="235"/>
      <c r="C34" s="235"/>
      <c r="D34" s="235"/>
    </row>
    <row r="35" spans="2:4">
      <c r="B35" s="235"/>
      <c r="C35" s="235"/>
      <c r="D35" s="23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103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>
      <c r="B8">
        <v>1</v>
      </c>
      <c r="C8" t="s">
        <v>104</v>
      </c>
    </row>
    <row r="10" spans="1:10">
      <c r="B10">
        <v>2</v>
      </c>
      <c r="C10" t="s">
        <v>105</v>
      </c>
      <c r="F10" t="s">
        <v>84</v>
      </c>
    </row>
    <row r="12" spans="1:10">
      <c r="B12">
        <v>3</v>
      </c>
      <c r="C12" t="s">
        <v>106</v>
      </c>
      <c r="F12" t="s">
        <v>84</v>
      </c>
    </row>
    <row r="13" spans="1:10">
      <c r="C13" s="137"/>
    </row>
    <row r="14" spans="1:10">
      <c r="B14">
        <v>4</v>
      </c>
      <c r="C14" t="s">
        <v>107</v>
      </c>
      <c r="F14" t="s">
        <v>108</v>
      </c>
    </row>
    <row r="16" spans="1:10">
      <c r="B16">
        <v>5</v>
      </c>
      <c r="C16" t="s">
        <v>109</v>
      </c>
    </row>
    <row r="17" spans="3:10">
      <c r="C17" t="s">
        <v>110</v>
      </c>
    </row>
    <row r="18" spans="3:10">
      <c r="C18" s="137" t="s">
        <v>111</v>
      </c>
    </row>
    <row r="19" spans="3:10">
      <c r="C19" s="137" t="s">
        <v>112</v>
      </c>
    </row>
    <row r="20" spans="3:10">
      <c r="C20" s="137" t="s">
        <v>113</v>
      </c>
    </row>
    <row r="21" spans="3:10">
      <c r="C21" s="137" t="s">
        <v>114</v>
      </c>
    </row>
    <row r="22" spans="3:10">
      <c r="C22" s="137" t="s">
        <v>115</v>
      </c>
    </row>
    <row r="23" spans="3:10">
      <c r="C23" t="s">
        <v>116</v>
      </c>
    </row>
    <row r="24" spans="3:10">
      <c r="C24" s="137" t="s">
        <v>117</v>
      </c>
    </row>
    <row r="25" spans="3:10">
      <c r="C25" s="137" t="s">
        <v>118</v>
      </c>
    </row>
    <row r="26" spans="3:10">
      <c r="C26" s="301" t="s">
        <v>119</v>
      </c>
      <c r="D26" s="301"/>
      <c r="E26" s="301"/>
      <c r="F26" s="302"/>
      <c r="G26" s="301"/>
      <c r="H26" s="301"/>
      <c r="I26" s="301"/>
      <c r="J26" s="301"/>
    </row>
    <row r="27" spans="3:10">
      <c r="C27" s="301" t="s">
        <v>120</v>
      </c>
      <c r="D27" s="301"/>
      <c r="E27" s="301"/>
      <c r="F27" s="302"/>
      <c r="G27" s="301"/>
      <c r="H27" s="301"/>
      <c r="I27" s="301"/>
      <c r="J27" s="301"/>
    </row>
    <row r="28" spans="3:10">
      <c r="C28" t="s">
        <v>121</v>
      </c>
    </row>
    <row r="29" spans="3:10">
      <c r="C29" s="301" t="s">
        <v>122</v>
      </c>
      <c r="D29" s="301"/>
      <c r="E29" s="301"/>
      <c r="F29" s="302"/>
      <c r="G29" s="301"/>
      <c r="H29" s="301"/>
      <c r="I29" s="301"/>
      <c r="J29" s="301"/>
    </row>
    <row r="30" spans="3:10">
      <c r="C30" s="303" t="s">
        <v>123</v>
      </c>
      <c r="D30" s="301"/>
      <c r="E30" s="301"/>
      <c r="F30" s="302"/>
      <c r="G30" s="301"/>
      <c r="H30" s="301"/>
      <c r="I30" s="301"/>
      <c r="J30" s="301"/>
    </row>
    <row r="31" spans="3:10">
      <c r="C31" s="137" t="s">
        <v>124</v>
      </c>
    </row>
    <row r="32" spans="3:10">
      <c r="C32" s="137" t="s">
        <v>125</v>
      </c>
    </row>
    <row r="33" spans="3:3">
      <c r="C33" s="137" t="s">
        <v>126</v>
      </c>
    </row>
    <row r="34" spans="3:3">
      <c r="C34" t="s">
        <v>127</v>
      </c>
    </row>
    <row r="35" spans="3:3">
      <c r="C35" s="137" t="s">
        <v>128</v>
      </c>
    </row>
    <row r="36" spans="3:3">
      <c r="C36" s="137" t="s">
        <v>129</v>
      </c>
    </row>
    <row r="37" spans="3:3">
      <c r="C37" t="s">
        <v>130</v>
      </c>
    </row>
    <row r="38" spans="3:3">
      <c r="C38" s="137" t="s">
        <v>131</v>
      </c>
    </row>
    <row r="39" spans="3:3">
      <c r="C39" s="137" t="s">
        <v>132</v>
      </c>
    </row>
    <row r="40" spans="3:3">
      <c r="C40" s="137" t="s">
        <v>133</v>
      </c>
    </row>
    <row r="41" spans="3:3">
      <c r="C41" s="137" t="s">
        <v>134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CD9FF"/>
  </sheetPr>
  <dimension ref="A1:N36"/>
  <sheetViews>
    <sheetView topLeftCell="A3" workbookViewId="0">
      <selection activeCell="I19" sqref="I19"/>
    </sheetView>
  </sheetViews>
  <sheetFormatPr defaultRowHeight="15"/>
  <cols>
    <col min="3" max="3" width="14" customWidth="1"/>
    <col min="4" max="4" width="14.5703125" customWidth="1"/>
    <col min="5" max="7" width="12.42578125" customWidth="1"/>
    <col min="8" max="8" width="6.140625" customWidth="1"/>
    <col min="9" max="9" width="15.140625" customWidth="1"/>
    <col min="10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J1" s="55" t="s">
        <v>2</v>
      </c>
      <c r="K1" s="55" t="s">
        <v>3</v>
      </c>
    </row>
    <row r="2" spans="1:14" ht="18">
      <c r="A2" s="121" t="s">
        <v>4</v>
      </c>
      <c r="B2" s="52"/>
      <c r="C2" s="322" t="str">
        <f>Index!$C$2</f>
        <v>9BRAD</v>
      </c>
      <c r="D2" s="322"/>
      <c r="E2" s="322"/>
      <c r="F2" s="54"/>
      <c r="I2" s="58" t="s">
        <v>6</v>
      </c>
      <c r="J2" s="59" t="str">
        <f>Index!$H$2</f>
        <v>MG</v>
      </c>
      <c r="K2" s="60">
        <f>Index!$I$2</f>
        <v>45238</v>
      </c>
    </row>
    <row r="3" spans="1:14" ht="18">
      <c r="A3" s="121" t="s">
        <v>8</v>
      </c>
      <c r="B3" s="52"/>
      <c r="C3" s="323">
        <f>Index!$C$3</f>
        <v>45107</v>
      </c>
      <c r="D3" s="322"/>
      <c r="E3" s="322"/>
      <c r="F3" s="54"/>
      <c r="I3" s="58" t="s">
        <v>9</v>
      </c>
      <c r="J3" s="59" t="str">
        <f>Index!$H$3</f>
        <v>DB</v>
      </c>
      <c r="K3" s="60">
        <f>Index!$I$3</f>
        <v>45313</v>
      </c>
    </row>
    <row r="4" spans="1:14" ht="18">
      <c r="D4" s="52"/>
      <c r="E4" s="52"/>
      <c r="F4" s="63"/>
      <c r="G4" s="64"/>
      <c r="I4" s="65"/>
    </row>
    <row r="5" spans="1:14" ht="18">
      <c r="A5" s="123" t="s">
        <v>135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4"/>
    </row>
    <row r="8" spans="1:14">
      <c r="H8" s="46"/>
    </row>
    <row r="9" spans="1:14">
      <c r="B9" t="s">
        <v>136</v>
      </c>
      <c r="D9" s="325" t="s">
        <v>137</v>
      </c>
      <c r="E9" s="325"/>
      <c r="F9" s="325"/>
      <c r="G9" s="325"/>
      <c r="I9" s="325" t="s">
        <v>138</v>
      </c>
      <c r="J9" s="325"/>
      <c r="K9" s="325"/>
      <c r="L9" s="325"/>
      <c r="N9" s="324" t="s">
        <v>139</v>
      </c>
    </row>
    <row r="10" spans="1:14">
      <c r="B10" t="s">
        <v>140</v>
      </c>
      <c r="D10" s="125">
        <v>20540</v>
      </c>
      <c r="E10" s="126">
        <f>+D10</f>
        <v>20540</v>
      </c>
      <c r="F10" s="126">
        <f>+D10</f>
        <v>20540</v>
      </c>
      <c r="G10" s="46" t="s">
        <v>141</v>
      </c>
      <c r="I10" s="125">
        <v>22314</v>
      </c>
      <c r="J10" s="126">
        <f>+I10</f>
        <v>22314</v>
      </c>
      <c r="K10" s="126">
        <f>+I10</f>
        <v>22314</v>
      </c>
      <c r="L10" s="46" t="s">
        <v>141</v>
      </c>
      <c r="N10" s="324"/>
    </row>
    <row r="11" spans="1:14">
      <c r="B11" t="s">
        <v>142</v>
      </c>
      <c r="D11" s="127">
        <f>(D14-D10)/365.25</f>
        <v>67.26351813826146</v>
      </c>
      <c r="E11" s="127">
        <f>(E14-E10)/365.25</f>
        <v>67.26351813826146</v>
      </c>
      <c r="F11" s="127">
        <f>(F14-F10)/365.25</f>
        <v>67.26351813826146</v>
      </c>
      <c r="G11" s="127"/>
      <c r="I11" s="127">
        <f>(I14-I10)/365.25</f>
        <v>62.406570841889121</v>
      </c>
      <c r="J11" s="127">
        <f>(J14-J10)/365.25</f>
        <v>62.406570841889121</v>
      </c>
      <c r="K11" s="127">
        <f>(K14-K10)/365.25</f>
        <v>62.406570841889121</v>
      </c>
      <c r="N11" s="324"/>
    </row>
    <row r="14" spans="1:14">
      <c r="B14" t="s">
        <v>143</v>
      </c>
      <c r="D14" s="126">
        <v>45108</v>
      </c>
      <c r="E14" s="126">
        <v>45108</v>
      </c>
      <c r="F14" s="126">
        <v>45108</v>
      </c>
      <c r="G14" s="126"/>
      <c r="I14" s="126">
        <v>45108</v>
      </c>
      <c r="J14" s="126">
        <v>45108</v>
      </c>
      <c r="K14" s="126">
        <v>45108</v>
      </c>
    </row>
    <row r="16" spans="1:14">
      <c r="B16" t="s">
        <v>144</v>
      </c>
      <c r="D16" s="259"/>
      <c r="E16" s="259"/>
      <c r="F16" s="259"/>
      <c r="I16" s="259"/>
      <c r="J16" s="259"/>
      <c r="K16" s="259"/>
    </row>
    <row r="17" spans="1:14">
      <c r="B17" t="s">
        <v>145</v>
      </c>
      <c r="D17" s="228" t="s">
        <v>146</v>
      </c>
      <c r="E17" s="228" t="s">
        <v>146</v>
      </c>
      <c r="F17" s="228" t="s">
        <v>146</v>
      </c>
      <c r="I17" s="228" t="s">
        <v>146</v>
      </c>
      <c r="J17" s="228" t="s">
        <v>146</v>
      </c>
      <c r="K17" s="228" t="s">
        <v>146</v>
      </c>
    </row>
    <row r="18" spans="1:14">
      <c r="B18" t="s">
        <v>147</v>
      </c>
      <c r="D18" s="228">
        <v>2669104.81</v>
      </c>
      <c r="E18" s="228"/>
      <c r="F18" s="228"/>
      <c r="G18" s="229"/>
      <c r="I18" s="228">
        <v>2376122.4300000002</v>
      </c>
      <c r="J18" s="228"/>
      <c r="K18" s="228"/>
    </row>
    <row r="20" spans="1:14">
      <c r="B20" t="s">
        <v>148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0.05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0.05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0.05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0.04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0.04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0.04</v>
      </c>
    </row>
    <row r="22" spans="1:14">
      <c r="B22" t="s">
        <v>149</v>
      </c>
      <c r="D22" s="89">
        <f>D18*D20</f>
        <v>133455.24050000001</v>
      </c>
      <c r="E22" s="89">
        <f>E18*E20</f>
        <v>0</v>
      </c>
      <c r="F22" s="89">
        <f>F18*F20</f>
        <v>0</v>
      </c>
      <c r="G22" s="89"/>
      <c r="I22" s="89">
        <f>I18*I20</f>
        <v>95044.897200000007</v>
      </c>
      <c r="J22" s="89">
        <f>J18*J20</f>
        <v>0</v>
      </c>
      <c r="K22" s="89">
        <f>K18*K20</f>
        <v>0</v>
      </c>
    </row>
    <row r="23" spans="1:14" s="43" customFormat="1" ht="15.75" thickBot="1">
      <c r="B23" s="43" t="s">
        <v>150</v>
      </c>
      <c r="D23" s="50">
        <f>ROUND(D22,-1)</f>
        <v>133460</v>
      </c>
      <c r="E23" s="50">
        <f>ROUND(E22,-1)</f>
        <v>0</v>
      </c>
      <c r="F23" s="50">
        <f>ROUND(F22,-1)</f>
        <v>0</v>
      </c>
      <c r="G23" s="45">
        <f>SUM(D23:F23)</f>
        <v>133460</v>
      </c>
      <c r="I23" s="50">
        <f>ROUND(I22,-1)</f>
        <v>95040</v>
      </c>
      <c r="J23" s="50">
        <f>ROUND(J22,-1)</f>
        <v>0</v>
      </c>
      <c r="K23" s="50">
        <f>ROUND(K22,-1)</f>
        <v>0</v>
      </c>
      <c r="L23" s="45">
        <f>SUM(I23:K23)</f>
        <v>95040</v>
      </c>
      <c r="N23" s="51">
        <f>G23+L23</f>
        <v>228500</v>
      </c>
    </row>
    <row r="24" spans="1:14" ht="15.75" thickTop="1"/>
    <row r="25" spans="1:14">
      <c r="B25" t="s">
        <v>151</v>
      </c>
      <c r="D25" s="89">
        <f>IF(D17="ABP",D18,D18*0.1)</f>
        <v>2669104.81</v>
      </c>
      <c r="E25" s="89">
        <f t="shared" ref="E25:F25" si="0">IF(E17="ABP",E18,E18*0.1)</f>
        <v>0</v>
      </c>
      <c r="F25" s="89">
        <f t="shared" si="0"/>
        <v>0</v>
      </c>
      <c r="G25" s="89"/>
      <c r="I25" s="89">
        <f t="shared" ref="I25:K25" si="1">IF(I17="ABP",I18,I18*0.1)</f>
        <v>2376122.4300000002</v>
      </c>
      <c r="J25" s="89">
        <f t="shared" si="1"/>
        <v>0</v>
      </c>
      <c r="K25" s="89">
        <f t="shared" si="1"/>
        <v>0</v>
      </c>
    </row>
    <row r="29" spans="1:14">
      <c r="A29" s="48" t="s">
        <v>152</v>
      </c>
      <c r="B29" s="48" t="s">
        <v>153</v>
      </c>
      <c r="C29" s="48" t="s">
        <v>154</v>
      </c>
      <c r="D29" s="46"/>
    </row>
    <row r="30" spans="1:14">
      <c r="A30">
        <v>0</v>
      </c>
      <c r="B30">
        <v>64.989999999999995</v>
      </c>
      <c r="C30" s="47">
        <v>0.04</v>
      </c>
      <c r="D30" s="258"/>
    </row>
    <row r="31" spans="1:14">
      <c r="A31">
        <v>64.989999999999995</v>
      </c>
      <c r="B31">
        <v>74</v>
      </c>
      <c r="C31" s="47">
        <v>0.05</v>
      </c>
      <c r="D31" s="258"/>
    </row>
    <row r="32" spans="1:14">
      <c r="A32">
        <v>74.989999999999995</v>
      </c>
      <c r="B32">
        <v>79</v>
      </c>
      <c r="C32" s="47">
        <v>0.06</v>
      </c>
      <c r="D32" s="258"/>
    </row>
    <row r="33" spans="1:4">
      <c r="A33">
        <v>79.989999999999995</v>
      </c>
      <c r="B33">
        <v>84</v>
      </c>
      <c r="C33" s="49">
        <v>7.0000000000000007E-2</v>
      </c>
      <c r="D33" s="258"/>
    </row>
    <row r="34" spans="1:4">
      <c r="A34">
        <v>84.99</v>
      </c>
      <c r="B34">
        <v>89</v>
      </c>
      <c r="C34" s="49">
        <v>0.09</v>
      </c>
      <c r="D34" s="258"/>
    </row>
    <row r="35" spans="1:4">
      <c r="A35">
        <v>89.99</v>
      </c>
      <c r="B35">
        <v>94</v>
      </c>
      <c r="C35" s="49">
        <v>0.11</v>
      </c>
      <c r="D35" s="258"/>
    </row>
    <row r="36" spans="1:4">
      <c r="A36">
        <v>94.99</v>
      </c>
      <c r="B36">
        <v>122</v>
      </c>
      <c r="C36" s="47">
        <v>0.14000000000000001</v>
      </c>
      <c r="D36" s="25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CD9FF"/>
  </sheetPr>
  <dimension ref="A1:L42"/>
  <sheetViews>
    <sheetView topLeftCell="A8" workbookViewId="0">
      <selection activeCell="G27" sqref="G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9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9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9" ht="18">
      <c r="D4" s="52"/>
      <c r="E4" s="52"/>
      <c r="F4" s="63"/>
      <c r="G4" s="64"/>
      <c r="I4" s="65"/>
    </row>
    <row r="5" spans="1:9" ht="18">
      <c r="A5" s="123" t="s">
        <v>155</v>
      </c>
      <c r="D5" s="52"/>
      <c r="E5" s="52"/>
      <c r="F5" s="63"/>
      <c r="G5" s="64"/>
      <c r="I5" s="65"/>
    </row>
    <row r="6" spans="1:9" ht="18">
      <c r="A6" s="123"/>
      <c r="D6" s="52"/>
      <c r="E6" s="52"/>
      <c r="F6" s="63"/>
      <c r="G6" s="64"/>
      <c r="I6" s="65"/>
    </row>
    <row r="8" spans="1:9" s="68" customFormat="1" ht="30">
      <c r="A8" s="135" t="s">
        <v>156</v>
      </c>
      <c r="B8" s="326" t="s">
        <v>157</v>
      </c>
      <c r="C8" s="327"/>
      <c r="D8" s="327"/>
      <c r="E8" s="328"/>
      <c r="F8" s="136" t="s">
        <v>158</v>
      </c>
      <c r="G8" s="136" t="s">
        <v>158</v>
      </c>
      <c r="H8" s="136" t="s">
        <v>158</v>
      </c>
      <c r="I8" s="82"/>
    </row>
    <row r="10" spans="1:9">
      <c r="F10" s="69"/>
    </row>
    <row r="11" spans="1:9">
      <c r="A11" s="70"/>
      <c r="B11" s="70"/>
      <c r="C11" s="70" t="s">
        <v>159</v>
      </c>
      <c r="F11" s="71" t="s">
        <v>160</v>
      </c>
      <c r="G11" s="46" t="s">
        <v>161</v>
      </c>
      <c r="H11" s="46" t="s">
        <v>141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f>1720-330</f>
        <v>1390</v>
      </c>
      <c r="G13" s="130">
        <v>325</v>
      </c>
      <c r="H13" s="131">
        <f>SUM(F13:G13)</f>
        <v>1715</v>
      </c>
      <c r="I13" t="s">
        <v>162</v>
      </c>
    </row>
    <row r="14" spans="1:9">
      <c r="C14" s="72">
        <v>44896</v>
      </c>
      <c r="F14" s="73"/>
      <c r="G14" s="130">
        <v>325</v>
      </c>
      <c r="H14" s="131">
        <f>SUM(F14:G14)</f>
        <v>325</v>
      </c>
      <c r="I14" t="s">
        <v>163</v>
      </c>
    </row>
    <row r="15" spans="1:9">
      <c r="C15" s="72">
        <v>44986</v>
      </c>
      <c r="F15" s="73"/>
      <c r="G15" s="130"/>
      <c r="H15" s="131">
        <f>SUM(F15:G15)</f>
        <v>0</v>
      </c>
      <c r="I15" t="s">
        <v>164</v>
      </c>
    </row>
    <row r="16" spans="1:9">
      <c r="F16" s="74"/>
      <c r="G16" s="131"/>
      <c r="H16" s="131"/>
      <c r="I16" t="s">
        <v>165</v>
      </c>
    </row>
    <row r="17" spans="3:9" ht="15.75" thickBot="1">
      <c r="F17" s="75">
        <f>SUM(F13:F16)</f>
        <v>1390</v>
      </c>
      <c r="G17" s="75">
        <f>SUM(G13:G16)</f>
        <v>650</v>
      </c>
      <c r="H17" s="75">
        <f>SUM(H13:H16)</f>
        <v>2040</v>
      </c>
    </row>
    <row r="19" spans="3:9">
      <c r="C19" s="76" t="s">
        <v>166</v>
      </c>
      <c r="F19">
        <f>COUNT(F13:F15)</f>
        <v>1</v>
      </c>
      <c r="G19">
        <f>COUNT(G13:G15)</f>
        <v>2</v>
      </c>
    </row>
    <row r="21" spans="3:9">
      <c r="C21" t="s">
        <v>167</v>
      </c>
      <c r="F21" s="73"/>
      <c r="I21" t="s">
        <v>168</v>
      </c>
    </row>
    <row r="23" spans="3:9">
      <c r="C23" t="s">
        <v>169</v>
      </c>
      <c r="F23" s="77"/>
      <c r="G23" s="132">
        <v>1033.5</v>
      </c>
      <c r="H23" s="78"/>
      <c r="I23" t="s">
        <v>170</v>
      </c>
    </row>
    <row r="24" spans="3:9">
      <c r="C24" t="s">
        <v>171</v>
      </c>
      <c r="F24" s="79"/>
      <c r="G24" s="132"/>
      <c r="H24" s="78"/>
    </row>
    <row r="25" spans="3:9">
      <c r="C25" t="s">
        <v>172</v>
      </c>
      <c r="F25" s="78"/>
      <c r="G25" s="133"/>
      <c r="H25" s="78"/>
    </row>
    <row r="26" spans="3:9">
      <c r="C26" t="s">
        <v>173</v>
      </c>
      <c r="F26" s="80"/>
      <c r="G26" s="78">
        <v>1033.5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174</v>
      </c>
      <c r="F29" s="74">
        <f>ROUND(F21/4,0)</f>
        <v>0</v>
      </c>
      <c r="G29" s="131">
        <f>ROUND(G26/4,0)</f>
        <v>258</v>
      </c>
      <c r="H29" s="78"/>
    </row>
    <row r="30" spans="3:9">
      <c r="C30" t="s">
        <v>175</v>
      </c>
      <c r="F30" s="74">
        <f>(F29*F19)-F17</f>
        <v>-1390</v>
      </c>
      <c r="G30" s="74">
        <f>(G29*G19)-G17</f>
        <v>-134</v>
      </c>
      <c r="H30" s="78"/>
    </row>
    <row r="31" spans="3:9">
      <c r="F31" s="77"/>
      <c r="G31" s="78"/>
      <c r="H31" s="78"/>
    </row>
    <row r="32" spans="3:9">
      <c r="C32" s="76" t="s">
        <v>176</v>
      </c>
      <c r="F32" s="77"/>
      <c r="G32" s="78"/>
      <c r="H32" s="78"/>
    </row>
    <row r="33" spans="3:12">
      <c r="C33" s="72">
        <v>45170</v>
      </c>
      <c r="F33" s="81">
        <f>IF(F19&gt;0,F13,0)</f>
        <v>1390</v>
      </c>
      <c r="G33" s="81">
        <f>IF(G19&gt;0,G13,0)</f>
        <v>325</v>
      </c>
      <c r="H33" s="131">
        <f t="shared" ref="H33:H36" si="0">SUM(F33:G33)</f>
        <v>1715</v>
      </c>
      <c r="L33" s="131"/>
    </row>
    <row r="34" spans="3:12">
      <c r="C34" s="72">
        <v>45261</v>
      </c>
      <c r="F34" s="81">
        <f>IF(F19=1,F29+F30,F14)</f>
        <v>-1390</v>
      </c>
      <c r="G34" s="81">
        <f>IF(G19=1,G29+G30,G14)</f>
        <v>325</v>
      </c>
      <c r="H34" s="131">
        <f t="shared" si="0"/>
        <v>-1065</v>
      </c>
      <c r="L34" s="131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124</v>
      </c>
      <c r="H35" s="131">
        <f t="shared" si="0"/>
        <v>124</v>
      </c>
    </row>
    <row r="36" spans="3:12">
      <c r="C36" s="72">
        <v>45444</v>
      </c>
      <c r="F36" s="81">
        <f>F21-SUM(F33:F35)</f>
        <v>0</v>
      </c>
      <c r="G36" s="81">
        <f>ROUND(G26,0)-SUM(G33:G35)</f>
        <v>260</v>
      </c>
      <c r="H36" s="131">
        <f t="shared" si="0"/>
        <v>260</v>
      </c>
    </row>
    <row r="38" spans="3:12" ht="15.75" thickBot="1">
      <c r="F38" s="75">
        <f>SUM(F33:F37)</f>
        <v>0</v>
      </c>
      <c r="G38" s="75">
        <f>SUM(G33:G37)</f>
        <v>1034</v>
      </c>
      <c r="H38" s="75">
        <f>SUM(H33:H37)</f>
        <v>1034</v>
      </c>
    </row>
    <row r="40" spans="3:12">
      <c r="G40" s="131"/>
    </row>
    <row r="42" spans="3:12">
      <c r="G42" s="131"/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ECD9FF"/>
  </sheetPr>
  <dimension ref="A1:J54"/>
  <sheetViews>
    <sheetView tabSelected="1" topLeftCell="A14" workbookViewId="0">
      <selection activeCell="C44" sqref="C44"/>
    </sheetView>
  </sheetViews>
  <sheetFormatPr defaultColWidth="11.42578125" defaultRowHeight="16.5"/>
  <cols>
    <col min="1" max="1" width="13.7109375" style="108" customWidth="1"/>
    <col min="2" max="2" width="34.7109375" style="105" customWidth="1"/>
    <col min="3" max="8" width="14.5703125" style="105" customWidth="1"/>
    <col min="9" max="9" width="14.5703125" style="109" customWidth="1"/>
    <col min="10" max="10" width="15.28515625" style="105" customWidth="1"/>
    <col min="11" max="16384" width="11.42578125" style="105"/>
  </cols>
  <sheetData>
    <row r="1" spans="1:10" customFormat="1" ht="18">
      <c r="A1" s="121" t="s">
        <v>0</v>
      </c>
      <c r="B1" s="322" t="str">
        <f>Index!$C$1</f>
        <v>D&amp;M BRAKE SUPER FUND</v>
      </c>
      <c r="C1" s="322"/>
      <c r="D1" s="322"/>
      <c r="F1" s="53"/>
      <c r="H1" s="55" t="s">
        <v>2</v>
      </c>
      <c r="I1" s="55" t="s">
        <v>3</v>
      </c>
    </row>
    <row r="2" spans="1:10" customFormat="1" ht="18">
      <c r="A2" s="121" t="s">
        <v>4</v>
      </c>
      <c r="B2" s="322" t="str">
        <f>Index!$C$2</f>
        <v>9BRAD</v>
      </c>
      <c r="C2" s="322"/>
      <c r="D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customFormat="1" ht="18">
      <c r="A3" s="121" t="s">
        <v>8</v>
      </c>
      <c r="B3" s="323">
        <f>Index!$C$3</f>
        <v>45107</v>
      </c>
      <c r="C3" s="323"/>
      <c r="D3" s="323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customFormat="1" ht="18">
      <c r="A4" s="121"/>
      <c r="B4" s="52"/>
      <c r="D4" s="52"/>
      <c r="E4" s="52"/>
      <c r="F4" s="54"/>
      <c r="G4" s="122"/>
      <c r="H4" s="64"/>
      <c r="I4" s="65"/>
    </row>
    <row r="5" spans="1:10" customFormat="1" ht="18">
      <c r="A5" s="52" t="s">
        <v>177</v>
      </c>
      <c r="C5" s="56"/>
      <c r="F5" s="57"/>
      <c r="G5" s="57"/>
      <c r="H5" s="64"/>
      <c r="J5" s="65"/>
    </row>
    <row r="6" spans="1:10" ht="18">
      <c r="A6" s="61"/>
      <c r="B6" s="62"/>
      <c r="C6" s="106"/>
      <c r="D6" s="52"/>
      <c r="E6" s="52"/>
      <c r="F6" s="64"/>
      <c r="G6" s="64"/>
      <c r="H6" s="64"/>
      <c r="I6" s="107"/>
    </row>
    <row r="7" spans="1:10" s="143" customFormat="1" ht="15.75" thickBot="1">
      <c r="A7" s="145"/>
      <c r="C7" s="162"/>
      <c r="D7" s="162"/>
      <c r="E7" s="162"/>
      <c r="F7" s="113"/>
      <c r="G7" s="162"/>
      <c r="H7" s="162"/>
      <c r="I7" s="162"/>
    </row>
    <row r="8" spans="1:10" s="143" customFormat="1" ht="30.75" thickBot="1">
      <c r="A8" s="331" t="s">
        <v>178</v>
      </c>
      <c r="B8" s="332"/>
      <c r="C8" s="163" t="s">
        <v>179</v>
      </c>
      <c r="D8" s="163" t="s">
        <v>180</v>
      </c>
      <c r="E8" s="163" t="s">
        <v>181</v>
      </c>
      <c r="F8" s="163" t="s">
        <v>182</v>
      </c>
      <c r="G8" s="163" t="s">
        <v>183</v>
      </c>
      <c r="H8" s="163" t="s">
        <v>184</v>
      </c>
      <c r="I8" s="164" t="s">
        <v>185</v>
      </c>
    </row>
    <row r="9" spans="1:10" s="143" customFormat="1" ht="15">
      <c r="A9" s="165" t="s">
        <v>186</v>
      </c>
      <c r="B9" s="166"/>
      <c r="C9" s="167">
        <v>1120</v>
      </c>
      <c r="D9" s="167">
        <v>422</v>
      </c>
      <c r="E9" s="167"/>
      <c r="F9" s="168">
        <v>3791</v>
      </c>
      <c r="G9" s="167"/>
      <c r="H9" s="167"/>
      <c r="I9" s="167">
        <f>C9-D9+E9+F9+G9+H9</f>
        <v>4489</v>
      </c>
    </row>
    <row r="10" spans="1:10" s="143" customFormat="1" ht="15">
      <c r="A10" s="169" t="s">
        <v>187</v>
      </c>
      <c r="B10" s="170"/>
      <c r="C10" s="167">
        <v>741</v>
      </c>
      <c r="D10" s="171">
        <v>266</v>
      </c>
      <c r="E10" s="171"/>
      <c r="F10" s="172">
        <v>3791</v>
      </c>
      <c r="G10" s="171"/>
      <c r="H10" s="171"/>
      <c r="I10" s="167">
        <f>C10-D10+E10+F10+G10+H10</f>
        <v>4266</v>
      </c>
    </row>
    <row r="11" spans="1:10" s="143" customFormat="1" ht="15">
      <c r="A11" s="169" t="s">
        <v>188</v>
      </c>
      <c r="B11" s="170"/>
      <c r="C11" s="167">
        <v>2495</v>
      </c>
      <c r="D11" s="171">
        <v>606</v>
      </c>
      <c r="E11" s="171"/>
      <c r="F11" s="172">
        <v>0</v>
      </c>
      <c r="G11" s="171"/>
      <c r="H11" s="171"/>
      <c r="I11" s="167">
        <f>C11-D11+E11+F11+G11+H11</f>
        <v>1889</v>
      </c>
    </row>
    <row r="12" spans="1:10" s="143" customFormat="1" ht="15">
      <c r="A12" s="169" t="s">
        <v>189</v>
      </c>
      <c r="B12" s="170"/>
      <c r="C12" s="167">
        <v>1958</v>
      </c>
      <c r="D12" s="171">
        <v>531</v>
      </c>
      <c r="E12" s="171"/>
      <c r="F12" s="172">
        <v>0</v>
      </c>
      <c r="G12" s="171"/>
      <c r="H12" s="171"/>
      <c r="I12" s="167">
        <f>C12-D12+E12+F12+G12+H12</f>
        <v>1427</v>
      </c>
    </row>
    <row r="13" spans="1:10" s="143" customFormat="1" ht="15">
      <c r="A13" s="173"/>
      <c r="B13" s="162" t="s">
        <v>190</v>
      </c>
      <c r="C13" s="174">
        <f t="shared" ref="C13:I13" si="0">SUM(C9:C12)</f>
        <v>6314</v>
      </c>
      <c r="D13" s="174">
        <f t="shared" si="0"/>
        <v>1825</v>
      </c>
      <c r="E13" s="174">
        <f t="shared" si="0"/>
        <v>0</v>
      </c>
      <c r="F13" s="174">
        <f t="shared" si="0"/>
        <v>7582</v>
      </c>
      <c r="G13" s="174">
        <f t="shared" si="0"/>
        <v>0</v>
      </c>
      <c r="H13" s="174">
        <f t="shared" si="0"/>
        <v>0</v>
      </c>
      <c r="I13" s="174">
        <f t="shared" si="0"/>
        <v>12071</v>
      </c>
    </row>
    <row r="14" spans="1:10" s="143" customFormat="1" ht="15.75" thickBot="1">
      <c r="A14" s="173"/>
      <c r="B14" s="173"/>
      <c r="C14" s="162"/>
      <c r="D14" s="162"/>
      <c r="E14" s="162"/>
      <c r="F14" s="113"/>
      <c r="G14" s="162"/>
      <c r="H14" s="162"/>
      <c r="I14" s="162"/>
    </row>
    <row r="15" spans="1:10" s="143" customFormat="1" ht="30.75" thickBot="1">
      <c r="A15" s="331" t="s">
        <v>191</v>
      </c>
      <c r="B15" s="388"/>
      <c r="C15" s="163" t="s">
        <v>179</v>
      </c>
      <c r="D15" s="163" t="s">
        <v>180</v>
      </c>
      <c r="E15" s="163" t="s">
        <v>181</v>
      </c>
      <c r="F15" s="163" t="s">
        <v>182</v>
      </c>
      <c r="G15" s="163" t="s">
        <v>183</v>
      </c>
      <c r="H15" s="163" t="s">
        <v>184</v>
      </c>
      <c r="I15" s="164" t="s">
        <v>185</v>
      </c>
    </row>
    <row r="16" spans="1:10" s="143" customFormat="1" ht="15">
      <c r="A16" s="175" t="s">
        <v>186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187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188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192</v>
      </c>
      <c r="B19" s="170"/>
      <c r="C19" s="167">
        <v>5805</v>
      </c>
      <c r="D19" s="171">
        <v>1344</v>
      </c>
      <c r="E19" s="171"/>
      <c r="F19" s="172">
        <f>+F13</f>
        <v>7582</v>
      </c>
      <c r="G19" s="171"/>
      <c r="H19" s="171"/>
      <c r="I19" s="167">
        <f>C19-D19+E19+F19+G19+H19</f>
        <v>12043</v>
      </c>
    </row>
    <row r="20" spans="1:9" s="143" customFormat="1" ht="15">
      <c r="A20" s="173"/>
      <c r="B20" s="162" t="s">
        <v>190</v>
      </c>
      <c r="C20" s="177">
        <f t="shared" ref="C20:I20" si="1">SUM(C16:C19)</f>
        <v>5805</v>
      </c>
      <c r="D20" s="177">
        <f t="shared" si="1"/>
        <v>1344</v>
      </c>
      <c r="E20" s="177">
        <f t="shared" si="1"/>
        <v>0</v>
      </c>
      <c r="F20" s="177">
        <f t="shared" si="1"/>
        <v>7582</v>
      </c>
      <c r="G20" s="177">
        <f t="shared" si="1"/>
        <v>0</v>
      </c>
      <c r="H20" s="177">
        <f t="shared" si="1"/>
        <v>0</v>
      </c>
      <c r="I20" s="177">
        <f t="shared" si="1"/>
        <v>12043</v>
      </c>
    </row>
    <row r="21" spans="1:9" s="143" customFormat="1" ht="15">
      <c r="A21" s="145"/>
    </row>
    <row r="22" spans="1:9" s="143" customFormat="1" ht="15">
      <c r="A22" s="333" t="s">
        <v>193</v>
      </c>
      <c r="B22" s="334"/>
      <c r="C22" s="178">
        <f t="shared" ref="C22:I22" si="2">+C13-C20</f>
        <v>509</v>
      </c>
      <c r="D22" s="178">
        <f>+D13-D20</f>
        <v>481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28</v>
      </c>
    </row>
    <row r="23" spans="1:9" s="143" customFormat="1" ht="15">
      <c r="A23" s="145"/>
    </row>
    <row r="24" spans="1:9" s="143" customFormat="1" ht="15">
      <c r="A24" s="143" t="s">
        <v>194</v>
      </c>
      <c r="B24" s="144"/>
      <c r="G24" s="144"/>
    </row>
    <row r="25" spans="1:9" s="143" customFormat="1" ht="15">
      <c r="B25" s="144"/>
      <c r="C25" s="329" t="s">
        <v>195</v>
      </c>
      <c r="D25" s="329"/>
      <c r="E25" s="329" t="s">
        <v>196</v>
      </c>
      <c r="F25" s="329"/>
      <c r="G25" s="330" t="s">
        <v>197</v>
      </c>
      <c r="H25" s="330"/>
    </row>
    <row r="26" spans="1:9" s="143" customFormat="1" ht="15">
      <c r="A26" s="145" t="s">
        <v>3</v>
      </c>
      <c r="B26" s="143" t="s">
        <v>198</v>
      </c>
      <c r="C26" s="143" t="s">
        <v>179</v>
      </c>
      <c r="D26" s="143" t="s">
        <v>180</v>
      </c>
      <c r="E26" s="143" t="s">
        <v>179</v>
      </c>
      <c r="F26" s="143" t="s">
        <v>180</v>
      </c>
      <c r="G26" s="143" t="s">
        <v>179</v>
      </c>
      <c r="H26" s="143" t="s">
        <v>180</v>
      </c>
    </row>
    <row r="27" spans="1:9" s="143" customFormat="1" ht="15">
      <c r="A27" s="146">
        <v>44942</v>
      </c>
      <c r="B27" s="143" t="s">
        <v>199</v>
      </c>
      <c r="C27" s="147"/>
      <c r="D27" s="147">
        <v>625.5</v>
      </c>
      <c r="E27" s="147"/>
      <c r="F27" s="147"/>
      <c r="G27" s="147"/>
      <c r="H27" s="147">
        <f>D27-F27</f>
        <v>625.5</v>
      </c>
      <c r="I27" s="143" t="s">
        <v>200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3" t="s">
        <v>201</v>
      </c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B30" s="149" t="s">
        <v>202</v>
      </c>
      <c r="C30" s="147"/>
      <c r="D30" s="147">
        <f>(93.75+93.75+93.75+140.64)/11</f>
        <v>38.353636363636362</v>
      </c>
      <c r="E30" s="147"/>
      <c r="F30" s="147">
        <f>+D30*0.75</f>
        <v>28.765227272727273</v>
      </c>
      <c r="G30" s="147"/>
      <c r="H30" s="147">
        <f t="shared" si="3"/>
        <v>9.5884090909090887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3" t="s">
        <v>203</v>
      </c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 t="s">
        <v>202</v>
      </c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141</v>
      </c>
      <c r="H39" s="151">
        <f>SUM(H27:H38)</f>
        <v>635.08840909090907</v>
      </c>
    </row>
    <row r="40" spans="1:8" s="143" customFormat="1" ht="15">
      <c r="A40" s="145"/>
      <c r="H40" s="143">
        <f>D40-F40</f>
        <v>0</v>
      </c>
    </row>
    <row r="41" spans="1:8" s="143" customFormat="1" ht="15.75" thickBot="1">
      <c r="A41" s="145"/>
      <c r="G41" s="143" t="s">
        <v>204</v>
      </c>
      <c r="H41" s="152">
        <f>I22+H39</f>
        <v>663.08840909090907</v>
      </c>
    </row>
    <row r="42" spans="1:8" s="143" customFormat="1" ht="15">
      <c r="A42" s="145"/>
      <c r="B42" s="153" t="s">
        <v>205</v>
      </c>
      <c r="C42" s="154">
        <f>I13-F13</f>
        <v>4489</v>
      </c>
      <c r="D42" s="155"/>
    </row>
    <row r="43" spans="1:8" s="143" customFormat="1" ht="15">
      <c r="A43" s="145"/>
      <c r="B43" s="156" t="s">
        <v>206</v>
      </c>
      <c r="C43" s="151">
        <f>I20-F20</f>
        <v>4461</v>
      </c>
      <c r="D43" s="157"/>
    </row>
    <row r="44" spans="1:8" s="143" customFormat="1" ht="15">
      <c r="A44" s="145"/>
      <c r="B44" s="158" t="s">
        <v>197</v>
      </c>
      <c r="C44" s="152">
        <f>C42-C43</f>
        <v>28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207</v>
      </c>
      <c r="C46" s="152">
        <v>652.80999999999995</v>
      </c>
      <c r="D46" s="157"/>
    </row>
    <row r="47" spans="1:8" s="143" customFormat="1" ht="15.75" thickBot="1">
      <c r="A47" s="145"/>
      <c r="B47" s="159" t="s">
        <v>208</v>
      </c>
      <c r="C47" s="160">
        <f>C46-C44+-H27</f>
        <v>-0.69000000000005457</v>
      </c>
      <c r="D47" s="161" t="s">
        <v>209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210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156</v>
      </c>
      <c r="B8" s="326" t="s">
        <v>157</v>
      </c>
      <c r="C8" s="327"/>
      <c r="D8" s="328"/>
      <c r="E8" s="136" t="s">
        <v>158</v>
      </c>
      <c r="F8" s="136" t="s">
        <v>158</v>
      </c>
      <c r="G8" s="136" t="s">
        <v>158</v>
      </c>
      <c r="H8" s="326" t="s">
        <v>211</v>
      </c>
      <c r="I8" s="328"/>
    </row>
    <row r="11" spans="1:10">
      <c r="A11" s="76"/>
      <c r="B11" s="76"/>
      <c r="C11" s="76" t="s">
        <v>212</v>
      </c>
      <c r="E11" s="46" t="s">
        <v>213</v>
      </c>
      <c r="F11" s="84" t="s">
        <v>214</v>
      </c>
      <c r="G11" s="84" t="s">
        <v>215</v>
      </c>
    </row>
    <row r="12" spans="1:10">
      <c r="C12" t="s">
        <v>216</v>
      </c>
      <c r="E12" s="91"/>
      <c r="F12" s="91"/>
      <c r="G12" s="91">
        <f>+E12-F12</f>
        <v>0</v>
      </c>
      <c r="H12" s="91"/>
    </row>
    <row r="13" spans="1:10">
      <c r="C13" t="s">
        <v>217</v>
      </c>
      <c r="E13" s="91"/>
      <c r="F13" s="91"/>
      <c r="G13" s="91">
        <f>+E13-F13</f>
        <v>0</v>
      </c>
      <c r="H13" s="91"/>
    </row>
    <row r="14" spans="1:10">
      <c r="E14" s="91"/>
      <c r="F14" s="91"/>
      <c r="G14" s="91"/>
      <c r="H14" s="91"/>
    </row>
    <row r="16" spans="1:10">
      <c r="A16" s="42" t="s">
        <v>218</v>
      </c>
    </row>
    <row r="17" spans="1:1">
      <c r="A17" s="42" t="s">
        <v>219</v>
      </c>
    </row>
    <row r="18" spans="1:1">
      <c r="A18" s="42" t="s">
        <v>220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221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156</v>
      </c>
      <c r="B8" s="326" t="s">
        <v>157</v>
      </c>
      <c r="C8" s="327"/>
      <c r="D8" s="327"/>
      <c r="E8" s="328"/>
      <c r="F8" s="136" t="s">
        <v>158</v>
      </c>
      <c r="G8" s="326" t="s">
        <v>211</v>
      </c>
      <c r="H8" s="335"/>
      <c r="I8" s="336"/>
    </row>
    <row r="10" spans="1:10">
      <c r="F10" s="79"/>
    </row>
    <row r="11" spans="1:10">
      <c r="C11" t="s">
        <v>222</v>
      </c>
      <c r="F11" s="91"/>
      <c r="G11" s="42" t="s">
        <v>223</v>
      </c>
    </row>
    <row r="12" spans="1:10">
      <c r="C12" t="s">
        <v>224</v>
      </c>
      <c r="F12" s="114"/>
    </row>
    <row r="13" spans="1:10">
      <c r="C13" t="s">
        <v>225</v>
      </c>
      <c r="F13" s="91">
        <f>+F11-F12</f>
        <v>0</v>
      </c>
      <c r="H13" t="s">
        <v>226</v>
      </c>
      <c r="I13" s="94" t="e">
        <f>+F13/F12</f>
        <v>#DIV/0!</v>
      </c>
    </row>
    <row r="14" spans="1:10">
      <c r="C14" s="251" t="s">
        <v>227</v>
      </c>
      <c r="F14" s="253">
        <f>G45</f>
        <v>0</v>
      </c>
    </row>
    <row r="15" spans="1:10">
      <c r="C15" s="42" t="s">
        <v>228</v>
      </c>
      <c r="F15" s="252"/>
      <c r="H15" s="42" t="s">
        <v>229</v>
      </c>
      <c r="I15" s="42" t="e">
        <f>+F15/F12</f>
        <v>#DIV/0!</v>
      </c>
      <c r="J15" s="42" t="s">
        <v>230</v>
      </c>
    </row>
    <row r="16" spans="1:10">
      <c r="F16" s="93"/>
      <c r="H16" s="42"/>
      <c r="I16" s="95"/>
    </row>
    <row r="17" spans="3:7">
      <c r="C17" t="s">
        <v>231</v>
      </c>
      <c r="F17"/>
    </row>
    <row r="18" spans="3:7">
      <c r="C18" t="s">
        <v>232</v>
      </c>
    </row>
    <row r="19" spans="3:7">
      <c r="C19" t="s">
        <v>233</v>
      </c>
    </row>
    <row r="22" spans="3:7">
      <c r="C22" s="96" t="s">
        <v>234</v>
      </c>
      <c r="E22" s="46" t="s">
        <v>235</v>
      </c>
      <c r="F22" s="46" t="s">
        <v>236</v>
      </c>
      <c r="G22" s="97" t="s">
        <v>237</v>
      </c>
    </row>
    <row r="23" spans="3:7">
      <c r="C23" t="s">
        <v>238</v>
      </c>
      <c r="E23" s="91"/>
      <c r="F23" s="91"/>
      <c r="G23" s="91">
        <f t="shared" ref="G23:G44" si="0">+E23-F23</f>
        <v>0</v>
      </c>
    </row>
    <row r="24" spans="3:7">
      <c r="C24" t="s">
        <v>239</v>
      </c>
      <c r="E24" s="91"/>
      <c r="F24" s="91"/>
      <c r="G24" s="91">
        <f t="shared" si="0"/>
        <v>0</v>
      </c>
    </row>
    <row r="25" spans="3:7">
      <c r="C25" t="s">
        <v>240</v>
      </c>
      <c r="E25" s="91"/>
      <c r="F25" s="91"/>
      <c r="G25" s="91">
        <f t="shared" si="0"/>
        <v>0</v>
      </c>
    </row>
    <row r="26" spans="3:7">
      <c r="C26" t="s">
        <v>241</v>
      </c>
      <c r="E26" s="91"/>
      <c r="F26" s="91"/>
      <c r="G26" s="91">
        <f t="shared" si="0"/>
        <v>0</v>
      </c>
    </row>
    <row r="27" spans="3:7">
      <c r="C27" t="s">
        <v>242</v>
      </c>
      <c r="E27" s="91"/>
      <c r="F27" s="91"/>
      <c r="G27" s="91">
        <f t="shared" si="0"/>
        <v>0</v>
      </c>
    </row>
    <row r="28" spans="3:7">
      <c r="C28" t="s">
        <v>243</v>
      </c>
      <c r="E28" s="91"/>
      <c r="F28" s="91"/>
      <c r="G28" s="91">
        <f t="shared" si="0"/>
        <v>0</v>
      </c>
    </row>
    <row r="29" spans="3:7">
      <c r="C29" t="s">
        <v>244</v>
      </c>
      <c r="E29" s="91"/>
      <c r="F29" s="91"/>
      <c r="G29" s="91">
        <f t="shared" si="0"/>
        <v>0</v>
      </c>
    </row>
    <row r="30" spans="3:7">
      <c r="C30" t="s">
        <v>245</v>
      </c>
      <c r="E30" s="91"/>
      <c r="F30" s="91"/>
      <c r="G30" s="91">
        <f t="shared" si="0"/>
        <v>0</v>
      </c>
    </row>
    <row r="31" spans="3:7">
      <c r="C31" t="s">
        <v>246</v>
      </c>
      <c r="E31" s="91"/>
      <c r="F31" s="91"/>
      <c r="G31" s="91">
        <f t="shared" si="0"/>
        <v>0</v>
      </c>
    </row>
    <row r="32" spans="3:7">
      <c r="C32" t="s">
        <v>247</v>
      </c>
      <c r="E32" s="91"/>
      <c r="F32" s="91"/>
      <c r="G32" s="91">
        <f t="shared" si="0"/>
        <v>0</v>
      </c>
    </row>
    <row r="33" spans="3:7">
      <c r="C33" t="s">
        <v>248</v>
      </c>
      <c r="E33" s="91"/>
      <c r="F33" s="91"/>
      <c r="G33" s="91">
        <f t="shared" si="0"/>
        <v>0</v>
      </c>
    </row>
    <row r="34" spans="3:7">
      <c r="C34" t="s">
        <v>249</v>
      </c>
      <c r="E34" s="91"/>
      <c r="F34" s="91"/>
      <c r="G34" s="91">
        <f t="shared" si="0"/>
        <v>0</v>
      </c>
    </row>
    <row r="35" spans="3:7">
      <c r="C35" t="s">
        <v>250</v>
      </c>
      <c r="E35" s="91"/>
      <c r="F35" s="91"/>
      <c r="G35" s="91">
        <f t="shared" si="0"/>
        <v>0</v>
      </c>
    </row>
    <row r="36" spans="3:7">
      <c r="C36" t="s">
        <v>251</v>
      </c>
      <c r="E36" s="91"/>
      <c r="F36" s="91"/>
      <c r="G36" s="91">
        <f t="shared" si="0"/>
        <v>0</v>
      </c>
    </row>
    <row r="37" spans="3:7">
      <c r="C37" t="s">
        <v>252</v>
      </c>
      <c r="E37" s="91"/>
      <c r="F37" s="91"/>
      <c r="G37" s="91">
        <f t="shared" si="0"/>
        <v>0</v>
      </c>
    </row>
    <row r="38" spans="3:7">
      <c r="C38" t="s">
        <v>253</v>
      </c>
      <c r="E38" s="91"/>
      <c r="F38" s="91"/>
      <c r="G38" s="91">
        <f t="shared" si="0"/>
        <v>0</v>
      </c>
    </row>
    <row r="39" spans="3:7">
      <c r="C39" t="s">
        <v>254</v>
      </c>
      <c r="E39" s="91"/>
      <c r="F39" s="91"/>
      <c r="G39" s="91">
        <f t="shared" si="0"/>
        <v>0</v>
      </c>
    </row>
    <row r="40" spans="3:7">
      <c r="C40" t="s">
        <v>255</v>
      </c>
      <c r="E40" s="91"/>
      <c r="F40" s="91"/>
      <c r="G40" s="91">
        <f t="shared" si="0"/>
        <v>0</v>
      </c>
    </row>
    <row r="41" spans="3:7">
      <c r="C41" t="s">
        <v>256</v>
      </c>
      <c r="E41" s="91"/>
      <c r="F41" s="91"/>
      <c r="G41" s="91">
        <f t="shared" si="0"/>
        <v>0</v>
      </c>
    </row>
    <row r="42" spans="3:7">
      <c r="C42" t="s">
        <v>257</v>
      </c>
      <c r="E42" s="91"/>
      <c r="F42" s="91"/>
      <c r="G42" s="91">
        <f t="shared" si="0"/>
        <v>0</v>
      </c>
    </row>
    <row r="43" spans="3:7">
      <c r="C43" t="s">
        <v>258</v>
      </c>
      <c r="E43" s="91"/>
      <c r="F43" s="91"/>
      <c r="G43" s="91">
        <f t="shared" si="0"/>
        <v>0</v>
      </c>
    </row>
    <row r="44" spans="3:7">
      <c r="C44" t="s">
        <v>259</v>
      </c>
      <c r="E44" s="233"/>
      <c r="F44" s="233"/>
      <c r="G44" s="91">
        <f t="shared" si="0"/>
        <v>0</v>
      </c>
    </row>
    <row r="45" spans="3:7" ht="15.75" thickBot="1">
      <c r="E45" s="230">
        <f>SUM(E23:E44)</f>
        <v>0</v>
      </c>
      <c r="F45" s="230">
        <f>SUM(F23:F44)</f>
        <v>0</v>
      </c>
      <c r="G45" s="230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22" t="str">
        <f>Index!$C$1</f>
        <v>D&amp;M BRAKE SUPER FUND</v>
      </c>
      <c r="D1" s="322"/>
      <c r="E1" s="322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22" t="str">
        <f>Index!$C$2</f>
        <v>9BRAD</v>
      </c>
      <c r="D2" s="322"/>
      <c r="E2" s="322"/>
      <c r="F2" s="54"/>
      <c r="G2" s="58" t="s">
        <v>6</v>
      </c>
      <c r="H2" s="59" t="str">
        <f>Index!$H$2</f>
        <v>MG</v>
      </c>
      <c r="I2" s="60">
        <f>Index!$I$2</f>
        <v>45238</v>
      </c>
    </row>
    <row r="3" spans="1:10" ht="18">
      <c r="A3" s="121" t="s">
        <v>8</v>
      </c>
      <c r="B3" s="52"/>
      <c r="C3" s="323">
        <f>Index!$C$3</f>
        <v>45107</v>
      </c>
      <c r="D3" s="322"/>
      <c r="E3" s="322"/>
      <c r="F3" s="54"/>
      <c r="G3" s="58" t="s">
        <v>9</v>
      </c>
      <c r="H3" s="59" t="str">
        <f>Index!$H$3</f>
        <v>DB</v>
      </c>
      <c r="I3" s="60">
        <f>Index!$I$3</f>
        <v>45313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260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156</v>
      </c>
      <c r="B8" s="326" t="s">
        <v>157</v>
      </c>
      <c r="C8" s="327"/>
      <c r="D8" s="327"/>
      <c r="E8" s="328"/>
      <c r="F8" s="136" t="s">
        <v>158</v>
      </c>
      <c r="G8" s="326" t="s">
        <v>211</v>
      </c>
      <c r="H8" s="335"/>
      <c r="I8" s="336"/>
    </row>
    <row r="10" spans="1:10">
      <c r="A10" s="239"/>
      <c r="F10" s="69"/>
    </row>
    <row r="11" spans="1:10">
      <c r="C11" s="76" t="s">
        <v>261</v>
      </c>
      <c r="F11" s="69"/>
    </row>
    <row r="12" spans="1:10">
      <c r="C12" t="s">
        <v>44</v>
      </c>
      <c r="F12" s="69"/>
    </row>
    <row r="13" spans="1:10">
      <c r="C13" t="s">
        <v>262</v>
      </c>
      <c r="F13" s="69"/>
    </row>
    <row r="14" spans="1:10">
      <c r="C14" t="s">
        <v>263</v>
      </c>
      <c r="F14" s="69"/>
    </row>
    <row r="15" spans="1:10">
      <c r="C15" t="s">
        <v>264</v>
      </c>
      <c r="F15" s="69"/>
    </row>
    <row r="16" spans="1:10">
      <c r="F16" s="238">
        <f>SUM(F12:F15)</f>
        <v>0</v>
      </c>
    </row>
    <row r="17" spans="3:10">
      <c r="F17" s="69"/>
    </row>
    <row r="18" spans="3:10">
      <c r="C18" s="76" t="s">
        <v>265</v>
      </c>
      <c r="F18" s="69"/>
    </row>
    <row r="19" spans="3:10">
      <c r="C19" t="s">
        <v>266</v>
      </c>
      <c r="F19" s="69"/>
    </row>
    <row r="20" spans="3:10">
      <c r="C20" t="s">
        <v>267</v>
      </c>
      <c r="F20" s="69"/>
    </row>
    <row r="21" spans="3:10">
      <c r="C21" t="s">
        <v>268</v>
      </c>
      <c r="F21" s="69"/>
    </row>
    <row r="22" spans="3:10">
      <c r="F22" s="238">
        <f>SUM(F19:F21)</f>
        <v>0</v>
      </c>
    </row>
    <row r="23" spans="3:10">
      <c r="F23" s="69"/>
    </row>
    <row r="24" spans="3:10">
      <c r="C24" t="s">
        <v>228</v>
      </c>
      <c r="F24" s="69">
        <f>+F16-F22</f>
        <v>0</v>
      </c>
      <c r="H24" s="42" t="s">
        <v>229</v>
      </c>
      <c r="I24" s="95" t="e">
        <f>F24/F16</f>
        <v>#DIV/0!</v>
      </c>
      <c r="J24" s="42" t="s">
        <v>230</v>
      </c>
    </row>
    <row r="25" spans="3:10">
      <c r="F25" s="69"/>
    </row>
    <row r="26" spans="3:10">
      <c r="F26" s="69"/>
    </row>
    <row r="27" spans="3:10">
      <c r="C27" s="42" t="s">
        <v>269</v>
      </c>
      <c r="F27" s="69"/>
    </row>
    <row r="28" spans="3:10" ht="30">
      <c r="C28" s="234" t="s">
        <v>234</v>
      </c>
      <c r="D28" s="235"/>
      <c r="E28" s="236" t="s">
        <v>270</v>
      </c>
      <c r="F28" s="236" t="s">
        <v>271</v>
      </c>
      <c r="G28" s="237" t="s">
        <v>237</v>
      </c>
    </row>
    <row r="29" spans="3:10">
      <c r="C29" t="s">
        <v>272</v>
      </c>
      <c r="E29" s="98"/>
      <c r="F29" s="98"/>
      <c r="G29" s="89">
        <f t="shared" ref="G29:G32" si="0">+E29-F29</f>
        <v>0</v>
      </c>
    </row>
    <row r="30" spans="3:10">
      <c r="C30" t="s">
        <v>273</v>
      </c>
      <c r="E30" s="98"/>
      <c r="F30" s="98"/>
      <c r="G30" s="89">
        <f t="shared" si="0"/>
        <v>0</v>
      </c>
    </row>
    <row r="31" spans="3:10">
      <c r="C31" t="s">
        <v>274</v>
      </c>
      <c r="E31" s="98"/>
      <c r="F31" s="98"/>
      <c r="G31" s="89">
        <f t="shared" si="0"/>
        <v>0</v>
      </c>
    </row>
    <row r="32" spans="3:10">
      <c r="C32" t="s">
        <v>275</v>
      </c>
      <c r="E32" s="98"/>
      <c r="F32" s="98"/>
      <c r="G32" s="89">
        <f t="shared" si="0"/>
        <v>0</v>
      </c>
    </row>
    <row r="33" spans="5:7" ht="15.75" thickBot="1">
      <c r="E33" s="141">
        <f>SUM(E29:E32)</f>
        <v>0</v>
      </c>
      <c r="F33" s="141">
        <f>SUM(F29:F32)</f>
        <v>0</v>
      </c>
      <c r="G33" s="141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4" ma:contentTypeDescription="Create a new document." ma:contentTypeScope="" ma:versionID="d27329a1f03c3dd727426200e866ccea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76b58b6d68131ba50f38cecff0d79b6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A9594E-F3E8-44E8-955A-E439110AB4AB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2024-02-06T00:09:56Z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