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LOTUS\JRW100\Warton No2 Super Fund\Audit\"/>
    </mc:Choice>
  </mc:AlternateContent>
  <xr:revisionPtr revIDLastSave="0" documentId="8_{8A2F8798-E53B-4C61-920E-C2B7E8EB279D}" xr6:coauthVersionLast="45" xr6:coauthVersionMax="45" xr10:uidLastSave="{00000000-0000-0000-0000-000000000000}"/>
  <bookViews>
    <workbookView xWindow="-60" yWindow="-60" windowWidth="24120" windowHeight="13020" activeTab="1" xr2:uid="{00000000-000D-0000-FFFF-FFFF00000000}"/>
  </bookViews>
  <sheets>
    <sheet name="members combined cum2021" sheetId="131" r:id="rId1"/>
    <sheet name="2021 WNO2SF FINANCIAL STATEMENT" sheetId="121" r:id="rId2"/>
    <sheet name="members combined cum from 2011" sheetId="11" r:id="rId3"/>
    <sheet name="2020DIVIDENDS UPDATE" sheetId="104" r:id="rId4"/>
    <sheet name="2020 shares at cost + drp " sheetId="103" r:id="rId5"/>
    <sheet name="JOHN R WARTON 2020" sheetId="111" r:id="rId6"/>
    <sheet name="Veronica Warton 2020" sheetId="114" r:id="rId7"/>
    <sheet name="James Warton 2020" sheetId="124" r:id="rId8"/>
    <sheet name="JH WARTON 2020" sheetId="125" r:id="rId9"/>
    <sheet name="DEFERRED TAX cum to 300619" sheetId="16" r:id="rId10"/>
    <sheet name="details of shares" sheetId="1" r:id="rId11"/>
    <sheet name="2019 share sales" sheetId="129" r:id="rId12"/>
    <sheet name="WNo2SF note 1 2020" sheetId="130" r:id="rId13"/>
    <sheet name="NOTE 1 continued" sheetId="19" r:id="rId14"/>
    <sheet name="2020WNO2SF Operating state " sheetId="120" r:id="rId15"/>
    <sheet name="2020note 2 3  " sheetId="116" r:id="rId16"/>
    <sheet name="2020 note 9 change in net m " sheetId="119" r:id="rId17"/>
    <sheet name="2020 note 4 to 8  " sheetId="118" r:id="rId18"/>
    <sheet name="2020 NOTE 10 11  " sheetId="122" r:id="rId19"/>
  </sheets>
  <externalReferences>
    <externalReference r:id="rId20"/>
  </externalReferences>
  <definedNames>
    <definedName name="_xlnm.Print_Area" localSheetId="1">'2021 WNO2SF FINANCIAL STATEMENT'!$A$1:$F$469</definedName>
    <definedName name="_xlnm.Print_Area" localSheetId="2">'members combined cum from 2011'!$172:$189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131" l="1"/>
  <c r="K37" i="131"/>
  <c r="D352" i="121"/>
  <c r="D359" i="121"/>
  <c r="D351" i="121"/>
  <c r="D350" i="121"/>
  <c r="D346" i="121"/>
  <c r="D340" i="121"/>
  <c r="L41" i="131"/>
  <c r="L42" i="131" l="1"/>
  <c r="I41" i="131"/>
  <c r="G41" i="131"/>
  <c r="E41" i="131"/>
  <c r="C41" i="131"/>
  <c r="K40" i="131"/>
  <c r="L39" i="131"/>
  <c r="K39" i="131"/>
  <c r="L38" i="131"/>
  <c r="K38" i="131"/>
  <c r="J38" i="131" s="1"/>
  <c r="J41" i="131" s="1"/>
  <c r="K33" i="131"/>
  <c r="L26" i="131"/>
  <c r="E25" i="131"/>
  <c r="C25" i="131"/>
  <c r="K24" i="131"/>
  <c r="Q23" i="131"/>
  <c r="L23" i="131"/>
  <c r="K23" i="131"/>
  <c r="L22" i="131"/>
  <c r="L25" i="131" s="1"/>
  <c r="K22" i="131"/>
  <c r="J22" i="131" s="1"/>
  <c r="J25" i="131" s="1"/>
  <c r="K17" i="131"/>
  <c r="F51" i="121"/>
  <c r="D51" i="121"/>
  <c r="G184" i="11"/>
  <c r="I184" i="11"/>
  <c r="D61" i="121"/>
  <c r="D40" i="121"/>
  <c r="D172" i="121"/>
  <c r="D185" i="121"/>
  <c r="D181" i="121"/>
  <c r="D193" i="121"/>
  <c r="D180" i="121" s="1"/>
  <c r="F180" i="121"/>
  <c r="F193" i="121" s="1"/>
  <c r="F195" i="121" s="1"/>
  <c r="F183" i="121"/>
  <c r="F201" i="121"/>
  <c r="I62" i="121"/>
  <c r="F208" i="121"/>
  <c r="D201" i="121"/>
  <c r="D186" i="121"/>
  <c r="J468" i="121"/>
  <c r="F464" i="121"/>
  <c r="I465" i="121" s="1"/>
  <c r="G448" i="121"/>
  <c r="G464" i="121" s="1"/>
  <c r="G466" i="121" s="1"/>
  <c r="D146" i="121"/>
  <c r="I159" i="121"/>
  <c r="K146" i="121"/>
  <c r="I139" i="121"/>
  <c r="N115" i="121"/>
  <c r="N110" i="121"/>
  <c r="N87" i="121"/>
  <c r="N83" i="121"/>
  <c r="K136" i="121"/>
  <c r="K131" i="121"/>
  <c r="K116" i="121"/>
  <c r="K115" i="121"/>
  <c r="K111" i="121"/>
  <c r="K110" i="121"/>
  <c r="K103" i="121"/>
  <c r="K96" i="121"/>
  <c r="K93" i="121"/>
  <c r="K88" i="121"/>
  <c r="K87" i="121"/>
  <c r="K83" i="121"/>
  <c r="K82" i="121"/>
  <c r="K41" i="131" l="1"/>
  <c r="H38" i="131"/>
  <c r="H41" i="131" s="1"/>
  <c r="I25" i="131"/>
  <c r="D41" i="131"/>
  <c r="F41" i="131"/>
  <c r="I18" i="131"/>
  <c r="H22" i="131"/>
  <c r="H25" i="131" s="1"/>
  <c r="G25" i="131" s="1"/>
  <c r="I459" i="121"/>
  <c r="J459" i="121" s="1"/>
  <c r="I451" i="121"/>
  <c r="J451" i="121" s="1"/>
  <c r="I458" i="121"/>
  <c r="J458" i="121" s="1"/>
  <c r="I450" i="121"/>
  <c r="J450" i="121" s="1"/>
  <c r="I454" i="121"/>
  <c r="J454" i="121" s="1"/>
  <c r="I457" i="121"/>
  <c r="J457" i="121" s="1"/>
  <c r="I449" i="121"/>
  <c r="J449" i="121" s="1"/>
  <c r="I462" i="121"/>
  <c r="J462" i="121" s="1"/>
  <c r="I453" i="121"/>
  <c r="J453" i="121" s="1"/>
  <c r="I460" i="121"/>
  <c r="J460" i="121" s="1"/>
  <c r="I456" i="121"/>
  <c r="J456" i="121" s="1"/>
  <c r="I448" i="121"/>
  <c r="I455" i="121"/>
  <c r="J455" i="121" s="1"/>
  <c r="I461" i="121"/>
  <c r="J461" i="121" s="1"/>
  <c r="I452" i="121"/>
  <c r="J452" i="121" s="1"/>
  <c r="G428" i="121"/>
  <c r="G419" i="121"/>
  <c r="F415" i="121"/>
  <c r="F416" i="121"/>
  <c r="F417" i="121"/>
  <c r="D417" i="121"/>
  <c r="F424" i="121"/>
  <c r="F426" i="121"/>
  <c r="D426" i="121"/>
  <c r="F425" i="121"/>
  <c r="F91" i="121"/>
  <c r="F92" i="121"/>
  <c r="F10" i="121"/>
  <c r="F11" i="121"/>
  <c r="F359" i="121"/>
  <c r="F360" i="121" s="1"/>
  <c r="F278" i="121"/>
  <c r="F283" i="121" s="1"/>
  <c r="F39" i="121" s="1"/>
  <c r="F46" i="121" s="1"/>
  <c r="F63" i="121"/>
  <c r="F174" i="121"/>
  <c r="D143" i="121"/>
  <c r="D99" i="121"/>
  <c r="O116" i="121"/>
  <c r="D116" i="121"/>
  <c r="D114" i="121"/>
  <c r="D115" i="121"/>
  <c r="D102" i="121"/>
  <c r="D103" i="121"/>
  <c r="D79" i="121"/>
  <c r="D80" i="121"/>
  <c r="L81" i="121"/>
  <c r="D81" i="121" s="1"/>
  <c r="D82" i="121"/>
  <c r="D83" i="121"/>
  <c r="D84" i="121"/>
  <c r="D85" i="121"/>
  <c r="D86" i="121"/>
  <c r="D87" i="121"/>
  <c r="D88" i="121"/>
  <c r="D89" i="121"/>
  <c r="D90" i="121"/>
  <c r="D91" i="121"/>
  <c r="D92" i="121"/>
  <c r="D93" i="121"/>
  <c r="D94" i="121"/>
  <c r="D95" i="121"/>
  <c r="D96" i="121"/>
  <c r="D97" i="121"/>
  <c r="D98" i="121"/>
  <c r="D100" i="121"/>
  <c r="D101" i="121"/>
  <c r="D104" i="121"/>
  <c r="D105" i="121"/>
  <c r="D106" i="121"/>
  <c r="D107" i="121"/>
  <c r="D108" i="121"/>
  <c r="D109" i="121"/>
  <c r="D110" i="121"/>
  <c r="D111" i="121"/>
  <c r="D112" i="121"/>
  <c r="D113" i="121"/>
  <c r="D117" i="121"/>
  <c r="D118" i="121"/>
  <c r="D119" i="121"/>
  <c r="D130" i="121"/>
  <c r="D131" i="121"/>
  <c r="D132" i="121"/>
  <c r="D133" i="121"/>
  <c r="D134" i="121"/>
  <c r="D135" i="121"/>
  <c r="D136" i="121"/>
  <c r="D137" i="121"/>
  <c r="D138" i="121"/>
  <c r="J135" i="121"/>
  <c r="J109" i="121"/>
  <c r="G105" i="121"/>
  <c r="J92" i="121"/>
  <c r="J86" i="121"/>
  <c r="J81" i="121"/>
  <c r="D63" i="121"/>
  <c r="K176" i="11"/>
  <c r="K181" i="11"/>
  <c r="H181" i="11" s="1"/>
  <c r="H184" i="11" s="1"/>
  <c r="K182" i="11"/>
  <c r="K183" i="11"/>
  <c r="C184" i="11"/>
  <c r="E184" i="11"/>
  <c r="L181" i="11"/>
  <c r="L184" i="11" s="1"/>
  <c r="L185" i="11"/>
  <c r="L182" i="11"/>
  <c r="F308" i="121"/>
  <c r="F320" i="121"/>
  <c r="F322" i="121" s="1"/>
  <c r="F324" i="121" s="1"/>
  <c r="F316" i="121"/>
  <c r="F297" i="121"/>
  <c r="C17" i="111"/>
  <c r="D278" i="121"/>
  <c r="D283" i="121" s="1"/>
  <c r="D39" i="121" s="1"/>
  <c r="D297" i="121"/>
  <c r="D44" i="121" s="1"/>
  <c r="F147" i="121"/>
  <c r="D141" i="121" s="1"/>
  <c r="F304" i="121"/>
  <c r="D307" i="121" s="1"/>
  <c r="D320" i="121"/>
  <c r="D322" i="121" s="1"/>
  <c r="F312" i="121"/>
  <c r="D315" i="121" s="1"/>
  <c r="F366" i="121"/>
  <c r="D364" i="121" s="1"/>
  <c r="N38" i="104"/>
  <c r="O5" i="104"/>
  <c r="O4" i="104"/>
  <c r="L165" i="11"/>
  <c r="L168" i="11" s="1"/>
  <c r="K165" i="11"/>
  <c r="H165" i="11"/>
  <c r="H168" i="11" s="1"/>
  <c r="J165" i="11"/>
  <c r="J168" i="11" s="1"/>
  <c r="Q166" i="11"/>
  <c r="I150" i="11"/>
  <c r="I153" i="11" s="1"/>
  <c r="I159" i="11" s="1"/>
  <c r="I161" i="11" s="1"/>
  <c r="C150" i="11"/>
  <c r="E150" i="11"/>
  <c r="E153" i="11" s="1"/>
  <c r="E159" i="11" s="1"/>
  <c r="G153" i="11"/>
  <c r="G159" i="11" s="1"/>
  <c r="K160" i="11"/>
  <c r="F341" i="121"/>
  <c r="F353" i="121"/>
  <c r="D220" i="121"/>
  <c r="D15" i="121" s="1"/>
  <c r="F220" i="121"/>
  <c r="F15" i="121" s="1"/>
  <c r="D228" i="121"/>
  <c r="D16" i="121" s="1"/>
  <c r="F228" i="121"/>
  <c r="F16" i="121" s="1"/>
  <c r="F237" i="121"/>
  <c r="D233" i="121" s="1"/>
  <c r="U25" i="104"/>
  <c r="N24" i="104"/>
  <c r="M24" i="104"/>
  <c r="G38" i="104"/>
  <c r="O38" i="104" s="1"/>
  <c r="E23" i="104"/>
  <c r="E63" i="104"/>
  <c r="E64" i="104"/>
  <c r="Q3" i="104"/>
  <c r="O15" i="103"/>
  <c r="V42" i="103"/>
  <c r="P39" i="103"/>
  <c r="J39" i="103"/>
  <c r="I39" i="103"/>
  <c r="O36" i="104"/>
  <c r="N36" i="104"/>
  <c r="M36" i="104"/>
  <c r="O21" i="104"/>
  <c r="N21" i="104"/>
  <c r="M21" i="104"/>
  <c r="T21" i="104" s="1"/>
  <c r="U21" i="104" s="1"/>
  <c r="C26" i="104"/>
  <c r="M26" i="104" s="1"/>
  <c r="D10" i="121"/>
  <c r="E30" i="124"/>
  <c r="E13" i="124"/>
  <c r="E13" i="114"/>
  <c r="E12" i="111"/>
  <c r="K152" i="11"/>
  <c r="L169" i="11"/>
  <c r="E168" i="11"/>
  <c r="C168" i="11"/>
  <c r="K167" i="11"/>
  <c r="L166" i="11"/>
  <c r="E33" i="104"/>
  <c r="N33" i="104" s="1"/>
  <c r="C33" i="104"/>
  <c r="D19" i="104"/>
  <c r="O20" i="104"/>
  <c r="N20" i="104"/>
  <c r="M20" i="104"/>
  <c r="K166" i="11"/>
  <c r="T20" i="104"/>
  <c r="U20" i="104" s="1"/>
  <c r="P41" i="103"/>
  <c r="S39" i="103"/>
  <c r="S40" i="103"/>
  <c r="M39" i="103"/>
  <c r="M40" i="103" s="1"/>
  <c r="J40" i="103"/>
  <c r="G39" i="103"/>
  <c r="G40" i="103"/>
  <c r="L62" i="104"/>
  <c r="K61" i="104"/>
  <c r="M61" i="104" s="1"/>
  <c r="E61" i="104"/>
  <c r="K60" i="104"/>
  <c r="M60" i="104" s="1"/>
  <c r="N60" i="104" s="1"/>
  <c r="K59" i="104"/>
  <c r="M59" i="104" s="1"/>
  <c r="S58" i="104"/>
  <c r="K58" i="104"/>
  <c r="M58" i="104" s="1"/>
  <c r="K57" i="104"/>
  <c r="W55" i="104"/>
  <c r="U55" i="104"/>
  <c r="O54" i="104"/>
  <c r="N54" i="104"/>
  <c r="M54" i="104"/>
  <c r="S48" i="104"/>
  <c r="R48" i="104"/>
  <c r="P48" i="104"/>
  <c r="L48" i="104"/>
  <c r="K48" i="104"/>
  <c r="J48" i="104"/>
  <c r="I48" i="104"/>
  <c r="H48" i="104"/>
  <c r="G48" i="104"/>
  <c r="C48" i="104"/>
  <c r="O47" i="104"/>
  <c r="N47" i="104"/>
  <c r="M47" i="104"/>
  <c r="T47" i="104" s="1"/>
  <c r="O46" i="104"/>
  <c r="N46" i="104"/>
  <c r="M46" i="104"/>
  <c r="T46" i="104" s="1"/>
  <c r="O45" i="104"/>
  <c r="N45" i="104"/>
  <c r="M45" i="104"/>
  <c r="T45" i="104" s="1"/>
  <c r="O44" i="104"/>
  <c r="N44" i="104"/>
  <c r="M44" i="104"/>
  <c r="O43" i="104"/>
  <c r="N43" i="104"/>
  <c r="M43" i="104"/>
  <c r="O42" i="104"/>
  <c r="N42" i="104"/>
  <c r="M42" i="104"/>
  <c r="O41" i="104"/>
  <c r="N41" i="104"/>
  <c r="M41" i="104"/>
  <c r="T41" i="104" s="1"/>
  <c r="U41" i="104" s="1"/>
  <c r="O40" i="104"/>
  <c r="N40" i="104"/>
  <c r="M40" i="104"/>
  <c r="O39" i="104"/>
  <c r="N39" i="104"/>
  <c r="M39" i="104"/>
  <c r="T39" i="104" s="1"/>
  <c r="U39" i="104" s="1"/>
  <c r="M38" i="104"/>
  <c r="N37" i="104"/>
  <c r="M37" i="104"/>
  <c r="T37" i="104"/>
  <c r="U37" i="104" s="1"/>
  <c r="V37" i="104" s="1"/>
  <c r="O35" i="104"/>
  <c r="N35" i="104"/>
  <c r="M35" i="104"/>
  <c r="O34" i="104"/>
  <c r="N34" i="104"/>
  <c r="M34" i="104"/>
  <c r="O33" i="104"/>
  <c r="M33" i="104"/>
  <c r="F48" i="104"/>
  <c r="N32" i="104"/>
  <c r="O31" i="104"/>
  <c r="N31" i="104"/>
  <c r="M31" i="104"/>
  <c r="O30" i="104"/>
  <c r="N30" i="104"/>
  <c r="M30" i="104"/>
  <c r="O29" i="104"/>
  <c r="N29" i="104"/>
  <c r="M29" i="104"/>
  <c r="T29" i="104" s="1"/>
  <c r="O28" i="104"/>
  <c r="N28" i="104"/>
  <c r="M28" i="104"/>
  <c r="T28" i="104" s="1"/>
  <c r="O27" i="104"/>
  <c r="N27" i="104"/>
  <c r="M27" i="104"/>
  <c r="T27" i="104" s="1"/>
  <c r="U27" i="104" s="1"/>
  <c r="V27" i="104" s="1"/>
  <c r="O26" i="104"/>
  <c r="N26" i="104"/>
  <c r="O24" i="104"/>
  <c r="T24" i="104" s="1"/>
  <c r="O23" i="104"/>
  <c r="M23" i="104"/>
  <c r="T23" i="104" s="1"/>
  <c r="O22" i="104"/>
  <c r="N22" i="104"/>
  <c r="M22" i="104"/>
  <c r="T22" i="104" s="1"/>
  <c r="U22" i="104" s="1"/>
  <c r="V22" i="104" s="1"/>
  <c r="N19" i="104"/>
  <c r="M19" i="104"/>
  <c r="O18" i="104"/>
  <c r="N18" i="104"/>
  <c r="M18" i="104"/>
  <c r="O17" i="104"/>
  <c r="N17" i="104"/>
  <c r="M17" i="104"/>
  <c r="O16" i="104"/>
  <c r="N16" i="104"/>
  <c r="M16" i="104"/>
  <c r="O15" i="104"/>
  <c r="N15" i="104"/>
  <c r="M15" i="104"/>
  <c r="O14" i="104"/>
  <c r="N14" i="104"/>
  <c r="M14" i="104"/>
  <c r="T14" i="104" s="1"/>
  <c r="W14" i="104" s="1"/>
  <c r="O13" i="104"/>
  <c r="N13" i="104"/>
  <c r="M13" i="104"/>
  <c r="O12" i="104"/>
  <c r="N12" i="104"/>
  <c r="M12" i="104"/>
  <c r="T12" i="104" s="1"/>
  <c r="O11" i="104"/>
  <c r="N11" i="104"/>
  <c r="M11" i="104"/>
  <c r="O10" i="104"/>
  <c r="N10" i="104"/>
  <c r="M10" i="104"/>
  <c r="T54" i="104"/>
  <c r="T40" i="104"/>
  <c r="U40" i="104" s="1"/>
  <c r="T33" i="104"/>
  <c r="W33" i="104" s="1"/>
  <c r="M57" i="104"/>
  <c r="O57" i="104" s="1"/>
  <c r="T17" i="104"/>
  <c r="U17" i="104" s="1"/>
  <c r="T35" i="104"/>
  <c r="T13" i="104"/>
  <c r="U13" i="104" s="1"/>
  <c r="V13" i="104" s="1"/>
  <c r="P40" i="103"/>
  <c r="T30" i="104"/>
  <c r="U30" i="104" s="1"/>
  <c r="V30" i="104" s="1"/>
  <c r="T15" i="104"/>
  <c r="U15" i="104" s="1"/>
  <c r="T18" i="104"/>
  <c r="U18" i="104" s="1"/>
  <c r="V18" i="104" s="1"/>
  <c r="T16" i="104"/>
  <c r="U16" i="104" s="1"/>
  <c r="V16" i="104" s="1"/>
  <c r="T44" i="104"/>
  <c r="W37" i="104"/>
  <c r="N58" i="104"/>
  <c r="V17" i="104"/>
  <c r="W15" i="104"/>
  <c r="W27" i="104"/>
  <c r="W18" i="104"/>
  <c r="W22" i="104"/>
  <c r="V15" i="104"/>
  <c r="O81" i="104"/>
  <c r="N81" i="104"/>
  <c r="M81" i="104"/>
  <c r="U112" i="104"/>
  <c r="O101" i="104"/>
  <c r="N101" i="104"/>
  <c r="M101" i="104"/>
  <c r="O100" i="104"/>
  <c r="N100" i="104"/>
  <c r="M100" i="104"/>
  <c r="T100" i="104" s="1"/>
  <c r="O99" i="104"/>
  <c r="N99" i="104"/>
  <c r="M99" i="104"/>
  <c r="T81" i="104"/>
  <c r="I29" i="129"/>
  <c r="K29" i="129"/>
  <c r="E29" i="129"/>
  <c r="H27" i="129"/>
  <c r="F27" i="129"/>
  <c r="D27" i="129"/>
  <c r="J26" i="129"/>
  <c r="K26" i="129" s="1"/>
  <c r="J25" i="129"/>
  <c r="K25" i="129" s="1"/>
  <c r="J24" i="129"/>
  <c r="J20" i="129"/>
  <c r="K20" i="129" s="1"/>
  <c r="J19" i="129"/>
  <c r="K19" i="129"/>
  <c r="J18" i="129"/>
  <c r="K18" i="129"/>
  <c r="J17" i="129"/>
  <c r="K17" i="129"/>
  <c r="J16" i="129"/>
  <c r="K16" i="129" s="1"/>
  <c r="J15" i="129"/>
  <c r="K15" i="129" s="1"/>
  <c r="J14" i="129"/>
  <c r="K14" i="129"/>
  <c r="F21" i="129"/>
  <c r="D21" i="129"/>
  <c r="E8" i="129"/>
  <c r="K6" i="129"/>
  <c r="I6" i="129"/>
  <c r="E6" i="129"/>
  <c r="E26" i="129"/>
  <c r="E25" i="129"/>
  <c r="K24" i="129"/>
  <c r="E24" i="129"/>
  <c r="E20" i="129"/>
  <c r="E19" i="129"/>
  <c r="E18" i="129"/>
  <c r="E17" i="129"/>
  <c r="E16" i="129"/>
  <c r="E15" i="129"/>
  <c r="E14" i="129"/>
  <c r="K12" i="129"/>
  <c r="I12" i="129"/>
  <c r="E12" i="129"/>
  <c r="K10" i="129"/>
  <c r="I10" i="129"/>
  <c r="E10" i="129"/>
  <c r="K8" i="129"/>
  <c r="I8" i="129"/>
  <c r="K4" i="129"/>
  <c r="I4" i="129"/>
  <c r="E4" i="129"/>
  <c r="L151" i="11"/>
  <c r="K149" i="11"/>
  <c r="L147" i="11"/>
  <c r="K147" i="11"/>
  <c r="K143" i="11"/>
  <c r="H143" i="11" s="1"/>
  <c r="H144" i="11" s="1"/>
  <c r="L148" i="11"/>
  <c r="F143" i="11"/>
  <c r="K148" i="11"/>
  <c r="L143" i="11"/>
  <c r="E17" i="16"/>
  <c r="E21" i="16" s="1"/>
  <c r="E8" i="16"/>
  <c r="E12" i="16" s="1"/>
  <c r="O95" i="104"/>
  <c r="N95" i="104"/>
  <c r="M95" i="104"/>
  <c r="T95" i="104" s="1"/>
  <c r="L146" i="11"/>
  <c r="H93" i="104"/>
  <c r="F93" i="104"/>
  <c r="F108" i="104" s="1"/>
  <c r="M2" i="103"/>
  <c r="V58" i="103"/>
  <c r="D15" i="103" s="1"/>
  <c r="V15" i="103" s="1"/>
  <c r="U58" i="103"/>
  <c r="C15" i="103" s="1"/>
  <c r="U15" i="103" s="1"/>
  <c r="X15" i="103"/>
  <c r="Z15" i="103" s="1"/>
  <c r="X58" i="103"/>
  <c r="Z58" i="103" s="1"/>
  <c r="AA58" i="103" s="1"/>
  <c r="W58" i="103"/>
  <c r="P2" i="103"/>
  <c r="M1" i="103"/>
  <c r="P53" i="103"/>
  <c r="V53" i="103" s="1"/>
  <c r="U53" i="103"/>
  <c r="C13" i="103" s="1"/>
  <c r="U13" i="103" s="1"/>
  <c r="X13" i="103" s="1"/>
  <c r="Z13" i="103" s="1"/>
  <c r="V61" i="103"/>
  <c r="W61" i="103" s="1"/>
  <c r="U61" i="103"/>
  <c r="C17" i="103"/>
  <c r="U17" i="103" s="1"/>
  <c r="X17" i="103" s="1"/>
  <c r="Z17" i="103" s="1"/>
  <c r="V60" i="103"/>
  <c r="U60" i="103"/>
  <c r="C16" i="103" s="1"/>
  <c r="U16" i="103" s="1"/>
  <c r="X16" i="103" s="1"/>
  <c r="Z16" i="103" s="1"/>
  <c r="V74" i="103"/>
  <c r="D29" i="103" s="1"/>
  <c r="V29" i="103"/>
  <c r="AB29" i="103" s="1"/>
  <c r="AD29" i="103" s="1"/>
  <c r="U74" i="103"/>
  <c r="C29" i="103"/>
  <c r="U29" i="103" s="1"/>
  <c r="X29" i="103" s="1"/>
  <c r="Z29" i="103" s="1"/>
  <c r="O77" i="103"/>
  <c r="L64" i="103"/>
  <c r="P86" i="103"/>
  <c r="S84" i="103"/>
  <c r="S85" i="103"/>
  <c r="M84" i="103"/>
  <c r="M85" i="103" s="1"/>
  <c r="J84" i="103"/>
  <c r="J85" i="103" s="1"/>
  <c r="G84" i="103"/>
  <c r="G85" i="103" s="1"/>
  <c r="X53" i="103"/>
  <c r="Z53" i="103" s="1"/>
  <c r="AA53" i="103" s="1"/>
  <c r="AB53" i="103" s="1"/>
  <c r="AD53" i="103" s="1"/>
  <c r="X74" i="103"/>
  <c r="Z74" i="103" s="1"/>
  <c r="AA74" i="103" s="1"/>
  <c r="X60" i="103"/>
  <c r="Z60" i="103" s="1"/>
  <c r="AA60" i="103" s="1"/>
  <c r="AB60" i="103" s="1"/>
  <c r="AD60" i="103" s="1"/>
  <c r="X61" i="103"/>
  <c r="Z61" i="103"/>
  <c r="AA61" i="103" s="1"/>
  <c r="AB61" i="103" s="1"/>
  <c r="AD61" i="103" s="1"/>
  <c r="P81" i="103"/>
  <c r="O80" i="104"/>
  <c r="N80" i="104"/>
  <c r="M80" i="104"/>
  <c r="T80" i="104" s="1"/>
  <c r="U80" i="104" s="1"/>
  <c r="L119" i="104"/>
  <c r="K118" i="104"/>
  <c r="E118" i="104"/>
  <c r="K117" i="104"/>
  <c r="M117" i="104" s="1"/>
  <c r="N117" i="104"/>
  <c r="K116" i="104"/>
  <c r="M116" i="104"/>
  <c r="N116" i="104" s="1"/>
  <c r="S115" i="104"/>
  <c r="K115" i="104"/>
  <c r="M115" i="104" s="1"/>
  <c r="O115" i="104" s="1"/>
  <c r="K114" i="104"/>
  <c r="M114" i="104" s="1"/>
  <c r="W112" i="104"/>
  <c r="O111" i="104"/>
  <c r="N111" i="104"/>
  <c r="M111" i="104"/>
  <c r="T111" i="104" s="1"/>
  <c r="S108" i="104"/>
  <c r="R108" i="104"/>
  <c r="P108" i="104"/>
  <c r="O109" i="104" s="1"/>
  <c r="L108" i="104"/>
  <c r="K108" i="104"/>
  <c r="J108" i="104"/>
  <c r="I108" i="104"/>
  <c r="H108" i="104"/>
  <c r="D108" i="104"/>
  <c r="C108" i="104"/>
  <c r="O107" i="104"/>
  <c r="N107" i="104"/>
  <c r="M107" i="104"/>
  <c r="T107" i="104" s="1"/>
  <c r="O106" i="104"/>
  <c r="N106" i="104"/>
  <c r="M106" i="104"/>
  <c r="O105" i="104"/>
  <c r="N105" i="104"/>
  <c r="M105" i="104"/>
  <c r="O104" i="104"/>
  <c r="N104" i="104"/>
  <c r="M104" i="104"/>
  <c r="T104" i="104" s="1"/>
  <c r="O103" i="104"/>
  <c r="N103" i="104"/>
  <c r="M103" i="104"/>
  <c r="O102" i="104"/>
  <c r="N102" i="104"/>
  <c r="M102" i="104"/>
  <c r="T102" i="104" s="1"/>
  <c r="O98" i="104"/>
  <c r="N98" i="104"/>
  <c r="M98" i="104"/>
  <c r="G108" i="104"/>
  <c r="N97" i="104"/>
  <c r="M97" i="104"/>
  <c r="T97" i="104" s="1"/>
  <c r="U97" i="104" s="1"/>
  <c r="V97" i="104" s="1"/>
  <c r="O96" i="104"/>
  <c r="N96" i="104"/>
  <c r="M96" i="104"/>
  <c r="O94" i="104"/>
  <c r="N94" i="104"/>
  <c r="M94" i="104"/>
  <c r="T94" i="104" s="1"/>
  <c r="U94" i="104" s="1"/>
  <c r="V94" i="104" s="1"/>
  <c r="O93" i="104"/>
  <c r="N93" i="104"/>
  <c r="N92" i="104"/>
  <c r="O91" i="104"/>
  <c r="N91" i="104"/>
  <c r="M91" i="104"/>
  <c r="O90" i="104"/>
  <c r="N90" i="104"/>
  <c r="M90" i="104"/>
  <c r="O89" i="104"/>
  <c r="N89" i="104"/>
  <c r="M89" i="104"/>
  <c r="O88" i="104"/>
  <c r="N88" i="104"/>
  <c r="M88" i="104"/>
  <c r="O87" i="104"/>
  <c r="M87" i="104"/>
  <c r="N87" i="104"/>
  <c r="O86" i="104"/>
  <c r="N86" i="104"/>
  <c r="M86" i="104"/>
  <c r="O84" i="104"/>
  <c r="M84" i="104"/>
  <c r="N84" i="104"/>
  <c r="O83" i="104"/>
  <c r="N83" i="104"/>
  <c r="M83" i="104"/>
  <c r="O82" i="104"/>
  <c r="N82" i="104"/>
  <c r="M82" i="104"/>
  <c r="T82" i="104" s="1"/>
  <c r="O79" i="104"/>
  <c r="M79" i="104"/>
  <c r="T79" i="104" s="1"/>
  <c r="N79" i="104"/>
  <c r="O78" i="104"/>
  <c r="N78" i="104"/>
  <c r="M78" i="104"/>
  <c r="O77" i="104"/>
  <c r="N77" i="104"/>
  <c r="M77" i="104"/>
  <c r="O76" i="104"/>
  <c r="N76" i="104"/>
  <c r="M76" i="104"/>
  <c r="T76" i="104" s="1"/>
  <c r="U76" i="104" s="1"/>
  <c r="V76" i="104" s="1"/>
  <c r="O75" i="104"/>
  <c r="N75" i="104"/>
  <c r="M75" i="104"/>
  <c r="O74" i="104"/>
  <c r="N74" i="104"/>
  <c r="M74" i="104"/>
  <c r="T74" i="104" s="1"/>
  <c r="O73" i="104"/>
  <c r="N73" i="104"/>
  <c r="M73" i="104"/>
  <c r="O72" i="104"/>
  <c r="T72" i="104" s="1"/>
  <c r="M72" i="104"/>
  <c r="N72" i="104"/>
  <c r="O70" i="104"/>
  <c r="N70" i="104"/>
  <c r="M70" i="104"/>
  <c r="T70" i="104" s="1"/>
  <c r="O69" i="104"/>
  <c r="O108" i="104" s="1"/>
  <c r="N69" i="104"/>
  <c r="M69" i="104"/>
  <c r="T69" i="104" s="1"/>
  <c r="O68" i="104"/>
  <c r="N68" i="104"/>
  <c r="M68" i="104"/>
  <c r="Q34" i="16"/>
  <c r="T91" i="104"/>
  <c r="W91" i="104" s="1"/>
  <c r="T90" i="104"/>
  <c r="W90" i="104" s="1"/>
  <c r="T83" i="104"/>
  <c r="T106" i="104"/>
  <c r="W106" i="104" s="1"/>
  <c r="T75" i="104"/>
  <c r="W75" i="104" s="1"/>
  <c r="T87" i="104"/>
  <c r="U87" i="104" s="1"/>
  <c r="V87" i="104" s="1"/>
  <c r="T105" i="104"/>
  <c r="U105" i="104" s="1"/>
  <c r="V105" i="104"/>
  <c r="T77" i="104"/>
  <c r="U77" i="104" s="1"/>
  <c r="V77" i="104" s="1"/>
  <c r="T86" i="104"/>
  <c r="T88" i="104"/>
  <c r="U88" i="104" s="1"/>
  <c r="V88" i="104" s="1"/>
  <c r="T96" i="104"/>
  <c r="T73" i="104"/>
  <c r="U73" i="104" s="1"/>
  <c r="V73" i="104" s="1"/>
  <c r="W97" i="104"/>
  <c r="E108" i="104"/>
  <c r="P116" i="104"/>
  <c r="M118" i="104"/>
  <c r="O118" i="104" s="1"/>
  <c r="E40" i="125"/>
  <c r="C36" i="125"/>
  <c r="C31" i="125"/>
  <c r="E24" i="125"/>
  <c r="C32" i="124"/>
  <c r="E42" i="124"/>
  <c r="I129" i="11"/>
  <c r="W77" i="104"/>
  <c r="U90" i="104"/>
  <c r="V90" i="104" s="1"/>
  <c r="W76" i="104"/>
  <c r="W105" i="104"/>
  <c r="L130" i="11"/>
  <c r="K130" i="11"/>
  <c r="E129" i="11"/>
  <c r="K129" i="11" s="1"/>
  <c r="C129" i="11"/>
  <c r="C38" i="124"/>
  <c r="K128" i="11"/>
  <c r="I127" i="11"/>
  <c r="K127" i="11" s="1"/>
  <c r="L126" i="11"/>
  <c r="K126" i="11"/>
  <c r="R157" i="104"/>
  <c r="L157" i="104"/>
  <c r="K157" i="104"/>
  <c r="J157" i="104"/>
  <c r="I157" i="104"/>
  <c r="D157" i="104"/>
  <c r="W161" i="104"/>
  <c r="O62" i="119"/>
  <c r="M62" i="119"/>
  <c r="U128" i="104"/>
  <c r="E167" i="104"/>
  <c r="L168" i="104"/>
  <c r="K167" i="104"/>
  <c r="M167" i="104" s="1"/>
  <c r="F143" i="104"/>
  <c r="C143" i="104"/>
  <c r="O147" i="104"/>
  <c r="N147" i="104"/>
  <c r="C147" i="104"/>
  <c r="H140" i="104"/>
  <c r="H5" i="104"/>
  <c r="E138" i="104" s="1"/>
  <c r="H135" i="104"/>
  <c r="N135" i="104" s="1"/>
  <c r="S137" i="104"/>
  <c r="S157" i="104"/>
  <c r="G150" i="104"/>
  <c r="G157" i="104"/>
  <c r="X127" i="103"/>
  <c r="X126" i="103"/>
  <c r="V113" i="103"/>
  <c r="U113" i="103"/>
  <c r="X113" i="103" s="1"/>
  <c r="Z113" i="103" s="1"/>
  <c r="AA113" i="103" s="1"/>
  <c r="AB113" i="103" s="1"/>
  <c r="AD113" i="103" s="1"/>
  <c r="O140" i="104"/>
  <c r="N140" i="104"/>
  <c r="M140" i="104"/>
  <c r="P137" i="104"/>
  <c r="P157" i="104" s="1"/>
  <c r="O134" i="104"/>
  <c r="N134" i="104"/>
  <c r="M134" i="104"/>
  <c r="T134" i="104" s="1"/>
  <c r="U134" i="104" s="1"/>
  <c r="V134" i="104" s="1"/>
  <c r="V128" i="104"/>
  <c r="O129" i="104"/>
  <c r="N129" i="104"/>
  <c r="M129" i="104"/>
  <c r="T129" i="104"/>
  <c r="U129" i="104" s="1"/>
  <c r="V129" i="104" s="1"/>
  <c r="K163" i="104"/>
  <c r="K164" i="104"/>
  <c r="M164" i="104" s="1"/>
  <c r="K165" i="104"/>
  <c r="M165" i="104" s="1"/>
  <c r="O125" i="104"/>
  <c r="N125" i="104"/>
  <c r="M125" i="104"/>
  <c r="K166" i="104"/>
  <c r="M166" i="104" s="1"/>
  <c r="P166" i="104" s="1"/>
  <c r="S164" i="104"/>
  <c r="O160" i="104"/>
  <c r="N160" i="104"/>
  <c r="M160" i="104"/>
  <c r="O156" i="104"/>
  <c r="N156" i="104"/>
  <c r="M156" i="104"/>
  <c r="O155" i="104"/>
  <c r="N155" i="104"/>
  <c r="M155" i="104"/>
  <c r="O154" i="104"/>
  <c r="N154" i="104"/>
  <c r="M154" i="104"/>
  <c r="T154" i="104" s="1"/>
  <c r="O153" i="104"/>
  <c r="N153" i="104"/>
  <c r="M153" i="104"/>
  <c r="T153" i="104" s="1"/>
  <c r="O152" i="104"/>
  <c r="N152" i="104"/>
  <c r="M152" i="104"/>
  <c r="O151" i="104"/>
  <c r="N151" i="104"/>
  <c r="M151" i="104"/>
  <c r="T151" i="104" s="1"/>
  <c r="O150" i="104"/>
  <c r="N150" i="104"/>
  <c r="M150" i="104"/>
  <c r="N149" i="104"/>
  <c r="M149" i="104"/>
  <c r="T149" i="104" s="1"/>
  <c r="U149" i="104" s="1"/>
  <c r="V149" i="104" s="1"/>
  <c r="O148" i="104"/>
  <c r="N148" i="104"/>
  <c r="M148" i="104"/>
  <c r="T148" i="104" s="1"/>
  <c r="W148" i="104" s="1"/>
  <c r="O146" i="104"/>
  <c r="N146" i="104"/>
  <c r="M146" i="104"/>
  <c r="N145" i="104"/>
  <c r="O144" i="104"/>
  <c r="N144" i="104"/>
  <c r="M144" i="104"/>
  <c r="T144" i="104" s="1"/>
  <c r="O143" i="104"/>
  <c r="N143" i="104"/>
  <c r="O142" i="104"/>
  <c r="N142" i="104"/>
  <c r="M142" i="104"/>
  <c r="O141" i="104"/>
  <c r="N141" i="104"/>
  <c r="M141" i="104"/>
  <c r="O139" i="104"/>
  <c r="N139" i="104"/>
  <c r="M139" i="104"/>
  <c r="O138" i="104"/>
  <c r="M138" i="104"/>
  <c r="O137" i="104"/>
  <c r="N137" i="104"/>
  <c r="M137" i="104"/>
  <c r="O136" i="104"/>
  <c r="N136" i="104"/>
  <c r="M136" i="104"/>
  <c r="O135" i="104"/>
  <c r="M135" i="104"/>
  <c r="T135" i="104" s="1"/>
  <c r="O133" i="104"/>
  <c r="N133" i="104"/>
  <c r="M133" i="104"/>
  <c r="O132" i="104"/>
  <c r="N132" i="104"/>
  <c r="M132" i="104"/>
  <c r="T132" i="104" s="1"/>
  <c r="O131" i="104"/>
  <c r="N131" i="104"/>
  <c r="M131" i="104"/>
  <c r="O130" i="104"/>
  <c r="N130" i="104"/>
  <c r="M130" i="104"/>
  <c r="O128" i="104"/>
  <c r="M128" i="104"/>
  <c r="O127" i="104"/>
  <c r="N127" i="104"/>
  <c r="M127" i="104"/>
  <c r="T127" i="104" s="1"/>
  <c r="O126" i="104"/>
  <c r="N126" i="104"/>
  <c r="M126" i="104"/>
  <c r="W149" i="104"/>
  <c r="T126" i="104"/>
  <c r="T138" i="104"/>
  <c r="U138" i="104" s="1"/>
  <c r="V138" i="104" s="1"/>
  <c r="T136" i="104"/>
  <c r="P165" i="104"/>
  <c r="T131" i="104"/>
  <c r="U131" i="104" s="1"/>
  <c r="V131" i="104" s="1"/>
  <c r="T133" i="104"/>
  <c r="T152" i="104"/>
  <c r="N164" i="104"/>
  <c r="V112" i="103"/>
  <c r="D72" i="103"/>
  <c r="V72" i="103" s="1"/>
  <c r="D27" i="103" s="1"/>
  <c r="V27" i="103" s="1"/>
  <c r="U112" i="103"/>
  <c r="V93" i="103"/>
  <c r="D49" i="103"/>
  <c r="V49" i="103" s="1"/>
  <c r="U93" i="103"/>
  <c r="V91" i="103"/>
  <c r="D47" i="103"/>
  <c r="V47" i="103" s="1"/>
  <c r="U91" i="103"/>
  <c r="C121" i="103"/>
  <c r="U121" i="103" s="1"/>
  <c r="C120" i="103"/>
  <c r="U120" i="103" s="1"/>
  <c r="C119" i="103"/>
  <c r="U119" i="103"/>
  <c r="C116" i="103"/>
  <c r="U116" i="103"/>
  <c r="C114" i="103"/>
  <c r="U114" i="103"/>
  <c r="C75" i="103" s="1"/>
  <c r="U75" i="103" s="1"/>
  <c r="C109" i="103"/>
  <c r="U109" i="103" s="1"/>
  <c r="C104" i="103"/>
  <c r="U104" i="103" s="1"/>
  <c r="C103" i="103"/>
  <c r="U103" i="103"/>
  <c r="C102" i="103"/>
  <c r="U102" i="103"/>
  <c r="C62" i="103" s="1"/>
  <c r="C99" i="103"/>
  <c r="U99" i="103"/>
  <c r="X99" i="103" s="1"/>
  <c r="Z99" i="103" s="1"/>
  <c r="AA99" i="103" s="1"/>
  <c r="C95" i="103"/>
  <c r="U95" i="103" s="1"/>
  <c r="C51" i="103" s="1"/>
  <c r="U51" i="103" s="1"/>
  <c r="C90" i="103"/>
  <c r="U90" i="103" s="1"/>
  <c r="S123" i="103"/>
  <c r="S124" i="103" s="1"/>
  <c r="P123" i="103"/>
  <c r="P124" i="103" s="1"/>
  <c r="M123" i="103"/>
  <c r="M124" i="103" s="1"/>
  <c r="J123" i="103"/>
  <c r="J124" i="103" s="1"/>
  <c r="G123" i="103"/>
  <c r="G124" i="103" s="1"/>
  <c r="AB27" i="103"/>
  <c r="C56" i="103"/>
  <c r="U56" i="103" s="1"/>
  <c r="U62" i="103"/>
  <c r="X62" i="103" s="1"/>
  <c r="Z62" i="103" s="1"/>
  <c r="AA62" i="103" s="1"/>
  <c r="C18" i="103"/>
  <c r="U18" i="103" s="1"/>
  <c r="X18" i="103" s="1"/>
  <c r="Z18" i="103" s="1"/>
  <c r="X121" i="103"/>
  <c r="Z121" i="103" s="1"/>
  <c r="AA121" i="103" s="1"/>
  <c r="C82" i="103"/>
  <c r="U82" i="103"/>
  <c r="X116" i="103"/>
  <c r="Z116" i="103"/>
  <c r="AA116" i="103" s="1"/>
  <c r="C77" i="103"/>
  <c r="U77" i="103" s="1"/>
  <c r="X95" i="103"/>
  <c r="Z95" i="103" s="1"/>
  <c r="AA95" i="103" s="1"/>
  <c r="X103" i="103"/>
  <c r="Z103" i="103"/>
  <c r="AA103" i="103" s="1"/>
  <c r="C63" i="103"/>
  <c r="U63" i="103"/>
  <c r="C19" i="103" s="1"/>
  <c r="U19" i="103" s="1"/>
  <c r="X19" i="103" s="1"/>
  <c r="Z19" i="103" s="1"/>
  <c r="X109" i="103"/>
  <c r="Z109" i="103" s="1"/>
  <c r="AA109" i="103" s="1"/>
  <c r="C69" i="103"/>
  <c r="U69" i="103"/>
  <c r="C24" i="103" s="1"/>
  <c r="U24" i="103" s="1"/>
  <c r="X24" i="103" s="1"/>
  <c r="Z24" i="103" s="1"/>
  <c r="X93" i="103"/>
  <c r="Z93" i="103" s="1"/>
  <c r="AA93" i="103" s="1"/>
  <c r="AB93" i="103" s="1"/>
  <c r="AD93" i="103" s="1"/>
  <c r="C49" i="103"/>
  <c r="U49" i="103"/>
  <c r="C10" i="103" s="1"/>
  <c r="U10" i="103" s="1"/>
  <c r="X10" i="103" s="1"/>
  <c r="Z10" i="103" s="1"/>
  <c r="W126" i="104"/>
  <c r="U126" i="104"/>
  <c r="V126" i="104" s="1"/>
  <c r="W132" i="104"/>
  <c r="U132" i="104"/>
  <c r="V132" i="104"/>
  <c r="W93" i="103"/>
  <c r="W112" i="103"/>
  <c r="W131" i="104"/>
  <c r="U133" i="104"/>
  <c r="V133" i="104" s="1"/>
  <c r="U136" i="104"/>
  <c r="V136" i="104"/>
  <c r="W152" i="104"/>
  <c r="U152" i="104"/>
  <c r="V152" i="104" s="1"/>
  <c r="W91" i="103"/>
  <c r="W127" i="104"/>
  <c r="U127" i="104"/>
  <c r="V127" i="104" s="1"/>
  <c r="U148" i="104"/>
  <c r="V148" i="104" s="1"/>
  <c r="W138" i="104"/>
  <c r="X114" i="103"/>
  <c r="Z114" i="103"/>
  <c r="AA114" i="103" s="1"/>
  <c r="W136" i="104"/>
  <c r="N165" i="104"/>
  <c r="O165" i="104"/>
  <c r="W133" i="104"/>
  <c r="W128" i="104"/>
  <c r="P125" i="103"/>
  <c r="X82" i="103"/>
  <c r="Z82" i="103" s="1"/>
  <c r="AA82" i="103" s="1"/>
  <c r="C37" i="103"/>
  <c r="U37" i="103" s="1"/>
  <c r="X37" i="103" s="1"/>
  <c r="Z37" i="103" s="1"/>
  <c r="X49" i="103"/>
  <c r="Z49" i="103" s="1"/>
  <c r="AA49" i="103" s="1"/>
  <c r="AB49" i="103" s="1"/>
  <c r="AD49" i="103" s="1"/>
  <c r="X56" i="103"/>
  <c r="Z56" i="103"/>
  <c r="AA56" i="103" s="1"/>
  <c r="X63" i="103"/>
  <c r="Z63" i="103" s="1"/>
  <c r="AA63" i="103" s="1"/>
  <c r="X69" i="103"/>
  <c r="Z69" i="103"/>
  <c r="AA69" i="103" s="1"/>
  <c r="C39" i="111"/>
  <c r="C32" i="114"/>
  <c r="E40" i="114"/>
  <c r="C31" i="114"/>
  <c r="E24" i="114"/>
  <c r="C12" i="114" s="1"/>
  <c r="C36" i="114"/>
  <c r="E38" i="111"/>
  <c r="E41" i="111" s="1"/>
  <c r="C38" i="111"/>
  <c r="C37" i="111"/>
  <c r="C32" i="111"/>
  <c r="E24" i="111"/>
  <c r="E26" i="111"/>
  <c r="C11" i="111"/>
  <c r="I113" i="11"/>
  <c r="K113" i="11" s="1"/>
  <c r="C112" i="11"/>
  <c r="C115" i="11" s="1"/>
  <c r="L116" i="11"/>
  <c r="K116" i="11"/>
  <c r="E115" i="11"/>
  <c r="K114" i="11"/>
  <c r="F19" i="16"/>
  <c r="L112" i="11"/>
  <c r="U191" i="104"/>
  <c r="U189" i="104"/>
  <c r="U188" i="104"/>
  <c r="U186" i="104"/>
  <c r="Q198" i="104"/>
  <c r="T186" i="104"/>
  <c r="F149" i="103"/>
  <c r="V155" i="103"/>
  <c r="D116" i="103"/>
  <c r="V116" i="103" s="1"/>
  <c r="W116" i="103" s="1"/>
  <c r="U155" i="103"/>
  <c r="V153" i="103"/>
  <c r="D114" i="103"/>
  <c r="V114" i="103" s="1"/>
  <c r="D75" i="103" s="1"/>
  <c r="V75" i="103" s="1"/>
  <c r="D30" i="103" s="1"/>
  <c r="V30" i="103" s="1"/>
  <c r="U153" i="103"/>
  <c r="V131" i="103"/>
  <c r="D90" i="103"/>
  <c r="V90" i="103" s="1"/>
  <c r="W90" i="103" s="1"/>
  <c r="U131" i="103"/>
  <c r="V141" i="103"/>
  <c r="D102" i="103"/>
  <c r="V102" i="103" s="1"/>
  <c r="W102" i="103" s="1"/>
  <c r="U141" i="103"/>
  <c r="S205" i="104"/>
  <c r="O189" i="104"/>
  <c r="N189" i="104"/>
  <c r="M189" i="104"/>
  <c r="T189" i="104" s="1"/>
  <c r="V189" i="104" s="1"/>
  <c r="O191" i="104"/>
  <c r="M191" i="104"/>
  <c r="G191" i="104"/>
  <c r="N191" i="104"/>
  <c r="W186" i="104"/>
  <c r="M186" i="104"/>
  <c r="M187" i="104"/>
  <c r="T191" i="104"/>
  <c r="V191" i="104" s="1"/>
  <c r="V186" i="104"/>
  <c r="O188" i="104"/>
  <c r="N188" i="104"/>
  <c r="M188" i="104"/>
  <c r="T188" i="104" s="1"/>
  <c r="W188" i="104" s="1"/>
  <c r="O178" i="104"/>
  <c r="N178" i="104"/>
  <c r="M178" i="104"/>
  <c r="P178" i="104"/>
  <c r="K207" i="104"/>
  <c r="E207" i="104"/>
  <c r="K206" i="104"/>
  <c r="M206" i="104" s="1"/>
  <c r="N206" i="104" s="1"/>
  <c r="K205" i="104"/>
  <c r="M205" i="104" s="1"/>
  <c r="K204" i="104"/>
  <c r="O201" i="104"/>
  <c r="N201" i="104"/>
  <c r="M201" i="104"/>
  <c r="S198" i="104"/>
  <c r="R198" i="104"/>
  <c r="K198" i="104"/>
  <c r="I198" i="104"/>
  <c r="H198" i="104"/>
  <c r="G198" i="104"/>
  <c r="F198" i="104"/>
  <c r="E198" i="104"/>
  <c r="D198" i="104"/>
  <c r="C198" i="104"/>
  <c r="O197" i="104"/>
  <c r="N197" i="104"/>
  <c r="M197" i="104"/>
  <c r="O196" i="104"/>
  <c r="N196" i="104"/>
  <c r="M196" i="104"/>
  <c r="O195" i="104"/>
  <c r="N195" i="104"/>
  <c r="M195" i="104"/>
  <c r="O194" i="104"/>
  <c r="N194" i="104"/>
  <c r="M194" i="104"/>
  <c r="O193" i="104"/>
  <c r="N193" i="104"/>
  <c r="M193" i="104"/>
  <c r="O192" i="104"/>
  <c r="N192" i="104"/>
  <c r="M192" i="104"/>
  <c r="N190" i="104"/>
  <c r="M190" i="104"/>
  <c r="T190" i="104" s="1"/>
  <c r="V190" i="104" s="1"/>
  <c r="O187" i="104"/>
  <c r="T187" i="104" s="1"/>
  <c r="N187" i="104"/>
  <c r="N186" i="104"/>
  <c r="O185" i="104"/>
  <c r="N185" i="104"/>
  <c r="M185" i="104"/>
  <c r="O184" i="104"/>
  <c r="N184" i="104"/>
  <c r="M184" i="104"/>
  <c r="T184" i="104" s="1"/>
  <c r="O183" i="104"/>
  <c r="N183" i="104"/>
  <c r="M183" i="104"/>
  <c r="O182" i="104"/>
  <c r="N182" i="104"/>
  <c r="M182" i="104"/>
  <c r="O181" i="104"/>
  <c r="N181" i="104"/>
  <c r="M181" i="104"/>
  <c r="O180" i="104"/>
  <c r="N180" i="104"/>
  <c r="M180" i="104"/>
  <c r="O179" i="104"/>
  <c r="N179" i="104"/>
  <c r="M179" i="104"/>
  <c r="O177" i="104"/>
  <c r="N177" i="104"/>
  <c r="M177" i="104"/>
  <c r="O176" i="104"/>
  <c r="N176" i="104"/>
  <c r="M176" i="104"/>
  <c r="O175" i="104"/>
  <c r="N175" i="104"/>
  <c r="M175" i="104"/>
  <c r="O174" i="104"/>
  <c r="N174" i="104"/>
  <c r="M174" i="104"/>
  <c r="O173" i="104"/>
  <c r="N173" i="104"/>
  <c r="M173" i="104"/>
  <c r="O172" i="104"/>
  <c r="N172" i="104"/>
  <c r="M172" i="104"/>
  <c r="O171" i="104"/>
  <c r="N171" i="104"/>
  <c r="M171" i="104"/>
  <c r="O170" i="104"/>
  <c r="N170" i="104"/>
  <c r="M170" i="104"/>
  <c r="O169" i="104"/>
  <c r="N169" i="104"/>
  <c r="M169" i="104"/>
  <c r="H340" i="104"/>
  <c r="F340" i="104"/>
  <c r="E340" i="104"/>
  <c r="C340" i="104"/>
  <c r="O339" i="104"/>
  <c r="N339" i="104"/>
  <c r="M339" i="104"/>
  <c r="O338" i="104"/>
  <c r="N338" i="104"/>
  <c r="M338" i="104"/>
  <c r="O337" i="104"/>
  <c r="N337" i="104"/>
  <c r="M337" i="104"/>
  <c r="P337" i="104" s="1"/>
  <c r="O336" i="104"/>
  <c r="N336" i="104"/>
  <c r="M336" i="104"/>
  <c r="O335" i="104"/>
  <c r="N335" i="104"/>
  <c r="M335" i="104"/>
  <c r="P335" i="104" s="1"/>
  <c r="O334" i="104"/>
  <c r="N334" i="104"/>
  <c r="M334" i="104"/>
  <c r="O333" i="104"/>
  <c r="N333" i="104"/>
  <c r="M333" i="104"/>
  <c r="O332" i="104"/>
  <c r="N332" i="104"/>
  <c r="M332" i="104"/>
  <c r="O331" i="104"/>
  <c r="N331" i="104"/>
  <c r="M331" i="104"/>
  <c r="O330" i="104"/>
  <c r="N330" i="104"/>
  <c r="M330" i="104"/>
  <c r="P330" i="104"/>
  <c r="O329" i="104"/>
  <c r="N329" i="104"/>
  <c r="M329" i="104"/>
  <c r="O328" i="104"/>
  <c r="N328" i="104"/>
  <c r="M328" i="104"/>
  <c r="O327" i="104"/>
  <c r="N327" i="104"/>
  <c r="M327" i="104"/>
  <c r="O326" i="104"/>
  <c r="N326" i="104"/>
  <c r="M326" i="104"/>
  <c r="O325" i="104"/>
  <c r="N325" i="104"/>
  <c r="M325" i="104"/>
  <c r="O324" i="104"/>
  <c r="N324" i="104"/>
  <c r="M324" i="104"/>
  <c r="O323" i="104"/>
  <c r="N323" i="104"/>
  <c r="M323" i="104"/>
  <c r="O322" i="104"/>
  <c r="N322" i="104"/>
  <c r="M322" i="104"/>
  <c r="P322" i="104" s="1"/>
  <c r="O321" i="104"/>
  <c r="N321" i="104"/>
  <c r="M321" i="104"/>
  <c r="S311" i="104"/>
  <c r="K311" i="104"/>
  <c r="J311" i="104"/>
  <c r="I311" i="104"/>
  <c r="H311" i="104"/>
  <c r="G311" i="104"/>
  <c r="F311" i="104"/>
  <c r="E311" i="104"/>
  <c r="D311" i="104"/>
  <c r="C311" i="104"/>
  <c r="O310" i="104"/>
  <c r="N310" i="104"/>
  <c r="M310" i="104"/>
  <c r="T310" i="104" s="1"/>
  <c r="O309" i="104"/>
  <c r="N309" i="104"/>
  <c r="M309" i="104"/>
  <c r="O308" i="104"/>
  <c r="N308" i="104"/>
  <c r="M308" i="104"/>
  <c r="O307" i="104"/>
  <c r="N307" i="104"/>
  <c r="M307" i="104"/>
  <c r="O306" i="104"/>
  <c r="N306" i="104"/>
  <c r="M306" i="104"/>
  <c r="O305" i="104"/>
  <c r="N305" i="104"/>
  <c r="M305" i="104"/>
  <c r="O304" i="104"/>
  <c r="N304" i="104"/>
  <c r="M304" i="104"/>
  <c r="N303" i="104"/>
  <c r="M303" i="104"/>
  <c r="T303" i="104"/>
  <c r="O302" i="104"/>
  <c r="N302" i="104"/>
  <c r="M302" i="104"/>
  <c r="O301" i="104"/>
  <c r="N301" i="104"/>
  <c r="M301" i="104"/>
  <c r="O300" i="104"/>
  <c r="N300" i="104"/>
  <c r="M300" i="104"/>
  <c r="O299" i="104"/>
  <c r="N299" i="104"/>
  <c r="M299" i="104"/>
  <c r="O298" i="104"/>
  <c r="N298" i="104"/>
  <c r="M298" i="104"/>
  <c r="O297" i="104"/>
  <c r="N297" i="104"/>
  <c r="M297" i="104"/>
  <c r="T297" i="104" s="1"/>
  <c r="O296" i="104"/>
  <c r="N296" i="104"/>
  <c r="M296" i="104"/>
  <c r="O295" i="104"/>
  <c r="N295" i="104"/>
  <c r="M295" i="104"/>
  <c r="O294" i="104"/>
  <c r="N294" i="104"/>
  <c r="M294" i="104"/>
  <c r="T294" i="104" s="1"/>
  <c r="O293" i="104"/>
  <c r="N293" i="104"/>
  <c r="M293" i="104"/>
  <c r="O292" i="104"/>
  <c r="N292" i="104"/>
  <c r="M292" i="104"/>
  <c r="O291" i="104"/>
  <c r="N291" i="104"/>
  <c r="M291" i="104"/>
  <c r="O290" i="104"/>
  <c r="N290" i="104"/>
  <c r="M290" i="104"/>
  <c r="E280" i="104"/>
  <c r="E270" i="104" s="1"/>
  <c r="E273" i="104" s="1"/>
  <c r="O276" i="104"/>
  <c r="N276" i="104"/>
  <c r="M276" i="104"/>
  <c r="AB275" i="104"/>
  <c r="AB274" i="104"/>
  <c r="AD274" i="104" s="1"/>
  <c r="AB273" i="104"/>
  <c r="AD273" i="104"/>
  <c r="S273" i="104"/>
  <c r="S278" i="104" s="1"/>
  <c r="P273" i="104"/>
  <c r="J273" i="104"/>
  <c r="I273" i="104"/>
  <c r="G273" i="104"/>
  <c r="F273" i="104"/>
  <c r="D273" i="104"/>
  <c r="AB272" i="104"/>
  <c r="O272" i="104"/>
  <c r="N272" i="104"/>
  <c r="M272" i="104"/>
  <c r="O271" i="104"/>
  <c r="N271" i="104"/>
  <c r="M271" i="104"/>
  <c r="O270" i="104"/>
  <c r="M270" i="104"/>
  <c r="T270" i="104" s="1"/>
  <c r="O269" i="104"/>
  <c r="N269" i="104"/>
  <c r="M269" i="104"/>
  <c r="O268" i="104"/>
  <c r="N268" i="104"/>
  <c r="M268" i="104"/>
  <c r="O267" i="104"/>
  <c r="N267" i="104"/>
  <c r="M267" i="104"/>
  <c r="M266" i="104"/>
  <c r="T266" i="104" s="1"/>
  <c r="H266" i="104"/>
  <c r="O265" i="104"/>
  <c r="N265" i="104"/>
  <c r="C265" i="104"/>
  <c r="C273" i="104" s="1"/>
  <c r="N264" i="104"/>
  <c r="M264" i="104"/>
  <c r="O263" i="104"/>
  <c r="N263" i="104"/>
  <c r="M263" i="104"/>
  <c r="T263" i="104" s="1"/>
  <c r="O262" i="104"/>
  <c r="N262" i="104"/>
  <c r="M262" i="104"/>
  <c r="O261" i="104"/>
  <c r="N261" i="104"/>
  <c r="M261" i="104"/>
  <c r="O260" i="104"/>
  <c r="N260" i="104"/>
  <c r="M260" i="104"/>
  <c r="O259" i="104"/>
  <c r="N259" i="104"/>
  <c r="M259" i="104"/>
  <c r="O258" i="104"/>
  <c r="N258" i="104"/>
  <c r="M258" i="104"/>
  <c r="T258" i="104" s="1"/>
  <c r="O257" i="104"/>
  <c r="N257" i="104"/>
  <c r="M257" i="104"/>
  <c r="O256" i="104"/>
  <c r="N256" i="104"/>
  <c r="M256" i="104"/>
  <c r="O255" i="104"/>
  <c r="N255" i="104"/>
  <c r="M255" i="104"/>
  <c r="T255" i="104" s="1"/>
  <c r="O254" i="104"/>
  <c r="N254" i="104"/>
  <c r="M254" i="104"/>
  <c r="O253" i="104"/>
  <c r="N253" i="104"/>
  <c r="M253" i="104"/>
  <c r="T253" i="104" s="1"/>
  <c r="O252" i="104"/>
  <c r="N252" i="104"/>
  <c r="M252" i="104"/>
  <c r="T252" i="104" s="1"/>
  <c r="O251" i="104"/>
  <c r="N251" i="104"/>
  <c r="M251" i="104"/>
  <c r="O250" i="104"/>
  <c r="N250" i="104"/>
  <c r="M250" i="104"/>
  <c r="T250" i="104" s="1"/>
  <c r="K245" i="104"/>
  <c r="E245" i="104"/>
  <c r="K244" i="104"/>
  <c r="K243" i="104"/>
  <c r="K242" i="104"/>
  <c r="M242" i="104" s="1"/>
  <c r="O242" i="104" s="1"/>
  <c r="O239" i="104"/>
  <c r="N239" i="104"/>
  <c r="M239" i="104"/>
  <c r="S236" i="104"/>
  <c r="R236" i="104"/>
  <c r="P236" i="104"/>
  <c r="K236" i="104"/>
  <c r="I236" i="104"/>
  <c r="H236" i="104"/>
  <c r="G236" i="104"/>
  <c r="F236" i="104"/>
  <c r="E236" i="104"/>
  <c r="D236" i="104"/>
  <c r="C236" i="104"/>
  <c r="O235" i="104"/>
  <c r="N235" i="104"/>
  <c r="M235" i="104"/>
  <c r="T235" i="104" s="1"/>
  <c r="W235" i="104" s="1"/>
  <c r="O234" i="104"/>
  <c r="N234" i="104"/>
  <c r="M234" i="104"/>
  <c r="O233" i="104"/>
  <c r="N233" i="104"/>
  <c r="M233" i="104"/>
  <c r="O232" i="104"/>
  <c r="N232" i="104"/>
  <c r="M232" i="104"/>
  <c r="O231" i="104"/>
  <c r="N231" i="104"/>
  <c r="M231" i="104"/>
  <c r="O230" i="104"/>
  <c r="N230" i="104"/>
  <c r="M230" i="104"/>
  <c r="N229" i="104"/>
  <c r="M229" i="104"/>
  <c r="T229" i="104" s="1"/>
  <c r="W229" i="104" s="1"/>
  <c r="O228" i="104"/>
  <c r="N228" i="104"/>
  <c r="M228" i="104"/>
  <c r="N227" i="104"/>
  <c r="M227" i="104"/>
  <c r="O226" i="104"/>
  <c r="N226" i="104"/>
  <c r="M226" i="104"/>
  <c r="O225" i="104"/>
  <c r="N225" i="104"/>
  <c r="M225" i="104"/>
  <c r="O224" i="104"/>
  <c r="N224" i="104"/>
  <c r="M224" i="104"/>
  <c r="T224" i="104" s="1"/>
  <c r="W224" i="104" s="1"/>
  <c r="O223" i="104"/>
  <c r="N223" i="104"/>
  <c r="M223" i="104"/>
  <c r="O222" i="104"/>
  <c r="N222" i="104"/>
  <c r="M222" i="104"/>
  <c r="T222" i="104" s="1"/>
  <c r="W222" i="104" s="1"/>
  <c r="O221" i="104"/>
  <c r="N221" i="104"/>
  <c r="M221" i="104"/>
  <c r="O220" i="104"/>
  <c r="N220" i="104"/>
  <c r="M220" i="104"/>
  <c r="T220" i="104" s="1"/>
  <c r="W220" i="104" s="1"/>
  <c r="O219" i="104"/>
  <c r="N219" i="104"/>
  <c r="M219" i="104"/>
  <c r="O218" i="104"/>
  <c r="N218" i="104"/>
  <c r="M218" i="104"/>
  <c r="O217" i="104"/>
  <c r="N217" i="104"/>
  <c r="M217" i="104"/>
  <c r="O216" i="104"/>
  <c r="N216" i="104"/>
  <c r="M216" i="104"/>
  <c r="T216" i="104" s="1"/>
  <c r="W216" i="104" s="1"/>
  <c r="O215" i="104"/>
  <c r="N215" i="104"/>
  <c r="M215" i="104"/>
  <c r="O214" i="104"/>
  <c r="N214" i="104"/>
  <c r="M214" i="104"/>
  <c r="T214" i="104" s="1"/>
  <c r="W214" i="104" s="1"/>
  <c r="O213" i="104"/>
  <c r="N213" i="104"/>
  <c r="N236" i="104" s="1"/>
  <c r="M213" i="104"/>
  <c r="O212" i="104"/>
  <c r="N212" i="104"/>
  <c r="M212" i="104"/>
  <c r="T212" i="104" s="1"/>
  <c r="W212" i="104" s="1"/>
  <c r="O211" i="104"/>
  <c r="N211" i="104"/>
  <c r="M211" i="104"/>
  <c r="T211" i="104" s="1"/>
  <c r="T261" i="104"/>
  <c r="P323" i="104"/>
  <c r="P331" i="104"/>
  <c r="P339" i="104"/>
  <c r="T257" i="104"/>
  <c r="T301" i="104"/>
  <c r="T215" i="104"/>
  <c r="W215" i="104" s="1"/>
  <c r="T221" i="104"/>
  <c r="W221" i="104"/>
  <c r="T298" i="104"/>
  <c r="T300" i="104"/>
  <c r="T299" i="104"/>
  <c r="T256" i="104"/>
  <c r="W191" i="104"/>
  <c r="K270" i="104"/>
  <c r="K273" i="104" s="1"/>
  <c r="T231" i="104"/>
  <c r="W231" i="104" s="1"/>
  <c r="T293" i="104"/>
  <c r="T296" i="104"/>
  <c r="T295" i="104"/>
  <c r="T178" i="104"/>
  <c r="W178" i="104" s="1"/>
  <c r="T218" i="104"/>
  <c r="W218" i="104" s="1"/>
  <c r="T223" i="104"/>
  <c r="W223" i="104" s="1"/>
  <c r="T272" i="104"/>
  <c r="P324" i="104"/>
  <c r="P332" i="104"/>
  <c r="T197" i="104"/>
  <c r="W197" i="104" s="1"/>
  <c r="T260" i="104"/>
  <c r="T307" i="104"/>
  <c r="P327" i="104"/>
  <c r="N311" i="104"/>
  <c r="M243" i="104"/>
  <c r="O243" i="104" s="1"/>
  <c r="T217" i="104"/>
  <c r="W217" i="104"/>
  <c r="T251" i="104"/>
  <c r="T302" i="104"/>
  <c r="T305" i="104"/>
  <c r="P325" i="104"/>
  <c r="P333" i="104"/>
  <c r="M265" i="104"/>
  <c r="T265" i="104" s="1"/>
  <c r="T239" i="104"/>
  <c r="T254" i="104"/>
  <c r="T276" i="104"/>
  <c r="T291" i="104"/>
  <c r="T308" i="104"/>
  <c r="P328" i="104"/>
  <c r="P336" i="104"/>
  <c r="T193" i="104"/>
  <c r="AG273" i="104"/>
  <c r="P198" i="104"/>
  <c r="O199" i="104" s="1"/>
  <c r="U178" i="104"/>
  <c r="T269" i="104"/>
  <c r="T306" i="104"/>
  <c r="P326" i="104"/>
  <c r="P334" i="104"/>
  <c r="W189" i="104"/>
  <c r="T225" i="104"/>
  <c r="W225" i="104" s="1"/>
  <c r="T228" i="104"/>
  <c r="W228" i="104" s="1"/>
  <c r="T233" i="104"/>
  <c r="W233" i="104" s="1"/>
  <c r="T262" i="104"/>
  <c r="T267" i="104"/>
  <c r="T292" i="104"/>
  <c r="T309" i="104"/>
  <c r="P329" i="104"/>
  <c r="W190" i="104"/>
  <c r="T201" i="104"/>
  <c r="T192" i="104"/>
  <c r="T171" i="104"/>
  <c r="T174" i="104"/>
  <c r="T194" i="104"/>
  <c r="W194" i="104" s="1"/>
  <c r="T196" i="104"/>
  <c r="T170" i="104"/>
  <c r="T183" i="104"/>
  <c r="T180" i="104"/>
  <c r="T179" i="104"/>
  <c r="T185" i="104"/>
  <c r="T172" i="104"/>
  <c r="T181" i="104"/>
  <c r="N198" i="104"/>
  <c r="T173" i="104"/>
  <c r="T182" i="104"/>
  <c r="T176" i="104"/>
  <c r="N205" i="104"/>
  <c r="O205" i="104"/>
  <c r="P205" i="104"/>
  <c r="M204" i="104"/>
  <c r="M207" i="104"/>
  <c r="P207" i="104" s="1"/>
  <c r="N242" i="104"/>
  <c r="M244" i="104"/>
  <c r="P244" i="104" s="1"/>
  <c r="M340" i="104"/>
  <c r="AD272" i="104"/>
  <c r="AG272" i="104" s="1"/>
  <c r="AD275" i="104"/>
  <c r="AG275" i="104" s="1"/>
  <c r="P291" i="104"/>
  <c r="P311" i="104" s="1"/>
  <c r="Z155" i="103"/>
  <c r="AA155" i="103" s="1"/>
  <c r="AB155" i="103" s="1"/>
  <c r="Z153" i="103"/>
  <c r="AA153" i="103" s="1"/>
  <c r="Z141" i="103"/>
  <c r="AA141" i="103" s="1"/>
  <c r="Z131" i="103"/>
  <c r="AA131" i="103" s="1"/>
  <c r="S162" i="103"/>
  <c r="S163" i="103" s="1"/>
  <c r="P162" i="103"/>
  <c r="P163" i="103" s="1"/>
  <c r="M162" i="103"/>
  <c r="M163" i="103" s="1"/>
  <c r="J162" i="103"/>
  <c r="J163" i="103" s="1"/>
  <c r="G162" i="103"/>
  <c r="G163" i="103" s="1"/>
  <c r="Z160" i="103"/>
  <c r="AA160" i="103" s="1"/>
  <c r="Z159" i="103"/>
  <c r="AA159" i="103" s="1"/>
  <c r="Z158" i="103"/>
  <c r="AA158" i="103" s="1"/>
  <c r="Z149" i="103"/>
  <c r="AA149" i="103"/>
  <c r="Z143" i="103"/>
  <c r="AA143" i="103"/>
  <c r="Z142" i="103"/>
  <c r="AA142" i="103"/>
  <c r="Z138" i="103"/>
  <c r="AA138" i="103" s="1"/>
  <c r="Z134" i="103"/>
  <c r="AA134" i="103" s="1"/>
  <c r="S348" i="103"/>
  <c r="S349" i="103" s="1"/>
  <c r="M348" i="103"/>
  <c r="M349" i="103" s="1"/>
  <c r="D348" i="103"/>
  <c r="D349" i="103" s="1"/>
  <c r="V347" i="103"/>
  <c r="U347" i="103"/>
  <c r="X347" i="103" s="1"/>
  <c r="Z347" i="103"/>
  <c r="AA347" i="103" s="1"/>
  <c r="V346" i="103"/>
  <c r="U346" i="103"/>
  <c r="X346" i="103" s="1"/>
  <c r="Z346" i="103" s="1"/>
  <c r="AA346" i="103" s="1"/>
  <c r="V345" i="103"/>
  <c r="U345" i="103"/>
  <c r="X345" i="103"/>
  <c r="Z345" i="103" s="1"/>
  <c r="AA345" i="103" s="1"/>
  <c r="V344" i="103"/>
  <c r="U344" i="103"/>
  <c r="X344" i="103" s="1"/>
  <c r="Z344" i="103" s="1"/>
  <c r="AA344" i="103" s="1"/>
  <c r="V343" i="103"/>
  <c r="U343" i="103"/>
  <c r="X343" i="103" s="1"/>
  <c r="Z343" i="103" s="1"/>
  <c r="AA343" i="103" s="1"/>
  <c r="U342" i="103"/>
  <c r="X342" i="103" s="1"/>
  <c r="Z342" i="103" s="1"/>
  <c r="AA342" i="103" s="1"/>
  <c r="G342" i="103"/>
  <c r="V342" i="103" s="1"/>
  <c r="U341" i="103"/>
  <c r="X341" i="103" s="1"/>
  <c r="Z341" i="103" s="1"/>
  <c r="AA341" i="103" s="1"/>
  <c r="J340" i="103"/>
  <c r="J348" i="103" s="1"/>
  <c r="J349" i="103" s="1"/>
  <c r="I340" i="103"/>
  <c r="U340" i="103" s="1"/>
  <c r="X340" i="103" s="1"/>
  <c r="Z340" i="103" s="1"/>
  <c r="AA340" i="103" s="1"/>
  <c r="G339" i="103"/>
  <c r="V339" i="103"/>
  <c r="F339" i="103"/>
  <c r="U339" i="103" s="1"/>
  <c r="X339" i="103" s="1"/>
  <c r="Z339" i="103"/>
  <c r="AA339" i="103" s="1"/>
  <c r="G338" i="103"/>
  <c r="V338" i="103" s="1"/>
  <c r="F338" i="103"/>
  <c r="U338" i="103" s="1"/>
  <c r="X338" i="103" s="1"/>
  <c r="Z338" i="103" s="1"/>
  <c r="AA338" i="103" s="1"/>
  <c r="V337" i="103"/>
  <c r="U337" i="103"/>
  <c r="X337" i="103" s="1"/>
  <c r="Z337" i="103" s="1"/>
  <c r="AA337" i="103" s="1"/>
  <c r="G336" i="103"/>
  <c r="V336" i="103" s="1"/>
  <c r="F336" i="103"/>
  <c r="U336" i="103" s="1"/>
  <c r="X336" i="103" s="1"/>
  <c r="Z336" i="103" s="1"/>
  <c r="AA336" i="103" s="1"/>
  <c r="U335" i="103"/>
  <c r="X335" i="103" s="1"/>
  <c r="Z335" i="103"/>
  <c r="AA335" i="103" s="1"/>
  <c r="P335" i="103"/>
  <c r="V335" i="103" s="1"/>
  <c r="G334" i="103"/>
  <c r="V334" i="103" s="1"/>
  <c r="F334" i="103"/>
  <c r="U334" i="103" s="1"/>
  <c r="X334" i="103" s="1"/>
  <c r="Z334" i="103" s="1"/>
  <c r="AA334" i="103" s="1"/>
  <c r="G333" i="103"/>
  <c r="G348" i="103" s="1"/>
  <c r="G349" i="103" s="1"/>
  <c r="F333" i="103"/>
  <c r="U333" i="103"/>
  <c r="X333" i="103" s="1"/>
  <c r="Z333" i="103" s="1"/>
  <c r="AA333" i="103" s="1"/>
  <c r="V332" i="103"/>
  <c r="U332" i="103"/>
  <c r="X332" i="103" s="1"/>
  <c r="Z332" i="103" s="1"/>
  <c r="AA332" i="103" s="1"/>
  <c r="V331" i="103"/>
  <c r="U331" i="103"/>
  <c r="X331" i="103" s="1"/>
  <c r="Z331" i="103" s="1"/>
  <c r="AA331" i="103" s="1"/>
  <c r="S322" i="103"/>
  <c r="S323" i="103" s="1"/>
  <c r="P322" i="103"/>
  <c r="P323" i="103" s="1"/>
  <c r="M322" i="103"/>
  <c r="M323" i="103" s="1"/>
  <c r="G321" i="103"/>
  <c r="F321" i="103"/>
  <c r="D321" i="103"/>
  <c r="C321" i="103"/>
  <c r="G320" i="103"/>
  <c r="D320" i="103"/>
  <c r="C320" i="103"/>
  <c r="U320" i="103" s="1"/>
  <c r="U319" i="103"/>
  <c r="X319" i="103" s="1"/>
  <c r="Z319" i="103" s="1"/>
  <c r="AA319" i="103" s="1"/>
  <c r="G319" i="103"/>
  <c r="V319" i="103"/>
  <c r="D291" i="103" s="1"/>
  <c r="V318" i="103"/>
  <c r="U318" i="103"/>
  <c r="X318" i="103" s="1"/>
  <c r="Z318" i="103" s="1"/>
  <c r="AA318" i="103" s="1"/>
  <c r="G317" i="103"/>
  <c r="F317" i="103"/>
  <c r="D317" i="103"/>
  <c r="C317" i="103"/>
  <c r="D316" i="103"/>
  <c r="V316" i="103"/>
  <c r="D288" i="103" s="1"/>
  <c r="V288" i="103" s="1"/>
  <c r="D256" i="103" s="1"/>
  <c r="V256" i="103" s="1"/>
  <c r="D224" i="103" s="1"/>
  <c r="V224" i="103" s="1"/>
  <c r="D190" i="103" s="1"/>
  <c r="V190" i="103" s="1"/>
  <c r="D157" i="103" s="1"/>
  <c r="V157" i="103" s="1"/>
  <c r="D118" i="103" s="1"/>
  <c r="V118" i="103" s="1"/>
  <c r="V79" i="103"/>
  <c r="D34" i="103" s="1"/>
  <c r="V34" i="103" s="1"/>
  <c r="C316" i="103"/>
  <c r="U316" i="103" s="1"/>
  <c r="D315" i="103"/>
  <c r="V315" i="103" s="1"/>
  <c r="D287" i="103" s="1"/>
  <c r="V287" i="103" s="1"/>
  <c r="D255" i="103" s="1"/>
  <c r="V255" i="103" s="1"/>
  <c r="D223" i="103" s="1"/>
  <c r="V223" i="103" s="1"/>
  <c r="D189" i="103" s="1"/>
  <c r="V189" i="103" s="1"/>
  <c r="D156" i="103" s="1"/>
  <c r="V156" i="103" s="1"/>
  <c r="D117" i="103" s="1"/>
  <c r="V117" i="103" s="1"/>
  <c r="V78" i="103"/>
  <c r="D33" i="103" s="1"/>
  <c r="V33" i="103" s="1"/>
  <c r="C315" i="103"/>
  <c r="U315" i="103" s="1"/>
  <c r="G314" i="103"/>
  <c r="F314" i="103"/>
  <c r="D314" i="103"/>
  <c r="C314" i="103"/>
  <c r="U313" i="103"/>
  <c r="X313" i="103" s="1"/>
  <c r="Z313" i="103" s="1"/>
  <c r="AA313" i="103" s="1"/>
  <c r="J313" i="103"/>
  <c r="V313" i="103" s="1"/>
  <c r="D283" i="103" s="1"/>
  <c r="V283" i="103" s="1"/>
  <c r="D250" i="103" s="1"/>
  <c r="D312" i="103"/>
  <c r="V312" i="103" s="1"/>
  <c r="D282" i="103" s="1"/>
  <c r="V282" i="103" s="1"/>
  <c r="D249" i="103" s="1"/>
  <c r="V249" i="103" s="1"/>
  <c r="D217" i="103" s="1"/>
  <c r="V217" i="103" s="1"/>
  <c r="D183" i="103" s="1"/>
  <c r="V183" i="103" s="1"/>
  <c r="D148" i="103" s="1"/>
  <c r="V148" i="103" s="1"/>
  <c r="D108" i="103" s="1"/>
  <c r="V108" i="103" s="1"/>
  <c r="V68" i="103"/>
  <c r="C312" i="103"/>
  <c r="U312" i="103" s="1"/>
  <c r="D311" i="103"/>
  <c r="V311" i="103"/>
  <c r="D281" i="103" s="1"/>
  <c r="C311" i="103"/>
  <c r="U311" i="103" s="1"/>
  <c r="G310" i="103"/>
  <c r="D310" i="103"/>
  <c r="C310" i="103"/>
  <c r="U310" i="103" s="1"/>
  <c r="X310" i="103" s="1"/>
  <c r="Z310" i="103" s="1"/>
  <c r="G309" i="103"/>
  <c r="D309" i="103"/>
  <c r="C309" i="103"/>
  <c r="U309" i="103"/>
  <c r="X309" i="103" s="1"/>
  <c r="D308" i="103"/>
  <c r="V308" i="103" s="1"/>
  <c r="D278" i="103"/>
  <c r="V278" i="103" s="1"/>
  <c r="D245" i="103" s="1"/>
  <c r="V245" i="103" s="1"/>
  <c r="D211" i="103" s="1"/>
  <c r="V211" i="103" s="1"/>
  <c r="C308" i="103"/>
  <c r="U308" i="103" s="1"/>
  <c r="D307" i="103"/>
  <c r="V307" i="103" s="1"/>
  <c r="D277" i="103" s="1"/>
  <c r="V277" i="103" s="1"/>
  <c r="C307" i="103"/>
  <c r="U307" i="103" s="1"/>
  <c r="D306" i="103"/>
  <c r="V306" i="103" s="1"/>
  <c r="D276" i="103" s="1"/>
  <c r="V276" i="103" s="1"/>
  <c r="D242" i="103" s="1"/>
  <c r="V242" i="103" s="1"/>
  <c r="D210" i="103" s="1"/>
  <c r="V210" i="103" s="1"/>
  <c r="D175" i="103" s="1"/>
  <c r="V175" i="103" s="1"/>
  <c r="D139" i="103" s="1"/>
  <c r="V139" i="103" s="1"/>
  <c r="D100" i="103" s="1"/>
  <c r="V100" i="103" s="1"/>
  <c r="C306" i="103"/>
  <c r="U306" i="103" s="1"/>
  <c r="C276" i="103" s="1"/>
  <c r="U276" i="103" s="1"/>
  <c r="V305" i="103"/>
  <c r="D275" i="103" s="1"/>
  <c r="V275" i="103" s="1"/>
  <c r="D240" i="103" s="1"/>
  <c r="V240" i="103" s="1"/>
  <c r="D207" i="103" s="1"/>
  <c r="V207" i="103" s="1"/>
  <c r="D172" i="103" s="1"/>
  <c r="V172" i="103" s="1"/>
  <c r="D136" i="103" s="1"/>
  <c r="V136" i="103" s="1"/>
  <c r="D97" i="103" s="1"/>
  <c r="V97" i="103" s="1"/>
  <c r="D54" i="103" s="1"/>
  <c r="V54" i="103" s="1"/>
  <c r="D14" i="103" s="1"/>
  <c r="V14" i="103" s="1"/>
  <c r="U305" i="103"/>
  <c r="C275" i="103"/>
  <c r="U275" i="103" s="1"/>
  <c r="X275" i="103" s="1"/>
  <c r="Z275" i="103" s="1"/>
  <c r="AA275" i="103" s="1"/>
  <c r="G304" i="103"/>
  <c r="F304" i="103"/>
  <c r="D304" i="103"/>
  <c r="C304" i="103"/>
  <c r="U304" i="103" s="1"/>
  <c r="C274" i="103" s="1"/>
  <c r="J303" i="103"/>
  <c r="G303" i="103"/>
  <c r="F303" i="103"/>
  <c r="D303" i="103"/>
  <c r="C303" i="103"/>
  <c r="U303" i="103" s="1"/>
  <c r="C273" i="103" s="1"/>
  <c r="Z302" i="103"/>
  <c r="AA302" i="103" s="1"/>
  <c r="V302" i="103"/>
  <c r="D272" i="103" s="1"/>
  <c r="V272" i="103" s="1"/>
  <c r="D237" i="103" s="1"/>
  <c r="V237" i="103" s="1"/>
  <c r="U302" i="103"/>
  <c r="C272" i="103"/>
  <c r="U272" i="103" s="1"/>
  <c r="J301" i="103"/>
  <c r="I301" i="103"/>
  <c r="D301" i="103"/>
  <c r="C301" i="103"/>
  <c r="S295" i="103"/>
  <c r="M294" i="103"/>
  <c r="M295" i="103" s="1"/>
  <c r="G293" i="103"/>
  <c r="F293" i="103"/>
  <c r="G291" i="103"/>
  <c r="F291" i="103"/>
  <c r="D290" i="103"/>
  <c r="V290" i="103" s="1"/>
  <c r="D258" i="103" s="1"/>
  <c r="V258" i="103" s="1"/>
  <c r="G289" i="103"/>
  <c r="F289" i="103"/>
  <c r="V286" i="103"/>
  <c r="D254" i="103" s="1"/>
  <c r="V254" i="103" s="1"/>
  <c r="D222" i="103" s="1"/>
  <c r="V222" i="103" s="1"/>
  <c r="D188" i="103" s="1"/>
  <c r="V188" i="103" s="1"/>
  <c r="D154" i="103" s="1"/>
  <c r="V154" i="103" s="1"/>
  <c r="D115" i="103" s="1"/>
  <c r="V115" i="103" s="1"/>
  <c r="D76" i="103" s="1"/>
  <c r="V76" i="103" s="1"/>
  <c r="D31" i="103" s="1"/>
  <c r="V31" i="103" s="1"/>
  <c r="U286" i="103"/>
  <c r="X286" i="103" s="1"/>
  <c r="Z286" i="103" s="1"/>
  <c r="AA286" i="103" s="1"/>
  <c r="AB286" i="103" s="1"/>
  <c r="U285" i="103"/>
  <c r="X285" i="103" s="1"/>
  <c r="Z285" i="103" s="1"/>
  <c r="AA285" i="103" s="1"/>
  <c r="P285" i="103"/>
  <c r="J285" i="103"/>
  <c r="G284" i="103"/>
  <c r="F284" i="103"/>
  <c r="G283" i="103"/>
  <c r="AI281" i="103"/>
  <c r="G281" i="103"/>
  <c r="F281" i="103"/>
  <c r="G280" i="103"/>
  <c r="F280" i="103"/>
  <c r="G279" i="103"/>
  <c r="F279" i="103"/>
  <c r="AI275" i="103"/>
  <c r="AI298" i="103" s="1"/>
  <c r="G274" i="103"/>
  <c r="F274" i="103"/>
  <c r="G273" i="103"/>
  <c r="F273" i="103"/>
  <c r="S262" i="103"/>
  <c r="S263" i="103" s="1"/>
  <c r="P262" i="103"/>
  <c r="P263" i="103" s="1"/>
  <c r="M262" i="103"/>
  <c r="M263" i="103" s="1"/>
  <c r="J262" i="103"/>
  <c r="J263" i="103" s="1"/>
  <c r="G257" i="103"/>
  <c r="V251" i="103"/>
  <c r="D219" i="103"/>
  <c r="V219" i="103" s="1"/>
  <c r="D185" i="103" s="1"/>
  <c r="V185" i="103" s="1"/>
  <c r="D150" i="103" s="1"/>
  <c r="V150" i="103" s="1"/>
  <c r="D110" i="103" s="1"/>
  <c r="V110" i="103" s="1"/>
  <c r="D70" i="103" s="1"/>
  <c r="V70" i="103" s="1"/>
  <c r="D25" i="103" s="1"/>
  <c r="V25" i="103" s="1"/>
  <c r="U251" i="103"/>
  <c r="X251" i="103"/>
  <c r="Z251" i="103" s="1"/>
  <c r="AA251" i="103" s="1"/>
  <c r="AB251" i="103" s="1"/>
  <c r="AD251" i="103" s="1"/>
  <c r="G250" i="103"/>
  <c r="V244" i="103"/>
  <c r="U244" i="103"/>
  <c r="V243" i="103"/>
  <c r="D221" i="103"/>
  <c r="U243" i="103"/>
  <c r="X243" i="103"/>
  <c r="Z243" i="103" s="1"/>
  <c r="AA243" i="103" s="1"/>
  <c r="AB243" i="103" s="1"/>
  <c r="V241" i="103"/>
  <c r="D209" i="103" s="1"/>
  <c r="V209" i="103" s="1"/>
  <c r="D174" i="103" s="1"/>
  <c r="V174" i="103" s="1"/>
  <c r="D138" i="103" s="1"/>
  <c r="V138" i="103" s="1"/>
  <c r="U241" i="103"/>
  <c r="X241" i="103" s="1"/>
  <c r="Z241" i="103" s="1"/>
  <c r="AA241" i="103" s="1"/>
  <c r="AB241" i="103" s="1"/>
  <c r="AD241" i="103" s="1"/>
  <c r="G239" i="103"/>
  <c r="F239" i="103"/>
  <c r="S229" i="103"/>
  <c r="S230" i="103" s="1"/>
  <c r="M229" i="103"/>
  <c r="M230" i="103" s="1"/>
  <c r="G229" i="103"/>
  <c r="G230" i="103" s="1"/>
  <c r="Z225" i="103"/>
  <c r="AA225" i="103"/>
  <c r="U214" i="103"/>
  <c r="X214" i="103" s="1"/>
  <c r="Z214" i="103"/>
  <c r="AA214" i="103" s="1"/>
  <c r="J214" i="103"/>
  <c r="J229" i="103" s="1"/>
  <c r="J230" i="103"/>
  <c r="V213" i="103"/>
  <c r="D179" i="103" s="1"/>
  <c r="V179" i="103" s="1"/>
  <c r="D144" i="103" s="1"/>
  <c r="V144" i="103" s="1"/>
  <c r="D105" i="103" s="1"/>
  <c r="V105" i="103" s="1"/>
  <c r="D65" i="103" s="1"/>
  <c r="V65" i="103" s="1"/>
  <c r="D21" i="103" s="1"/>
  <c r="V21" i="103" s="1"/>
  <c r="U213" i="103"/>
  <c r="V208" i="103"/>
  <c r="D173" i="103"/>
  <c r="V173" i="103" s="1"/>
  <c r="D137" i="103" s="1"/>
  <c r="V137" i="103" s="1"/>
  <c r="D98" i="103" s="1"/>
  <c r="V98" i="103" s="1"/>
  <c r="D55" i="103" s="1"/>
  <c r="V55" i="103" s="1"/>
  <c r="U208" i="103"/>
  <c r="V204" i="103"/>
  <c r="U204" i="103"/>
  <c r="X204" i="103" s="1"/>
  <c r="Z204" i="103" s="1"/>
  <c r="AA204" i="103" s="1"/>
  <c r="AB204" i="103" s="1"/>
  <c r="S195" i="103"/>
  <c r="S196" i="103" s="1"/>
  <c r="P195" i="103"/>
  <c r="P196" i="103" s="1"/>
  <c r="M195" i="103"/>
  <c r="M196" i="103" s="1"/>
  <c r="J195" i="103"/>
  <c r="J196" i="103"/>
  <c r="G195" i="103"/>
  <c r="G196" i="103" s="1"/>
  <c r="Z193" i="103"/>
  <c r="AA193" i="103" s="1"/>
  <c r="Z192" i="103"/>
  <c r="AA192" i="103" s="1"/>
  <c r="Z191" i="103"/>
  <c r="AA191" i="103" s="1"/>
  <c r="Z184" i="103"/>
  <c r="AA184" i="103" s="1"/>
  <c r="Z178" i="103"/>
  <c r="AA178" i="103"/>
  <c r="AB178" i="103" s="1"/>
  <c r="AD178" i="103" s="1"/>
  <c r="V178" i="103"/>
  <c r="D143" i="103" s="1"/>
  <c r="V143" i="103" s="1"/>
  <c r="D104" i="103"/>
  <c r="V104" i="103" s="1"/>
  <c r="U178" i="103"/>
  <c r="C143" i="103"/>
  <c r="U143" i="103" s="1"/>
  <c r="Z177" i="103"/>
  <c r="AA177" i="103" s="1"/>
  <c r="V177" i="103"/>
  <c r="D142" i="103" s="1"/>
  <c r="V142" i="103" s="1"/>
  <c r="U177" i="103"/>
  <c r="C142" i="103" s="1"/>
  <c r="U142" i="103" s="1"/>
  <c r="Z174" i="103"/>
  <c r="AA174" i="103" s="1"/>
  <c r="Z170" i="103"/>
  <c r="AA170" i="103" s="1"/>
  <c r="D169" i="103"/>
  <c r="V169" i="103"/>
  <c r="D133" i="103" s="1"/>
  <c r="V133" i="103" s="1"/>
  <c r="D94" i="103" s="1"/>
  <c r="V94" i="103" s="1"/>
  <c r="M273" i="104"/>
  <c r="V321" i="103"/>
  <c r="D293" i="103" s="1"/>
  <c r="V293" i="103" s="1"/>
  <c r="AI300" i="103" s="1"/>
  <c r="J322" i="103"/>
  <c r="J323" i="103" s="1"/>
  <c r="C291" i="103"/>
  <c r="U274" i="103"/>
  <c r="X274" i="103" s="1"/>
  <c r="C253" i="103"/>
  <c r="U253" i="103"/>
  <c r="X253" i="103" s="1"/>
  <c r="Z253" i="103" s="1"/>
  <c r="AA253" i="103" s="1"/>
  <c r="V52" i="103"/>
  <c r="D12" i="103" s="1"/>
  <c r="V12" i="103" s="1"/>
  <c r="V82" i="103"/>
  <c r="D37" i="103" s="1"/>
  <c r="V37" i="103" s="1"/>
  <c r="W37" i="103" s="1"/>
  <c r="X305" i="103"/>
  <c r="Z305" i="103" s="1"/>
  <c r="AA305" i="103" s="1"/>
  <c r="V197" i="104"/>
  <c r="V250" i="103"/>
  <c r="D218" i="103" s="1"/>
  <c r="V218" i="103" s="1"/>
  <c r="D184" i="103" s="1"/>
  <c r="V184" i="103" s="1"/>
  <c r="N270" i="104"/>
  <c r="V178" i="104"/>
  <c r="P243" i="104"/>
  <c r="V181" i="104"/>
  <c r="W181" i="104"/>
  <c r="W196" i="104"/>
  <c r="V196" i="104"/>
  <c r="V185" i="104"/>
  <c r="W185" i="104"/>
  <c r="V194" i="104"/>
  <c r="W170" i="104"/>
  <c r="V170" i="104"/>
  <c r="W174" i="104"/>
  <c r="V174" i="104"/>
  <c r="V176" i="104"/>
  <c r="W176" i="104"/>
  <c r="V171" i="104"/>
  <c r="W171" i="104"/>
  <c r="V182" i="104"/>
  <c r="W182" i="104"/>
  <c r="V187" i="104"/>
  <c r="W187" i="104"/>
  <c r="V192" i="104"/>
  <c r="W192" i="104"/>
  <c r="V179" i="104"/>
  <c r="W179" i="104"/>
  <c r="N243" i="104"/>
  <c r="W173" i="104"/>
  <c r="V173" i="104"/>
  <c r="V180" i="104"/>
  <c r="W180" i="104"/>
  <c r="W193" i="104"/>
  <c r="V193" i="104"/>
  <c r="V183" i="104"/>
  <c r="W183" i="104"/>
  <c r="V291" i="103"/>
  <c r="D259" i="103" s="1"/>
  <c r="V259" i="103" s="1"/>
  <c r="D226" i="103" s="1"/>
  <c r="V226" i="103" s="1"/>
  <c r="D192" i="103" s="1"/>
  <c r="V192" i="103" s="1"/>
  <c r="D159" i="103" s="1"/>
  <c r="V159" i="103" s="1"/>
  <c r="AB275" i="103"/>
  <c r="AD275" i="103" s="1"/>
  <c r="C180" i="103"/>
  <c r="U180" i="103" s="1"/>
  <c r="X180" i="103"/>
  <c r="Z180" i="103" s="1"/>
  <c r="AA180" i="103" s="1"/>
  <c r="C254" i="103"/>
  <c r="U254" i="103"/>
  <c r="C290" i="103"/>
  <c r="U290" i="103"/>
  <c r="C221" i="103"/>
  <c r="U221" i="103" s="1"/>
  <c r="X221" i="103"/>
  <c r="Z221" i="103" s="1"/>
  <c r="AA221" i="103"/>
  <c r="C240" i="103"/>
  <c r="U240" i="103"/>
  <c r="C283" i="103"/>
  <c r="U283" i="103"/>
  <c r="C250" i="103" s="1"/>
  <c r="U250" i="103" s="1"/>
  <c r="U314" i="103"/>
  <c r="C284" i="103" s="1"/>
  <c r="U284" i="103" s="1"/>
  <c r="U317" i="103"/>
  <c r="C289" i="103" s="1"/>
  <c r="U289" i="103" s="1"/>
  <c r="AD155" i="103"/>
  <c r="G294" i="103"/>
  <c r="G295" i="103" s="1"/>
  <c r="AD286" i="103"/>
  <c r="U291" i="103"/>
  <c r="V314" i="103"/>
  <c r="D284" i="103" s="1"/>
  <c r="V284" i="103" s="1"/>
  <c r="D252" i="103" s="1"/>
  <c r="V252" i="103" s="1"/>
  <c r="D220" i="103" s="1"/>
  <c r="V220" i="103"/>
  <c r="D186" i="103" s="1"/>
  <c r="V186" i="103" s="1"/>
  <c r="D151" i="103" s="1"/>
  <c r="V151" i="103" s="1"/>
  <c r="D111" i="103" s="1"/>
  <c r="V111" i="103" s="1"/>
  <c r="V71" i="103"/>
  <c r="D26" i="103" s="1"/>
  <c r="V26" i="103" s="1"/>
  <c r="AB26" i="103" s="1"/>
  <c r="AD26" i="103" s="1"/>
  <c r="V317" i="103"/>
  <c r="D289" i="103" s="1"/>
  <c r="V289" i="103" s="1"/>
  <c r="D257" i="103" s="1"/>
  <c r="V257" i="103" s="1"/>
  <c r="D225" i="103" s="1"/>
  <c r="V225" i="103" s="1"/>
  <c r="C209" i="103"/>
  <c r="U209" i="103" s="1"/>
  <c r="C174" i="103" s="1"/>
  <c r="U174" i="103" s="1"/>
  <c r="C138" i="103" s="1"/>
  <c r="U138" i="103" s="1"/>
  <c r="U301" i="103"/>
  <c r="V303" i="103"/>
  <c r="D273" i="103" s="1"/>
  <c r="V273" i="103" s="1"/>
  <c r="D238" i="103" s="1"/>
  <c r="V238" i="103" s="1"/>
  <c r="D205" i="103" s="1"/>
  <c r="V205" i="103" s="1"/>
  <c r="D170" i="103" s="1"/>
  <c r="V170" i="103" s="1"/>
  <c r="V281" i="103"/>
  <c r="D248" i="103" s="1"/>
  <c r="V248" i="103" s="1"/>
  <c r="D216" i="103" s="1"/>
  <c r="V216" i="103" s="1"/>
  <c r="D182" i="103" s="1"/>
  <c r="V182" i="103" s="1"/>
  <c r="D147" i="103" s="1"/>
  <c r="V147" i="103" s="1"/>
  <c r="D107" i="103" s="1"/>
  <c r="V107" i="103" s="1"/>
  <c r="V67" i="103"/>
  <c r="D23" i="103" s="1"/>
  <c r="V23" i="103" s="1"/>
  <c r="V340" i="103"/>
  <c r="V301" i="103"/>
  <c r="V309" i="103"/>
  <c r="D279" i="103"/>
  <c r="V279" i="103" s="1"/>
  <c r="D246" i="103" s="1"/>
  <c r="V246" i="103" s="1"/>
  <c r="D212" i="103" s="1"/>
  <c r="V212" i="103" s="1"/>
  <c r="D176" i="103" s="1"/>
  <c r="V176" i="103" s="1"/>
  <c r="D140" i="103" s="1"/>
  <c r="V140" i="103" s="1"/>
  <c r="D101" i="103" s="1"/>
  <c r="V101" i="103" s="1"/>
  <c r="AB141" i="103"/>
  <c r="AD141" i="103" s="1"/>
  <c r="U321" i="103"/>
  <c r="C293" i="103"/>
  <c r="U293" i="103" s="1"/>
  <c r="C261" i="103" s="1"/>
  <c r="U261" i="103" s="1"/>
  <c r="O204" i="104"/>
  <c r="N204" i="104"/>
  <c r="P204" i="104"/>
  <c r="O207" i="104"/>
  <c r="N207" i="104"/>
  <c r="O244" i="104"/>
  <c r="N244" i="104"/>
  <c r="AF275" i="104"/>
  <c r="AE275" i="104"/>
  <c r="AF272" i="104"/>
  <c r="AE272" i="104"/>
  <c r="X308" i="103"/>
  <c r="Z308" i="103"/>
  <c r="AA308" i="103" s="1"/>
  <c r="C278" i="103"/>
  <c r="U278" i="103" s="1"/>
  <c r="X315" i="103"/>
  <c r="Z315" i="103"/>
  <c r="AA315" i="103" s="1"/>
  <c r="C287" i="103"/>
  <c r="U287" i="103" s="1"/>
  <c r="X287" i="103" s="1"/>
  <c r="X307" i="103"/>
  <c r="Z307" i="103" s="1"/>
  <c r="AA307" i="103" s="1"/>
  <c r="C277" i="103"/>
  <c r="U277" i="103"/>
  <c r="X277" i="103" s="1"/>
  <c r="Z277" i="103" s="1"/>
  <c r="AA277" i="103" s="1"/>
  <c r="AB277" i="103" s="1"/>
  <c r="V214" i="103"/>
  <c r="D180" i="103" s="1"/>
  <c r="V180" i="103" s="1"/>
  <c r="D145" i="103" s="1"/>
  <c r="V145" i="103" s="1"/>
  <c r="D106" i="103" s="1"/>
  <c r="V106" i="103" s="1"/>
  <c r="D66" i="103" s="1"/>
  <c r="V66" i="103" s="1"/>
  <c r="Z348" i="103"/>
  <c r="C280" i="103"/>
  <c r="U280" i="103" s="1"/>
  <c r="AA310" i="103"/>
  <c r="C219" i="103"/>
  <c r="U219" i="103" s="1"/>
  <c r="X219" i="103" s="1"/>
  <c r="X306" i="103"/>
  <c r="Z306" i="103" s="1"/>
  <c r="AA306" i="103" s="1"/>
  <c r="C279" i="103"/>
  <c r="U279" i="103" s="1"/>
  <c r="Z309" i="103"/>
  <c r="AA309" i="103" s="1"/>
  <c r="X311" i="103"/>
  <c r="Z311" i="103" s="1"/>
  <c r="AA311" i="103" s="1"/>
  <c r="C281" i="103"/>
  <c r="U281" i="103" s="1"/>
  <c r="C292" i="103"/>
  <c r="U292" i="103"/>
  <c r="X320" i="103"/>
  <c r="Z320" i="103"/>
  <c r="AA320" i="103" s="1"/>
  <c r="X316" i="103"/>
  <c r="Z316" i="103"/>
  <c r="AA316" i="103" s="1"/>
  <c r="C288" i="103"/>
  <c r="U288" i="103" s="1"/>
  <c r="V333" i="103"/>
  <c r="P294" i="103"/>
  <c r="P295" i="103" s="1"/>
  <c r="P341" i="103"/>
  <c r="V341" i="103" s="1"/>
  <c r="D322" i="103"/>
  <c r="D323" i="103" s="1"/>
  <c r="AB37" i="103"/>
  <c r="AD37" i="103" s="1"/>
  <c r="X304" i="103"/>
  <c r="Z304" i="103" s="1"/>
  <c r="AA304" i="103"/>
  <c r="C187" i="103"/>
  <c r="U187" i="103" s="1"/>
  <c r="C152" i="103" s="1"/>
  <c r="U152" i="103"/>
  <c r="Z152" i="103"/>
  <c r="AA152" i="103"/>
  <c r="C145" i="103"/>
  <c r="U145" i="103"/>
  <c r="X145" i="103" s="1"/>
  <c r="Z145" i="103" s="1"/>
  <c r="AA145" i="103" s="1"/>
  <c r="D261" i="103"/>
  <c r="V261" i="103" s="1"/>
  <c r="D228" i="103" s="1"/>
  <c r="V228" i="103" s="1"/>
  <c r="D194" i="103" s="1"/>
  <c r="V194" i="103" s="1"/>
  <c r="D161" i="103" s="1"/>
  <c r="V161" i="103" s="1"/>
  <c r="D122" i="103"/>
  <c r="V122" i="103" s="1"/>
  <c r="V83" i="103"/>
  <c r="D38" i="103" s="1"/>
  <c r="V38" i="103"/>
  <c r="AB38" i="103" s="1"/>
  <c r="AD38" i="103" s="1"/>
  <c r="AB82" i="103"/>
  <c r="AD82" i="103" s="1"/>
  <c r="W82" i="103"/>
  <c r="X321" i="103"/>
  <c r="Z321" i="103"/>
  <c r="AA321" i="103" s="1"/>
  <c r="X317" i="103"/>
  <c r="Z317" i="103" s="1"/>
  <c r="AA317" i="103"/>
  <c r="X240" i="103"/>
  <c r="Z240" i="103"/>
  <c r="AA240" i="103" s="1"/>
  <c r="AB240" i="103" s="1"/>
  <c r="AD240" i="103" s="1"/>
  <c r="C207" i="103"/>
  <c r="U207" i="103" s="1"/>
  <c r="V51" i="103"/>
  <c r="D11" i="103" s="1"/>
  <c r="V11" i="103" s="1"/>
  <c r="AB11" i="103" s="1"/>
  <c r="AD11" i="103" s="1"/>
  <c r="V80" i="103"/>
  <c r="X314" i="103"/>
  <c r="Z314" i="103" s="1"/>
  <c r="AA314" i="103" s="1"/>
  <c r="P348" i="103"/>
  <c r="P349" i="103" s="1"/>
  <c r="X283" i="103"/>
  <c r="Z283" i="103" s="1"/>
  <c r="AA283" i="103" s="1"/>
  <c r="AB283" i="103" s="1"/>
  <c r="AD283" i="103" s="1"/>
  <c r="Z287" i="103"/>
  <c r="AA287" i="103" s="1"/>
  <c r="C255" i="103"/>
  <c r="U255" i="103" s="1"/>
  <c r="X289" i="103"/>
  <c r="Z289" i="103" s="1"/>
  <c r="AA289" i="103" s="1"/>
  <c r="C257" i="103"/>
  <c r="U257" i="103"/>
  <c r="Z274" i="103"/>
  <c r="AA274" i="103"/>
  <c r="C239" i="103"/>
  <c r="U239" i="103" s="1"/>
  <c r="X276" i="103"/>
  <c r="Z276" i="103" s="1"/>
  <c r="AA276" i="103" s="1"/>
  <c r="AB276" i="103" s="1"/>
  <c r="AD276" i="103" s="1"/>
  <c r="C242" i="103"/>
  <c r="U242" i="103" s="1"/>
  <c r="C210" i="103" s="1"/>
  <c r="U210" i="103" s="1"/>
  <c r="X292" i="103"/>
  <c r="Z292" i="103" s="1"/>
  <c r="AA292" i="103" s="1"/>
  <c r="C260" i="103"/>
  <c r="U260" i="103" s="1"/>
  <c r="Z219" i="103"/>
  <c r="AA219" i="103"/>
  <c r="AB219" i="103" s="1"/>
  <c r="AD219" i="103" s="1"/>
  <c r="C185" i="103"/>
  <c r="U185" i="103"/>
  <c r="C106" i="103"/>
  <c r="U106" i="103" s="1"/>
  <c r="X187" i="103"/>
  <c r="Z187" i="103" s="1"/>
  <c r="AA187" i="103" s="1"/>
  <c r="W51" i="103"/>
  <c r="AB145" i="103"/>
  <c r="AD145" i="103" s="1"/>
  <c r="J198" i="104"/>
  <c r="X242" i="103"/>
  <c r="Z242" i="103" s="1"/>
  <c r="AA242" i="103" s="1"/>
  <c r="AB242" i="103" s="1"/>
  <c r="AD242" i="103" s="1"/>
  <c r="X106" i="103"/>
  <c r="Z106" i="103" s="1"/>
  <c r="AA106" i="103" s="1"/>
  <c r="AB21" i="103"/>
  <c r="AD21" i="103" s="1"/>
  <c r="O198" i="104"/>
  <c r="X210" i="103"/>
  <c r="Z210" i="103"/>
  <c r="AA210" i="103" s="1"/>
  <c r="AB210" i="103" s="1"/>
  <c r="AD210" i="103" s="1"/>
  <c r="C175" i="103"/>
  <c r="U175" i="103" s="1"/>
  <c r="X175" i="103" s="1"/>
  <c r="Z175" i="103" s="1"/>
  <c r="AA175" i="103" s="1"/>
  <c r="AB175" i="103" s="1"/>
  <c r="AD175" i="103" s="1"/>
  <c r="Z146" i="103"/>
  <c r="AA146" i="103" s="1"/>
  <c r="AB146" i="103" s="1"/>
  <c r="AD146" i="103" s="1"/>
  <c r="AB31" i="103"/>
  <c r="AD31" i="103" s="1"/>
  <c r="AB25" i="103"/>
  <c r="AD25" i="103" s="1"/>
  <c r="AB14" i="103"/>
  <c r="U71" i="103"/>
  <c r="U48" i="103"/>
  <c r="C9" i="103" s="1"/>
  <c r="U9" i="103" s="1"/>
  <c r="X9" i="103" s="1"/>
  <c r="Z9" i="103" s="1"/>
  <c r="U83" i="103"/>
  <c r="C38" i="103" s="1"/>
  <c r="U38" i="103" s="1"/>
  <c r="X38" i="103" s="1"/>
  <c r="Z38" i="103" s="1"/>
  <c r="X48" i="103"/>
  <c r="Z48" i="103" s="1"/>
  <c r="AA48" i="103" s="1"/>
  <c r="AB48" i="103" s="1"/>
  <c r="AD48" i="103" s="1"/>
  <c r="U68" i="103"/>
  <c r="X68" i="103" s="1"/>
  <c r="Z68" i="103" s="1"/>
  <c r="AA68" i="103" s="1"/>
  <c r="AB68" i="103" s="1"/>
  <c r="U67" i="103"/>
  <c r="C23" i="103"/>
  <c r="U23" i="103" s="1"/>
  <c r="X23" i="103" s="1"/>
  <c r="Z23" i="103" s="1"/>
  <c r="U59" i="103"/>
  <c r="X59" i="103" s="1"/>
  <c r="Z59" i="103" s="1"/>
  <c r="AA59" i="103" s="1"/>
  <c r="AB59" i="103" s="1"/>
  <c r="U57" i="103"/>
  <c r="U78" i="103"/>
  <c r="C33" i="103" s="1"/>
  <c r="U33" i="103" s="1"/>
  <c r="U79" i="103"/>
  <c r="C34" i="103"/>
  <c r="U34" i="103" s="1"/>
  <c r="U52" i="103"/>
  <c r="C12" i="103"/>
  <c r="U12" i="103" s="1"/>
  <c r="AB23" i="103"/>
  <c r="AD23" i="103" s="1"/>
  <c r="W23" i="103"/>
  <c r="AB12" i="103"/>
  <c r="AD12" i="103" s="1"/>
  <c r="AB33" i="103"/>
  <c r="AD33" i="103" s="1"/>
  <c r="AB34" i="103"/>
  <c r="AD34" i="103" s="1"/>
  <c r="AD14" i="103"/>
  <c r="AD27" i="103"/>
  <c r="X79" i="103"/>
  <c r="Z79" i="103" s="1"/>
  <c r="AA79" i="103" s="1"/>
  <c r="AB79" i="103" s="1"/>
  <c r="AD79" i="103" s="1"/>
  <c r="W79" i="103"/>
  <c r="X57" i="103"/>
  <c r="Z57" i="103" s="1"/>
  <c r="AA57" i="103" s="1"/>
  <c r="AB57" i="103" s="1"/>
  <c r="X67" i="103"/>
  <c r="Z67" i="103" s="1"/>
  <c r="AA67" i="103" s="1"/>
  <c r="W67" i="103"/>
  <c r="X78" i="103"/>
  <c r="Z78" i="103" s="1"/>
  <c r="AA78" i="103" s="1"/>
  <c r="AB78" i="103" s="1"/>
  <c r="AD78" i="103" s="1"/>
  <c r="X52" i="103"/>
  <c r="Z52" i="103" s="1"/>
  <c r="AA52" i="103" s="1"/>
  <c r="AB52" i="103" s="1"/>
  <c r="AD52" i="103" s="1"/>
  <c r="W52" i="103"/>
  <c r="F8" i="16"/>
  <c r="F12" i="16" s="1"/>
  <c r="K101" i="11"/>
  <c r="C99" i="11"/>
  <c r="K99" i="11"/>
  <c r="L103" i="11"/>
  <c r="K103" i="11"/>
  <c r="I102" i="11"/>
  <c r="E102" i="11"/>
  <c r="L100" i="11"/>
  <c r="K100" i="11"/>
  <c r="G19" i="16"/>
  <c r="G10" i="16"/>
  <c r="AA39" i="103"/>
  <c r="AB67" i="103"/>
  <c r="AD67" i="103" s="1"/>
  <c r="C102" i="11"/>
  <c r="L102" i="11" s="1"/>
  <c r="AB152" i="103"/>
  <c r="AD152" i="103"/>
  <c r="L99" i="11"/>
  <c r="V48" i="103"/>
  <c r="D9" i="103"/>
  <c r="V9" i="103" s="1"/>
  <c r="AB9" i="103" s="1"/>
  <c r="AD9" i="103" s="1"/>
  <c r="G17" i="16"/>
  <c r="G21" i="16"/>
  <c r="F17" i="16"/>
  <c r="F21" i="16" s="1"/>
  <c r="K110" i="11"/>
  <c r="K84" i="11"/>
  <c r="K85" i="11"/>
  <c r="L90" i="11"/>
  <c r="K90" i="11"/>
  <c r="I89" i="11"/>
  <c r="K89" i="11" s="1"/>
  <c r="E89" i="11"/>
  <c r="K88" i="11"/>
  <c r="L87" i="11"/>
  <c r="K87" i="11"/>
  <c r="L86" i="11"/>
  <c r="K86" i="11"/>
  <c r="H19" i="16"/>
  <c r="L144" i="11"/>
  <c r="G8" i="16"/>
  <c r="G12" i="16"/>
  <c r="G24" i="16" s="1"/>
  <c r="G29" i="16" s="1"/>
  <c r="H17" i="16"/>
  <c r="H21" i="16" s="1"/>
  <c r="K72" i="11"/>
  <c r="K97" i="11"/>
  <c r="K75" i="11"/>
  <c r="H8" i="16"/>
  <c r="H12" i="16"/>
  <c r="I17" i="16"/>
  <c r="I21" i="16" s="1"/>
  <c r="X33" i="11"/>
  <c r="X34" i="11" s="1"/>
  <c r="X35" i="11" s="1"/>
  <c r="X36" i="11" s="1"/>
  <c r="X37" i="11" s="1"/>
  <c r="X38" i="11" s="1"/>
  <c r="X39" i="11" s="1"/>
  <c r="X40" i="11" s="1"/>
  <c r="X41" i="11" s="1"/>
  <c r="T42" i="11"/>
  <c r="T44" i="11" s="1"/>
  <c r="X88" i="11"/>
  <c r="X89" i="11" s="1"/>
  <c r="X90" i="11" s="1"/>
  <c r="X91" i="11"/>
  <c r="X92" i="11" s="1"/>
  <c r="X93" i="11" s="1"/>
  <c r="T94" i="11"/>
  <c r="K73" i="11"/>
  <c r="I76" i="11"/>
  <c r="L77" i="11"/>
  <c r="K77" i="11"/>
  <c r="E76" i="11"/>
  <c r="K76" i="11" s="1"/>
  <c r="L74" i="11"/>
  <c r="K74" i="11"/>
  <c r="L73" i="11"/>
  <c r="I41" i="11"/>
  <c r="L64" i="11"/>
  <c r="K64" i="11"/>
  <c r="I63" i="11"/>
  <c r="E63" i="11"/>
  <c r="L63" i="11" s="1"/>
  <c r="L62" i="11"/>
  <c r="K62" i="11"/>
  <c r="L61" i="11"/>
  <c r="K61" i="11"/>
  <c r="H61" i="11" s="1"/>
  <c r="F61" i="11"/>
  <c r="I50" i="11"/>
  <c r="K40" i="11"/>
  <c r="O47" i="11"/>
  <c r="E50" i="11"/>
  <c r="G40" i="11"/>
  <c r="G39" i="11"/>
  <c r="G38" i="11"/>
  <c r="C37" i="11"/>
  <c r="C36" i="11"/>
  <c r="C35" i="11"/>
  <c r="G35" i="11"/>
  <c r="C34" i="11"/>
  <c r="C41" i="11" s="1"/>
  <c r="K24" i="11" s="1"/>
  <c r="L51" i="11"/>
  <c r="K51" i="11"/>
  <c r="L49" i="11"/>
  <c r="K49" i="11"/>
  <c r="L48" i="11"/>
  <c r="K48" i="11"/>
  <c r="D48" i="11" s="1"/>
  <c r="J12" i="16"/>
  <c r="K21" i="16"/>
  <c r="K12" i="16"/>
  <c r="I8" i="16"/>
  <c r="I12" i="16"/>
  <c r="I24" i="16" s="1"/>
  <c r="I29" i="16" s="1"/>
  <c r="K24" i="16"/>
  <c r="J21" i="16"/>
  <c r="J24" i="16"/>
  <c r="J29" i="16" s="1"/>
  <c r="J31" i="16" s="1"/>
  <c r="L29" i="11"/>
  <c r="L27" i="11"/>
  <c r="L26" i="11"/>
  <c r="L23" i="11"/>
  <c r="E331" i="1"/>
  <c r="E333" i="1" s="1"/>
  <c r="F332" i="1"/>
  <c r="D333" i="1"/>
  <c r="N21" i="16"/>
  <c r="N12" i="16"/>
  <c r="N24" i="16" s="1"/>
  <c r="E41" i="11"/>
  <c r="I28" i="11"/>
  <c r="L28" i="11" s="1"/>
  <c r="K29" i="11"/>
  <c r="K27" i="11"/>
  <c r="K26" i="11"/>
  <c r="J26" i="11" s="1"/>
  <c r="K23" i="11"/>
  <c r="H23" i="11" s="1"/>
  <c r="C19" i="11"/>
  <c r="E19" i="11"/>
  <c r="G19" i="11"/>
  <c r="I19" i="11"/>
  <c r="K18" i="11"/>
  <c r="H18" i="11" s="1"/>
  <c r="K17" i="11"/>
  <c r="J17" i="11"/>
  <c r="K16" i="11"/>
  <c r="J16" i="11"/>
  <c r="K15" i="11"/>
  <c r="F15" i="11"/>
  <c r="K14" i="11"/>
  <c r="D14" i="11" s="1"/>
  <c r="K13" i="11"/>
  <c r="F13" i="11" s="1"/>
  <c r="K12" i="11"/>
  <c r="J12" i="11" s="1"/>
  <c r="D315" i="1"/>
  <c r="D296" i="1"/>
  <c r="D277" i="1"/>
  <c r="D220" i="1"/>
  <c r="D163" i="1"/>
  <c r="D144" i="1"/>
  <c r="D106" i="1"/>
  <c r="D68" i="1"/>
  <c r="D327" i="1"/>
  <c r="D329" i="1"/>
  <c r="D311" i="1"/>
  <c r="D292" i="1"/>
  <c r="D273" i="1"/>
  <c r="D254" i="1"/>
  <c r="D235" i="1"/>
  <c r="D216" i="1"/>
  <c r="D197" i="1"/>
  <c r="D178" i="1"/>
  <c r="D159" i="1"/>
  <c r="D140" i="1"/>
  <c r="D121" i="1"/>
  <c r="D102" i="1"/>
  <c r="D111" i="1"/>
  <c r="D73" i="1"/>
  <c r="D54" i="1"/>
  <c r="D35" i="1"/>
  <c r="D313" i="1"/>
  <c r="D316" i="1" s="1"/>
  <c r="D294" i="1"/>
  <c r="D275" i="1"/>
  <c r="D285" i="1" s="1"/>
  <c r="D256" i="1"/>
  <c r="D237" i="1"/>
  <c r="D240" i="1" s="1"/>
  <c r="D218" i="1"/>
  <c r="D221" i="1" s="1"/>
  <c r="D199" i="1"/>
  <c r="D209" i="1" s="1"/>
  <c r="D180" i="1"/>
  <c r="D183" i="1" s="1"/>
  <c r="D161" i="1"/>
  <c r="D142" i="1"/>
  <c r="D123" i="1"/>
  <c r="D133" i="1" s="1"/>
  <c r="D104" i="1"/>
  <c r="D107" i="1" s="1"/>
  <c r="D113" i="1" s="1"/>
  <c r="D85" i="1"/>
  <c r="D66" i="1"/>
  <c r="D28" i="1"/>
  <c r="D10" i="1"/>
  <c r="D16" i="1" s="1"/>
  <c r="D87" i="1"/>
  <c r="D88" i="1" s="1"/>
  <c r="D83" i="1"/>
  <c r="D64" i="1"/>
  <c r="D72" i="1" s="1"/>
  <c r="D49" i="1"/>
  <c r="D47" i="1"/>
  <c r="D30" i="1"/>
  <c r="D31" i="1" s="1"/>
  <c r="D45" i="1"/>
  <c r="D53" i="1" s="1"/>
  <c r="D26" i="1"/>
  <c r="D38" i="1" s="1"/>
  <c r="D8" i="1"/>
  <c r="D19" i="1" s="1"/>
  <c r="D16" i="11"/>
  <c r="F16" i="11"/>
  <c r="H16" i="11"/>
  <c r="K28" i="11"/>
  <c r="J28" i="11" s="1"/>
  <c r="D326" i="1"/>
  <c r="H17" i="11"/>
  <c r="D323" i="1"/>
  <c r="D202" i="1"/>
  <c r="D15" i="11"/>
  <c r="F17" i="11"/>
  <c r="J13" i="11"/>
  <c r="J14" i="11"/>
  <c r="J15" i="11"/>
  <c r="D17" i="11"/>
  <c r="H14" i="11"/>
  <c r="D37" i="1"/>
  <c r="F12" i="11"/>
  <c r="H15" i="11"/>
  <c r="D26" i="11"/>
  <c r="H26" i="11"/>
  <c r="D34" i="1"/>
  <c r="N29" i="16"/>
  <c r="H28" i="11"/>
  <c r="D23" i="11"/>
  <c r="D25" i="11" s="1"/>
  <c r="C25" i="11"/>
  <c r="H25" i="11"/>
  <c r="G25" i="11" s="1"/>
  <c r="F26" i="11"/>
  <c r="D12" i="11"/>
  <c r="L17" i="16"/>
  <c r="L21" i="16" s="1"/>
  <c r="N31" i="16"/>
  <c r="N33" i="16" s="1"/>
  <c r="N35" i="16" s="1"/>
  <c r="G41" i="11"/>
  <c r="K46" i="11" s="1"/>
  <c r="L12" i="16"/>
  <c r="C30" i="111"/>
  <c r="C29" i="111"/>
  <c r="C24" i="111"/>
  <c r="C26" i="111" s="1"/>
  <c r="E25" i="124"/>
  <c r="E27" i="124" s="1"/>
  <c r="C29" i="125"/>
  <c r="C40" i="125" s="1"/>
  <c r="C31" i="124"/>
  <c r="C30" i="125"/>
  <c r="C30" i="114"/>
  <c r="C29" i="114"/>
  <c r="C24" i="114"/>
  <c r="C26" i="114"/>
  <c r="C30" i="124"/>
  <c r="C42" i="124" s="1"/>
  <c r="C40" i="114"/>
  <c r="C256" i="103" l="1"/>
  <c r="U256" i="103" s="1"/>
  <c r="X288" i="103"/>
  <c r="Z288" i="103" s="1"/>
  <c r="AA288" i="103" s="1"/>
  <c r="AB288" i="103" s="1"/>
  <c r="AD288" i="103" s="1"/>
  <c r="C247" i="103"/>
  <c r="U247" i="103" s="1"/>
  <c r="X280" i="103"/>
  <c r="Z280" i="103" s="1"/>
  <c r="AA280" i="103" s="1"/>
  <c r="X284" i="103"/>
  <c r="Z284" i="103" s="1"/>
  <c r="AA284" i="103" s="1"/>
  <c r="AB284" i="103" s="1"/>
  <c r="AD284" i="103" s="1"/>
  <c r="C252" i="103"/>
  <c r="U252" i="103" s="1"/>
  <c r="D171" i="1"/>
  <c r="AB106" i="103"/>
  <c r="AD106" i="103" s="1"/>
  <c r="AB289" i="103"/>
  <c r="AD289" i="103" s="1"/>
  <c r="AB184" i="103"/>
  <c r="AD184" i="103" s="1"/>
  <c r="D149" i="103"/>
  <c r="V149" i="103" s="1"/>
  <c r="C12" i="124"/>
  <c r="C25" i="124" s="1"/>
  <c r="C27" i="124" s="1"/>
  <c r="C41" i="111"/>
  <c r="F28" i="11"/>
  <c r="H13" i="11"/>
  <c r="D15" i="1"/>
  <c r="D13" i="11"/>
  <c r="D247" i="1"/>
  <c r="D12" i="1"/>
  <c r="D18" i="1" s="1"/>
  <c r="D57" i="1"/>
  <c r="D126" i="1"/>
  <c r="D190" i="1"/>
  <c r="H12" i="11"/>
  <c r="F23" i="11"/>
  <c r="F25" i="11" s="1"/>
  <c r="E25" i="11" s="1"/>
  <c r="D61" i="11"/>
  <c r="J61" i="11"/>
  <c r="H24" i="16"/>
  <c r="H29" i="16" s="1"/>
  <c r="W48" i="103"/>
  <c r="W78" i="103"/>
  <c r="X83" i="103"/>
  <c r="Z83" i="103" s="1"/>
  <c r="AA83" i="103" s="1"/>
  <c r="AB83" i="103" s="1"/>
  <c r="AD83" i="103" s="1"/>
  <c r="C139" i="103"/>
  <c r="U139" i="103" s="1"/>
  <c r="X139" i="103" s="1"/>
  <c r="D35" i="103"/>
  <c r="V35" i="103" s="1"/>
  <c r="X209" i="103"/>
  <c r="Z209" i="103" s="1"/>
  <c r="AA209" i="103" s="1"/>
  <c r="AB209" i="103" s="1"/>
  <c r="N208" i="104"/>
  <c r="AA348" i="103"/>
  <c r="AF274" i="104"/>
  <c r="AE274" i="104"/>
  <c r="AG274" i="104"/>
  <c r="AB177" i="103"/>
  <c r="AD177" i="103" s="1"/>
  <c r="V310" i="103"/>
  <c r="D280" i="103" s="1"/>
  <c r="V280" i="103" s="1"/>
  <c r="D247" i="103" s="1"/>
  <c r="V247" i="103" s="1"/>
  <c r="D215" i="103" s="1"/>
  <c r="V215" i="103" s="1"/>
  <c r="D181" i="103" s="1"/>
  <c r="V181" i="103" s="1"/>
  <c r="D146" i="103" s="1"/>
  <c r="V320" i="103"/>
  <c r="D292" i="103" s="1"/>
  <c r="V292" i="103" s="1"/>
  <c r="D260" i="103" s="1"/>
  <c r="V260" i="103" s="1"/>
  <c r="D227" i="103" s="1"/>
  <c r="V227" i="103" s="1"/>
  <c r="D193" i="103" s="1"/>
  <c r="V193" i="103" s="1"/>
  <c r="D160" i="103" s="1"/>
  <c r="V160" i="103" s="1"/>
  <c r="T213" i="104"/>
  <c r="W213" i="104" s="1"/>
  <c r="T219" i="104"/>
  <c r="W219" i="104" s="1"/>
  <c r="T259" i="104"/>
  <c r="T268" i="104"/>
  <c r="AB116" i="103"/>
  <c r="AD116" i="103" s="1"/>
  <c r="P164" i="104"/>
  <c r="O164" i="104"/>
  <c r="N167" i="104"/>
  <c r="O167" i="104"/>
  <c r="P167" i="104"/>
  <c r="U82" i="104"/>
  <c r="V82" i="104" s="1"/>
  <c r="W82" i="104"/>
  <c r="U28" i="104"/>
  <c r="V28" i="104" s="1"/>
  <c r="W28" i="104"/>
  <c r="U273" i="103"/>
  <c r="V304" i="103"/>
  <c r="D274" i="103" s="1"/>
  <c r="V274" i="103" s="1"/>
  <c r="D239" i="103" s="1"/>
  <c r="V239" i="103" s="1"/>
  <c r="D206" i="103" s="1"/>
  <c r="V206" i="103" s="1"/>
  <c r="D171" i="103" s="1"/>
  <c r="V171" i="103" s="1"/>
  <c r="D135" i="103" s="1"/>
  <c r="V135" i="103" s="1"/>
  <c r="D96" i="103" s="1"/>
  <c r="V96" i="103" s="1"/>
  <c r="T226" i="104"/>
  <c r="W226" i="104" s="1"/>
  <c r="T232" i="104"/>
  <c r="W232" i="104" s="1"/>
  <c r="T234" i="104"/>
  <c r="W234" i="104" s="1"/>
  <c r="P242" i="104"/>
  <c r="T290" i="104"/>
  <c r="M311" i="104"/>
  <c r="O312" i="104" s="1"/>
  <c r="O311" i="104"/>
  <c r="T304" i="104"/>
  <c r="O340" i="104"/>
  <c r="P338" i="104"/>
  <c r="N340" i="104"/>
  <c r="T169" i="104"/>
  <c r="W169" i="104" s="1"/>
  <c r="T177" i="104"/>
  <c r="D62" i="103"/>
  <c r="V62" i="103" s="1"/>
  <c r="D46" i="103"/>
  <c r="V46" i="103" s="1"/>
  <c r="D8" i="103" s="1"/>
  <c r="V8" i="103" s="1"/>
  <c r="D77" i="103"/>
  <c r="V77" i="103" s="1"/>
  <c r="K112" i="11"/>
  <c r="L113" i="11"/>
  <c r="E26" i="114"/>
  <c r="C46" i="103"/>
  <c r="U46" i="103" s="1"/>
  <c r="X90" i="103"/>
  <c r="Z90" i="103" s="1"/>
  <c r="AA90" i="103" s="1"/>
  <c r="X119" i="103"/>
  <c r="Z119" i="103" s="1"/>
  <c r="AA119" i="103" s="1"/>
  <c r="C80" i="103"/>
  <c r="U80" i="103" s="1"/>
  <c r="W80" i="103" s="1"/>
  <c r="W49" i="103"/>
  <c r="D10" i="103"/>
  <c r="V10" i="103" s="1"/>
  <c r="AB10" i="103" s="1"/>
  <c r="AD10" i="103" s="1"/>
  <c r="X112" i="103"/>
  <c r="Z112" i="103" s="1"/>
  <c r="AA112" i="103" s="1"/>
  <c r="AB112" i="103" s="1"/>
  <c r="AD112" i="103" s="1"/>
  <c r="C72" i="103"/>
  <c r="U72" i="103" s="1"/>
  <c r="P168" i="104"/>
  <c r="Q145" i="104" s="1"/>
  <c r="E157" i="104"/>
  <c r="N138" i="104"/>
  <c r="T142" i="104"/>
  <c r="T156" i="104"/>
  <c r="W156" i="104" s="1"/>
  <c r="T140" i="104"/>
  <c r="U140" i="104" s="1"/>
  <c r="V140" i="104" s="1"/>
  <c r="T89" i="104"/>
  <c r="T43" i="104"/>
  <c r="O52" i="104"/>
  <c r="T26" i="104"/>
  <c r="T141" i="104"/>
  <c r="T150" i="104"/>
  <c r="T155" i="104"/>
  <c r="T160" i="104"/>
  <c r="O158" i="104"/>
  <c r="C73" i="103"/>
  <c r="U73" i="103" s="1"/>
  <c r="H128" i="104"/>
  <c r="N128" i="104" s="1"/>
  <c r="N118" i="104"/>
  <c r="U75" i="104"/>
  <c r="V75" i="104" s="1"/>
  <c r="U106" i="104"/>
  <c r="V106" i="104" s="1"/>
  <c r="T84" i="104"/>
  <c r="T98" i="104"/>
  <c r="T103" i="104"/>
  <c r="AB58" i="103"/>
  <c r="AD58" i="103" s="1"/>
  <c r="J143" i="11"/>
  <c r="J146" i="11" s="1"/>
  <c r="J21" i="129"/>
  <c r="K21" i="129" s="1"/>
  <c r="T99" i="104"/>
  <c r="T101" i="104"/>
  <c r="P44" i="103"/>
  <c r="P60" i="104"/>
  <c r="T11" i="104"/>
  <c r="T31" i="104"/>
  <c r="T38" i="104"/>
  <c r="T42" i="104"/>
  <c r="T36" i="104"/>
  <c r="U36" i="104" s="1"/>
  <c r="U33" i="104"/>
  <c r="V33" i="104" s="1"/>
  <c r="F120" i="121"/>
  <c r="F129" i="121" s="1"/>
  <c r="F139" i="121" s="1"/>
  <c r="I143" i="121" s="1"/>
  <c r="D120" i="121"/>
  <c r="D129" i="121" s="1"/>
  <c r="D139" i="121" s="1"/>
  <c r="K25" i="131"/>
  <c r="D25" i="131" s="1"/>
  <c r="F25" i="131"/>
  <c r="G18" i="131"/>
  <c r="E18" i="131"/>
  <c r="D76" i="11"/>
  <c r="H76" i="11"/>
  <c r="J76" i="11"/>
  <c r="D89" i="11"/>
  <c r="H89" i="11"/>
  <c r="F89" i="11"/>
  <c r="W34" i="103"/>
  <c r="X34" i="103"/>
  <c r="Z34" i="103" s="1"/>
  <c r="K63" i="11"/>
  <c r="H31" i="16"/>
  <c r="H33" i="16"/>
  <c r="H35" i="16" s="1"/>
  <c r="G24" i="11"/>
  <c r="G30" i="11" s="1"/>
  <c r="E24" i="11"/>
  <c r="E30" i="11" s="1"/>
  <c r="I24" i="11"/>
  <c r="I30" i="11" s="1"/>
  <c r="K30" i="11"/>
  <c r="C24" i="11"/>
  <c r="K50" i="11"/>
  <c r="L50" i="11"/>
  <c r="F50" i="11"/>
  <c r="G31" i="16"/>
  <c r="G33" i="16"/>
  <c r="G35" i="16" s="1"/>
  <c r="I31" i="16"/>
  <c r="I33" i="16"/>
  <c r="I35" i="16" s="1"/>
  <c r="L76" i="11"/>
  <c r="D28" i="11"/>
  <c r="D50" i="1"/>
  <c r="D56" i="1" s="1"/>
  <c r="D76" i="1"/>
  <c r="D69" i="1"/>
  <c r="D75" i="1" s="1"/>
  <c r="F18" i="11"/>
  <c r="J18" i="11"/>
  <c r="K102" i="11"/>
  <c r="D102" i="11" s="1"/>
  <c r="W38" i="103"/>
  <c r="C150" i="103"/>
  <c r="U150" i="103" s="1"/>
  <c r="X150" i="103" s="1"/>
  <c r="X185" i="103"/>
  <c r="Z185" i="103" s="1"/>
  <c r="AA185" i="103" s="1"/>
  <c r="AB185" i="103" s="1"/>
  <c r="AD185" i="103" s="1"/>
  <c r="X260" i="103"/>
  <c r="Z260" i="103" s="1"/>
  <c r="AA260" i="103" s="1"/>
  <c r="AB260" i="103" s="1"/>
  <c r="AD260" i="103" s="1"/>
  <c r="C227" i="103"/>
  <c r="U227" i="103" s="1"/>
  <c r="C206" i="103"/>
  <c r="U206" i="103" s="1"/>
  <c r="X239" i="103"/>
  <c r="Z239" i="103" s="1"/>
  <c r="AA239" i="103" s="1"/>
  <c r="AB239" i="103" s="1"/>
  <c r="AD239" i="103" s="1"/>
  <c r="AB35" i="103"/>
  <c r="AD35" i="103" s="1"/>
  <c r="X250" i="103"/>
  <c r="Z250" i="103" s="1"/>
  <c r="AA250" i="103" s="1"/>
  <c r="AB250" i="103" s="1"/>
  <c r="AD250" i="103" s="1"/>
  <c r="C218" i="103"/>
  <c r="U218" i="103" s="1"/>
  <c r="D99" i="103"/>
  <c r="V99" i="103" s="1"/>
  <c r="AB138" i="103"/>
  <c r="V172" i="104"/>
  <c r="W172" i="104"/>
  <c r="J23" i="11"/>
  <c r="J25" i="11" s="1"/>
  <c r="I25" i="11" s="1"/>
  <c r="L25" i="11" s="1"/>
  <c r="K19" i="11"/>
  <c r="D19" i="11" s="1"/>
  <c r="D278" i="1"/>
  <c r="D114" i="1"/>
  <c r="W9" i="103"/>
  <c r="X71" i="103"/>
  <c r="Z71" i="103" s="1"/>
  <c r="AA71" i="103" s="1"/>
  <c r="AB71" i="103" s="1"/>
  <c r="AD71" i="103" s="1"/>
  <c r="W71" i="103"/>
  <c r="C26" i="103"/>
  <c r="U26" i="103" s="1"/>
  <c r="X33" i="103"/>
  <c r="Z33" i="103" s="1"/>
  <c r="W33" i="103"/>
  <c r="C66" i="103"/>
  <c r="U66" i="103" s="1"/>
  <c r="W66" i="103" s="1"/>
  <c r="W106" i="103"/>
  <c r="D22" i="103"/>
  <c r="V22" i="103" s="1"/>
  <c r="J33" i="16"/>
  <c r="J35" i="16" s="1"/>
  <c r="D325" i="1"/>
  <c r="D334" i="1" s="1"/>
  <c r="D228" i="1"/>
  <c r="D145" i="1"/>
  <c r="D152" i="1"/>
  <c r="W12" i="103"/>
  <c r="X12" i="103"/>
  <c r="Z12" i="103" s="1"/>
  <c r="X261" i="103"/>
  <c r="Z261" i="103" s="1"/>
  <c r="AA261" i="103" s="1"/>
  <c r="AB261" i="103" s="1"/>
  <c r="AD261" i="103" s="1"/>
  <c r="C228" i="103"/>
  <c r="U228" i="103" s="1"/>
  <c r="C225" i="103"/>
  <c r="U225" i="103" s="1"/>
  <c r="C191" i="103" s="1"/>
  <c r="U191" i="103" s="1"/>
  <c r="C158" i="103" s="1"/>
  <c r="U158" i="103" s="1"/>
  <c r="X257" i="103"/>
  <c r="Z257" i="103" s="1"/>
  <c r="AA257" i="103" s="1"/>
  <c r="AB257" i="103" s="1"/>
  <c r="AD257" i="103" s="1"/>
  <c r="L24" i="16"/>
  <c r="L29" i="16" s="1"/>
  <c r="F48" i="11"/>
  <c r="J48" i="11"/>
  <c r="F76" i="11"/>
  <c r="H48" i="11"/>
  <c r="D297" i="1"/>
  <c r="D304" i="1"/>
  <c r="F14" i="11"/>
  <c r="D18" i="11"/>
  <c r="J89" i="11"/>
  <c r="L89" i="11"/>
  <c r="F24" i="16"/>
  <c r="F29" i="16" s="1"/>
  <c r="X293" i="103"/>
  <c r="Z293" i="103" s="1"/>
  <c r="AA293" i="103" s="1"/>
  <c r="AB293" i="103" s="1"/>
  <c r="AD293" i="103" s="1"/>
  <c r="V177" i="104"/>
  <c r="W177" i="104"/>
  <c r="X207" i="103"/>
  <c r="Z207" i="103" s="1"/>
  <c r="AA207" i="103" s="1"/>
  <c r="AB207" i="103" s="1"/>
  <c r="AD207" i="103" s="1"/>
  <c r="C172" i="103"/>
  <c r="U172" i="103" s="1"/>
  <c r="D50" i="103"/>
  <c r="D120" i="103"/>
  <c r="V120" i="103" s="1"/>
  <c r="AB159" i="103"/>
  <c r="AD159" i="103" s="1"/>
  <c r="C223" i="103"/>
  <c r="U223" i="103" s="1"/>
  <c r="X255" i="103"/>
  <c r="Z255" i="103" s="1"/>
  <c r="AA255" i="103" s="1"/>
  <c r="AB255" i="103" s="1"/>
  <c r="AD255" i="103" s="1"/>
  <c r="C248" i="103"/>
  <c r="U248" i="103" s="1"/>
  <c r="X281" i="103"/>
  <c r="Z281" i="103" s="1"/>
  <c r="AA281" i="103" s="1"/>
  <c r="AB281" i="103" s="1"/>
  <c r="AD281" i="103" s="1"/>
  <c r="D134" i="103"/>
  <c r="V134" i="103" s="1"/>
  <c r="AB170" i="103"/>
  <c r="AD170" i="103" s="1"/>
  <c r="D109" i="103"/>
  <c r="V109" i="103" s="1"/>
  <c r="AB149" i="103"/>
  <c r="AD149" i="103" s="1"/>
  <c r="X273" i="103"/>
  <c r="Z273" i="103" s="1"/>
  <c r="AA273" i="103" s="1"/>
  <c r="AB273" i="103" s="1"/>
  <c r="AD273" i="103" s="1"/>
  <c r="C238" i="103"/>
  <c r="U238" i="103" s="1"/>
  <c r="AB287" i="103"/>
  <c r="AD287" i="103" s="1"/>
  <c r="D191" i="103"/>
  <c r="V191" i="103" s="1"/>
  <c r="AB225" i="103"/>
  <c r="AD225" i="103" s="1"/>
  <c r="X254" i="103"/>
  <c r="Z254" i="103" s="1"/>
  <c r="AA254" i="103" s="1"/>
  <c r="AB254" i="103" s="1"/>
  <c r="AD254" i="103" s="1"/>
  <c r="C222" i="103"/>
  <c r="U222" i="103" s="1"/>
  <c r="D121" i="103"/>
  <c r="V121" i="103" s="1"/>
  <c r="AB160" i="103"/>
  <c r="AD160" i="103" s="1"/>
  <c r="W83" i="103"/>
  <c r="X303" i="103"/>
  <c r="Z303" i="103" s="1"/>
  <c r="AA303" i="103" s="1"/>
  <c r="X279" i="103"/>
  <c r="Z279" i="103" s="1"/>
  <c r="AA279" i="103" s="1"/>
  <c r="AB279" i="103" s="1"/>
  <c r="AD279" i="103" s="1"/>
  <c r="C246" i="103"/>
  <c r="U246" i="103" s="1"/>
  <c r="C245" i="103"/>
  <c r="U245" i="103" s="1"/>
  <c r="X278" i="103"/>
  <c r="Z278" i="103" s="1"/>
  <c r="AA278" i="103" s="1"/>
  <c r="AB278" i="103" s="1"/>
  <c r="AD278" i="103" s="1"/>
  <c r="X291" i="103"/>
  <c r="Z291" i="103" s="1"/>
  <c r="AA291" i="103" s="1"/>
  <c r="AB291" i="103" s="1"/>
  <c r="AD291" i="103" s="1"/>
  <c r="C259" i="103"/>
  <c r="U259" i="103" s="1"/>
  <c r="D271" i="103"/>
  <c r="V322" i="103"/>
  <c r="V323" i="103" s="1"/>
  <c r="AB143" i="103"/>
  <c r="AD143" i="103" s="1"/>
  <c r="C237" i="103"/>
  <c r="U237" i="103" s="1"/>
  <c r="X237" i="103" s="1"/>
  <c r="Z237" i="103" s="1"/>
  <c r="AA237" i="103" s="1"/>
  <c r="AB237" i="103" s="1"/>
  <c r="X272" i="103"/>
  <c r="Z272" i="103" s="1"/>
  <c r="AA272" i="103" s="1"/>
  <c r="AB272" i="103" s="1"/>
  <c r="AD272" i="103" s="1"/>
  <c r="AB8" i="103"/>
  <c r="AD8" i="103" s="1"/>
  <c r="C271" i="103"/>
  <c r="U271" i="103" s="1"/>
  <c r="X301" i="103"/>
  <c r="Z301" i="103" s="1"/>
  <c r="AB174" i="103"/>
  <c r="AB192" i="103"/>
  <c r="AD192" i="103" s="1"/>
  <c r="AB214" i="103"/>
  <c r="AD214" i="103" s="1"/>
  <c r="AB180" i="103"/>
  <c r="AD180" i="103" s="1"/>
  <c r="D64" i="103"/>
  <c r="V64" i="103" s="1"/>
  <c r="W104" i="103"/>
  <c r="AB193" i="103"/>
  <c r="AD193" i="103" s="1"/>
  <c r="V348" i="103"/>
  <c r="V349" i="103" s="1"/>
  <c r="C179" i="103"/>
  <c r="U179" i="103" s="1"/>
  <c r="X213" i="103"/>
  <c r="Z213" i="103" s="1"/>
  <c r="AA213" i="103" s="1"/>
  <c r="AB213" i="103" s="1"/>
  <c r="AD213" i="103" s="1"/>
  <c r="C258" i="103"/>
  <c r="U258" i="103" s="1"/>
  <c r="X258" i="103" s="1"/>
  <c r="Z258" i="103" s="1"/>
  <c r="AA258" i="103" s="1"/>
  <c r="AB258" i="103" s="1"/>
  <c r="X290" i="103"/>
  <c r="Z290" i="103" s="1"/>
  <c r="AA290" i="103" s="1"/>
  <c r="AB290" i="103" s="1"/>
  <c r="AD290" i="103" s="1"/>
  <c r="D103" i="103"/>
  <c r="V103" i="103" s="1"/>
  <c r="AB142" i="103"/>
  <c r="AD142" i="103" s="1"/>
  <c r="C173" i="103"/>
  <c r="U173" i="103" s="1"/>
  <c r="X208" i="103"/>
  <c r="Z208" i="103" s="1"/>
  <c r="AA208" i="103" s="1"/>
  <c r="AB208" i="103" s="1"/>
  <c r="AD208" i="103" s="1"/>
  <c r="V285" i="103"/>
  <c r="D253" i="103" s="1"/>
  <c r="V253" i="103" s="1"/>
  <c r="AB253" i="103" s="1"/>
  <c r="AD253" i="103" s="1"/>
  <c r="J294" i="103"/>
  <c r="J295" i="103" s="1"/>
  <c r="C282" i="103"/>
  <c r="U282" i="103" s="1"/>
  <c r="X312" i="103"/>
  <c r="Z312" i="103" s="1"/>
  <c r="AA312" i="103" s="1"/>
  <c r="G322" i="103"/>
  <c r="G323" i="103" s="1"/>
  <c r="G262" i="103"/>
  <c r="G263" i="103" s="1"/>
  <c r="C169" i="103"/>
  <c r="U169" i="103" s="1"/>
  <c r="AG277" i="104"/>
  <c r="M236" i="104"/>
  <c r="L115" i="11"/>
  <c r="K115" i="11"/>
  <c r="D115" i="11" s="1"/>
  <c r="U104" i="104"/>
  <c r="V104" i="104" s="1"/>
  <c r="W104" i="104"/>
  <c r="W153" i="104"/>
  <c r="U153" i="104"/>
  <c r="V153" i="104" s="1"/>
  <c r="U155" i="104"/>
  <c r="V155" i="104" s="1"/>
  <c r="W155" i="104"/>
  <c r="T145" i="104"/>
  <c r="Q157" i="104"/>
  <c r="T311" i="104"/>
  <c r="M198" i="104"/>
  <c r="T175" i="104"/>
  <c r="V184" i="104"/>
  <c r="W184" i="104"/>
  <c r="P321" i="104"/>
  <c r="M147" i="104"/>
  <c r="T147" i="104" s="1"/>
  <c r="U147" i="104" s="1"/>
  <c r="V147" i="104" s="1"/>
  <c r="C157" i="104"/>
  <c r="T230" i="104"/>
  <c r="W230" i="104" s="1"/>
  <c r="D18" i="103"/>
  <c r="V18" i="103" s="1"/>
  <c r="W62" i="103"/>
  <c r="AB30" i="103"/>
  <c r="AD30" i="103" s="1"/>
  <c r="W144" i="104"/>
  <c r="U144" i="104"/>
  <c r="V144" i="104" s="1"/>
  <c r="U151" i="104"/>
  <c r="V151" i="104" s="1"/>
  <c r="W151" i="104"/>
  <c r="T125" i="104"/>
  <c r="U89" i="104"/>
  <c r="V89" i="104" s="1"/>
  <c r="W89" i="104"/>
  <c r="V188" i="104"/>
  <c r="AE273" i="104"/>
  <c r="AE277" i="104" s="1"/>
  <c r="O264" i="104" s="1"/>
  <c r="AF273" i="104"/>
  <c r="AF277" i="104" s="1"/>
  <c r="R264" i="104" s="1"/>
  <c r="R273" i="104" s="1"/>
  <c r="W46" i="103"/>
  <c r="W114" i="103"/>
  <c r="AB114" i="103"/>
  <c r="AD114" i="103" s="1"/>
  <c r="C27" i="103"/>
  <c r="U27" i="103" s="1"/>
  <c r="W72" i="103"/>
  <c r="X72" i="103"/>
  <c r="Z72" i="103" s="1"/>
  <c r="AA72" i="103" s="1"/>
  <c r="AB72" i="103" s="1"/>
  <c r="AD72" i="103" s="1"/>
  <c r="AB90" i="103"/>
  <c r="AD90" i="103" s="1"/>
  <c r="U135" i="104"/>
  <c r="V135" i="104" s="1"/>
  <c r="W135" i="104"/>
  <c r="W154" i="104"/>
  <c r="U154" i="104"/>
  <c r="V154" i="104" s="1"/>
  <c r="N157" i="104"/>
  <c r="W69" i="104"/>
  <c r="U69" i="104"/>
  <c r="V69" i="104" s="1"/>
  <c r="W70" i="104"/>
  <c r="U70" i="104"/>
  <c r="V70" i="104" s="1"/>
  <c r="T195" i="104"/>
  <c r="P206" i="104"/>
  <c r="P208" i="104" s="1"/>
  <c r="O206" i="104"/>
  <c r="O208" i="104" s="1"/>
  <c r="X104" i="103"/>
  <c r="Z104" i="103" s="1"/>
  <c r="AA104" i="103" s="1"/>
  <c r="AB104" i="103" s="1"/>
  <c r="AD104" i="103" s="1"/>
  <c r="C64" i="103"/>
  <c r="U64" i="103" s="1"/>
  <c r="T271" i="104"/>
  <c r="C11" i="103"/>
  <c r="U11" i="103" s="1"/>
  <c r="X51" i="103"/>
  <c r="Z51" i="103" s="1"/>
  <c r="AA51" i="103" s="1"/>
  <c r="AB51" i="103" s="1"/>
  <c r="AD51" i="103" s="1"/>
  <c r="W10" i="103"/>
  <c r="U26" i="104"/>
  <c r="V26" i="104" s="1"/>
  <c r="W26" i="104"/>
  <c r="E48" i="104"/>
  <c r="N23" i="104"/>
  <c r="N48" i="104" s="1"/>
  <c r="D32" i="103"/>
  <c r="V32" i="103" s="1"/>
  <c r="W77" i="103"/>
  <c r="X120" i="103"/>
  <c r="Z120" i="103" s="1"/>
  <c r="AA120" i="103" s="1"/>
  <c r="AB120" i="103" s="1"/>
  <c r="AD120" i="103" s="1"/>
  <c r="C81" i="103"/>
  <c r="U81" i="103" s="1"/>
  <c r="X73" i="103"/>
  <c r="Z73" i="103" s="1"/>
  <c r="AA73" i="103" s="1"/>
  <c r="C28" i="103"/>
  <c r="U28" i="103" s="1"/>
  <c r="X28" i="103" s="1"/>
  <c r="Z28" i="103" s="1"/>
  <c r="W38" i="104"/>
  <c r="U38" i="104"/>
  <c r="V38" i="104" s="1"/>
  <c r="M245" i="104"/>
  <c r="P245" i="104" s="1"/>
  <c r="P246" i="104" s="1"/>
  <c r="H273" i="104"/>
  <c r="N266" i="104"/>
  <c r="N273" i="104" s="1"/>
  <c r="C32" i="103"/>
  <c r="U32" i="103" s="1"/>
  <c r="X32" i="103" s="1"/>
  <c r="Z32" i="103" s="1"/>
  <c r="X77" i="103"/>
  <c r="Z77" i="103" s="1"/>
  <c r="AA77" i="103" s="1"/>
  <c r="AB77" i="103" s="1"/>
  <c r="AD77" i="103" s="1"/>
  <c r="AB62" i="103"/>
  <c r="AD62" i="103" s="1"/>
  <c r="C30" i="103"/>
  <c r="U30" i="103" s="1"/>
  <c r="X30" i="103" s="1"/>
  <c r="Z30" i="103" s="1"/>
  <c r="X75" i="103"/>
  <c r="Z75" i="103" s="1"/>
  <c r="AA75" i="103" s="1"/>
  <c r="AB75" i="103" s="1"/>
  <c r="T137" i="104"/>
  <c r="M163" i="104"/>
  <c r="P163" i="104" s="1"/>
  <c r="N108" i="104"/>
  <c r="W29" i="103"/>
  <c r="U12" i="104"/>
  <c r="V12" i="104" s="1"/>
  <c r="W12" i="104"/>
  <c r="M48" i="104"/>
  <c r="T34" i="104"/>
  <c r="W43" i="104"/>
  <c r="U43" i="104"/>
  <c r="V43" i="104" s="1"/>
  <c r="U96" i="104"/>
  <c r="V96" i="104" s="1"/>
  <c r="W96" i="104"/>
  <c r="U102" i="104"/>
  <c r="V102" i="104" s="1"/>
  <c r="W102" i="104"/>
  <c r="W74" i="104"/>
  <c r="U74" i="104"/>
  <c r="V74" i="104" s="1"/>
  <c r="U79" i="104"/>
  <c r="V79" i="104" s="1"/>
  <c r="W79" i="104"/>
  <c r="U24" i="104"/>
  <c r="V24" i="104" s="1"/>
  <c r="W24" i="104"/>
  <c r="U47" i="104"/>
  <c r="V47" i="104" s="1"/>
  <c r="W47" i="104"/>
  <c r="X91" i="103"/>
  <c r="Z91" i="103" s="1"/>
  <c r="C47" i="103"/>
  <c r="U47" i="103" s="1"/>
  <c r="X47" i="103" s="1"/>
  <c r="Z47" i="103" s="1"/>
  <c r="E26" i="125"/>
  <c r="C12" i="125"/>
  <c r="C24" i="125" s="1"/>
  <c r="C26" i="125" s="1"/>
  <c r="T68" i="104"/>
  <c r="W98" i="104"/>
  <c r="U98" i="104"/>
  <c r="V98" i="104" s="1"/>
  <c r="W103" i="104"/>
  <c r="U103" i="104"/>
  <c r="V103" i="104" s="1"/>
  <c r="W15" i="103"/>
  <c r="AB15" i="103"/>
  <c r="AD15" i="103" s="1"/>
  <c r="F146" i="11"/>
  <c r="F144" i="11"/>
  <c r="U29" i="104"/>
  <c r="V29" i="104" s="1"/>
  <c r="W29" i="104"/>
  <c r="U31" i="104"/>
  <c r="V31" i="104" s="1"/>
  <c r="W31" i="104"/>
  <c r="D48" i="104"/>
  <c r="O19" i="104"/>
  <c r="T19" i="104" s="1"/>
  <c r="U19" i="104" s="1"/>
  <c r="G161" i="11"/>
  <c r="U156" i="104"/>
  <c r="V156" i="104" s="1"/>
  <c r="D73" i="103"/>
  <c r="V73" i="103" s="1"/>
  <c r="D28" i="103" s="1"/>
  <c r="V28" i="103" s="1"/>
  <c r="W113" i="103"/>
  <c r="H157" i="104"/>
  <c r="J129" i="11"/>
  <c r="D129" i="11"/>
  <c r="F129" i="11"/>
  <c r="L129" i="11"/>
  <c r="W83" i="104"/>
  <c r="U83" i="104"/>
  <c r="V83" i="104" s="1"/>
  <c r="W60" i="103"/>
  <c r="D16" i="103"/>
  <c r="V16" i="103" s="1"/>
  <c r="D13" i="103"/>
  <c r="W53" i="103"/>
  <c r="U23" i="104"/>
  <c r="V23" i="104" s="1"/>
  <c r="W23" i="104"/>
  <c r="W45" i="104"/>
  <c r="U45" i="104"/>
  <c r="V45" i="104" s="1"/>
  <c r="N61" i="104"/>
  <c r="O61" i="104"/>
  <c r="E161" i="11"/>
  <c r="T146" i="104"/>
  <c r="H129" i="11"/>
  <c r="F157" i="104"/>
  <c r="M143" i="104"/>
  <c r="T143" i="104" s="1"/>
  <c r="W88" i="104"/>
  <c r="O116" i="104"/>
  <c r="U86" i="104"/>
  <c r="V86" i="104" s="1"/>
  <c r="W86" i="104"/>
  <c r="U107" i="104"/>
  <c r="V107" i="104" s="1"/>
  <c r="W107" i="104"/>
  <c r="P117" i="104"/>
  <c r="O117" i="104"/>
  <c r="O119" i="104" s="1"/>
  <c r="AB74" i="103"/>
  <c r="AD74" i="103" s="1"/>
  <c r="U11" i="104"/>
  <c r="V11" i="104" s="1"/>
  <c r="W11" i="104"/>
  <c r="P58" i="104"/>
  <c r="O58" i="104"/>
  <c r="U14" i="104"/>
  <c r="V14" i="104" s="1"/>
  <c r="L150" i="11"/>
  <c r="C153" i="11"/>
  <c r="K150" i="11"/>
  <c r="X102" i="103"/>
  <c r="Z102" i="103" s="1"/>
  <c r="AA102" i="103" s="1"/>
  <c r="AB102" i="103" s="1"/>
  <c r="AD102" i="103" s="1"/>
  <c r="T130" i="104"/>
  <c r="T139" i="104"/>
  <c r="W72" i="104"/>
  <c r="U72" i="104"/>
  <c r="V72" i="104" s="1"/>
  <c r="T78" i="104"/>
  <c r="U78" i="104" s="1"/>
  <c r="V78" i="104" s="1"/>
  <c r="O114" i="104"/>
  <c r="N114" i="104"/>
  <c r="P114" i="104"/>
  <c r="K27" i="129"/>
  <c r="K31" i="129" s="1"/>
  <c r="U44" i="104"/>
  <c r="V44" i="104" s="1"/>
  <c r="W44" i="104"/>
  <c r="I168" i="11"/>
  <c r="G168" i="11"/>
  <c r="K168" i="11" s="1"/>
  <c r="D168" i="11" s="1"/>
  <c r="O157" i="104"/>
  <c r="O166" i="104"/>
  <c r="O168" i="104" s="1"/>
  <c r="N166" i="104"/>
  <c r="N168" i="104" s="1"/>
  <c r="U35" i="104"/>
  <c r="V35" i="104" s="1"/>
  <c r="W35" i="104"/>
  <c r="U46" i="104"/>
  <c r="V46" i="104" s="1"/>
  <c r="W46" i="104"/>
  <c r="N59" i="104"/>
  <c r="N62" i="104" s="1"/>
  <c r="P59" i="104"/>
  <c r="O59" i="104"/>
  <c r="P115" i="104"/>
  <c r="P84" i="103"/>
  <c r="P85" i="103" s="1"/>
  <c r="D143" i="11"/>
  <c r="P61" i="104"/>
  <c r="N57" i="104"/>
  <c r="L127" i="11"/>
  <c r="P118" i="104"/>
  <c r="U91" i="104"/>
  <c r="V91" i="104" s="1"/>
  <c r="M93" i="104"/>
  <c r="T93" i="104" s="1"/>
  <c r="D17" i="103"/>
  <c r="V17" i="103" s="1"/>
  <c r="W17" i="104"/>
  <c r="P57" i="104"/>
  <c r="W16" i="104"/>
  <c r="O60" i="104"/>
  <c r="H146" i="11"/>
  <c r="J27" i="129"/>
  <c r="W30" i="104"/>
  <c r="N115" i="104"/>
  <c r="N119" i="104" s="1"/>
  <c r="J144" i="11"/>
  <c r="T10" i="104"/>
  <c r="J181" i="11"/>
  <c r="J184" i="11" s="1"/>
  <c r="K184" i="11" s="1"/>
  <c r="K180" i="11" s="1"/>
  <c r="D187" i="121"/>
  <c r="D170" i="121"/>
  <c r="D174" i="121" s="1"/>
  <c r="C18" i="16" s="1"/>
  <c r="M83" i="121"/>
  <c r="I463" i="121"/>
  <c r="J448" i="121"/>
  <c r="J463" i="121" s="1"/>
  <c r="G431" i="121"/>
  <c r="G436" i="121" s="1"/>
  <c r="G438" i="121" s="1"/>
  <c r="G440" i="121" s="1"/>
  <c r="G442" i="121" s="1"/>
  <c r="F30" i="121"/>
  <c r="D323" i="121"/>
  <c r="D324" i="121" s="1"/>
  <c r="M95" i="121"/>
  <c r="F428" i="121"/>
  <c r="M86" i="121"/>
  <c r="D147" i="121"/>
  <c r="I147" i="121" s="1"/>
  <c r="O130" i="121"/>
  <c r="F419" i="121"/>
  <c r="F326" i="121"/>
  <c r="F55" i="121"/>
  <c r="F65" i="121" s="1"/>
  <c r="F68" i="121" s="1"/>
  <c r="F17" i="121"/>
  <c r="F23" i="121"/>
  <c r="F24" i="121" s="1"/>
  <c r="D17" i="16"/>
  <c r="D21" i="16" s="1"/>
  <c r="M92" i="121"/>
  <c r="M102" i="121"/>
  <c r="E24" i="16"/>
  <c r="E29" i="16" s="1"/>
  <c r="E31" i="16" s="1"/>
  <c r="E33" i="16" s="1"/>
  <c r="E35" i="16" s="1"/>
  <c r="D17" i="121"/>
  <c r="M109" i="121"/>
  <c r="D302" i="121"/>
  <c r="O62" i="104" l="1"/>
  <c r="O48" i="104"/>
  <c r="F168" i="11"/>
  <c r="W84" i="104"/>
  <c r="U84" i="104"/>
  <c r="V84" i="104" s="1"/>
  <c r="W141" i="104"/>
  <c r="U141" i="104"/>
  <c r="V141" i="104" s="1"/>
  <c r="C8" i="103"/>
  <c r="U8" i="103" s="1"/>
  <c r="X46" i="103"/>
  <c r="Z46" i="103" s="1"/>
  <c r="AA46" i="103" s="1"/>
  <c r="AB46" i="103" s="1"/>
  <c r="AD46" i="103" s="1"/>
  <c r="C100" i="103"/>
  <c r="U100" i="103" s="1"/>
  <c r="Z139" i="103"/>
  <c r="AA139" i="103" s="1"/>
  <c r="AB139" i="103" s="1"/>
  <c r="AD139" i="103" s="1"/>
  <c r="X252" i="103"/>
  <c r="Z252" i="103" s="1"/>
  <c r="AA252" i="103" s="1"/>
  <c r="AB252" i="103" s="1"/>
  <c r="AD252" i="103" s="1"/>
  <c r="C220" i="103"/>
  <c r="U220" i="103" s="1"/>
  <c r="AB280" i="103"/>
  <c r="AD280" i="103" s="1"/>
  <c r="AB274" i="103"/>
  <c r="AD274" i="103" s="1"/>
  <c r="P119" i="104"/>
  <c r="Q92" i="104" s="1"/>
  <c r="AB73" i="103"/>
  <c r="W42" i="104"/>
  <c r="U42" i="104"/>
  <c r="V42" i="104" s="1"/>
  <c r="U150" i="104"/>
  <c r="V150" i="104" s="1"/>
  <c r="W150" i="104"/>
  <c r="U142" i="104"/>
  <c r="V142" i="104" s="1"/>
  <c r="W142" i="104"/>
  <c r="X80" i="103"/>
  <c r="Z80" i="103" s="1"/>
  <c r="AA80" i="103" s="1"/>
  <c r="AB80" i="103" s="1"/>
  <c r="AD80" i="103" s="1"/>
  <c r="C35" i="103"/>
  <c r="U35" i="103" s="1"/>
  <c r="O341" i="104"/>
  <c r="P340" i="104"/>
  <c r="C215" i="103"/>
  <c r="U215" i="103" s="1"/>
  <c r="X247" i="103"/>
  <c r="Z247" i="103" s="1"/>
  <c r="AA247" i="103" s="1"/>
  <c r="AB247" i="103" s="1"/>
  <c r="AD247" i="103" s="1"/>
  <c r="C224" i="103"/>
  <c r="U224" i="103" s="1"/>
  <c r="X256" i="103"/>
  <c r="Z256" i="103" s="1"/>
  <c r="AA256" i="103" s="1"/>
  <c r="AB256" i="103" s="1"/>
  <c r="AD256" i="103" s="1"/>
  <c r="AB292" i="103"/>
  <c r="AD292" i="103" s="1"/>
  <c r="L16" i="131"/>
  <c r="K16" i="131"/>
  <c r="C18" i="131"/>
  <c r="T264" i="104"/>
  <c r="T273" i="104" s="1"/>
  <c r="T278" i="104" s="1"/>
  <c r="O273" i="104"/>
  <c r="AB17" i="103"/>
  <c r="AD17" i="103" s="1"/>
  <c r="W17" i="103"/>
  <c r="W139" i="104"/>
  <c r="U139" i="104"/>
  <c r="V139" i="104" s="1"/>
  <c r="AA91" i="103"/>
  <c r="J150" i="11"/>
  <c r="H150" i="11"/>
  <c r="F150" i="11"/>
  <c r="U68" i="104"/>
  <c r="D144" i="11"/>
  <c r="D146" i="11"/>
  <c r="D150" i="11"/>
  <c r="V13" i="103"/>
  <c r="N163" i="104"/>
  <c r="O163" i="104"/>
  <c r="W27" i="103"/>
  <c r="X27" i="103"/>
  <c r="Z27" i="103" s="1"/>
  <c r="W30" i="103"/>
  <c r="X179" i="103"/>
  <c r="Z179" i="103" s="1"/>
  <c r="AA179" i="103" s="1"/>
  <c r="AB179" i="103" s="1"/>
  <c r="AD179" i="103" s="1"/>
  <c r="C144" i="103"/>
  <c r="U144" i="103" s="1"/>
  <c r="X144" i="103" s="1"/>
  <c r="X222" i="103"/>
  <c r="Z222" i="103" s="1"/>
  <c r="AA222" i="103" s="1"/>
  <c r="AB222" i="103" s="1"/>
  <c r="AD222" i="103" s="1"/>
  <c r="C188" i="103"/>
  <c r="U188" i="103" s="1"/>
  <c r="H30" i="11"/>
  <c r="G45" i="11"/>
  <c r="W16" i="103"/>
  <c r="AB16" i="103"/>
  <c r="AD16" i="103" s="1"/>
  <c r="U143" i="104"/>
  <c r="V143" i="104" s="1"/>
  <c r="W143" i="104"/>
  <c r="T157" i="104"/>
  <c r="U125" i="104"/>
  <c r="V175" i="104"/>
  <c r="W175" i="104"/>
  <c r="C137" i="103"/>
  <c r="U137" i="103" s="1"/>
  <c r="X137" i="103" s="1"/>
  <c r="X173" i="103"/>
  <c r="Z173" i="103" s="1"/>
  <c r="AA173" i="103" s="1"/>
  <c r="AB173" i="103" s="1"/>
  <c r="AD173" i="103" s="1"/>
  <c r="W120" i="103"/>
  <c r="D81" i="103"/>
  <c r="V81" i="103" s="1"/>
  <c r="U130" i="104"/>
  <c r="V130" i="104" s="1"/>
  <c r="W130" i="104"/>
  <c r="P62" i="104"/>
  <c r="Q32" i="104" s="1"/>
  <c r="AB28" i="103"/>
  <c r="AD28" i="103" s="1"/>
  <c r="W28" i="103"/>
  <c r="N245" i="104"/>
  <c r="N246" i="104" s="1"/>
  <c r="J227" i="104" s="1"/>
  <c r="O245" i="104"/>
  <c r="O246" i="104" s="1"/>
  <c r="V195" i="104"/>
  <c r="W195" i="104"/>
  <c r="AB285" i="103"/>
  <c r="AD285" i="103" s="1"/>
  <c r="AB191" i="103"/>
  <c r="AD191" i="103" s="1"/>
  <c r="D158" i="103"/>
  <c r="V158" i="103" s="1"/>
  <c r="AB134" i="103"/>
  <c r="AD134" i="103" s="1"/>
  <c r="D95" i="103"/>
  <c r="V95" i="103" s="1"/>
  <c r="L33" i="16"/>
  <c r="L35" i="16" s="1"/>
  <c r="L31" i="16"/>
  <c r="C171" i="103"/>
  <c r="U171" i="103" s="1"/>
  <c r="X206" i="103"/>
  <c r="Z206" i="103" s="1"/>
  <c r="AA206" i="103" s="1"/>
  <c r="AB206" i="103" s="1"/>
  <c r="AD206" i="103" s="1"/>
  <c r="J50" i="11"/>
  <c r="D50" i="11"/>
  <c r="H50" i="11"/>
  <c r="X81" i="103"/>
  <c r="Z81" i="103" s="1"/>
  <c r="AA81" i="103" s="1"/>
  <c r="C36" i="103"/>
  <c r="U36" i="103" s="1"/>
  <c r="X36" i="103" s="1"/>
  <c r="Z36" i="103" s="1"/>
  <c r="M157" i="104"/>
  <c r="AB109" i="103"/>
  <c r="AD109" i="103" s="1"/>
  <c r="W109" i="103"/>
  <c r="D69" i="103"/>
  <c r="V69" i="103" s="1"/>
  <c r="U93" i="104"/>
  <c r="V93" i="104" s="1"/>
  <c r="W93" i="104"/>
  <c r="U137" i="104"/>
  <c r="V137" i="104" s="1"/>
  <c r="W137" i="104"/>
  <c r="W18" i="103"/>
  <c r="AB18" i="103"/>
  <c r="AD18" i="103" s="1"/>
  <c r="H102" i="11"/>
  <c r="F102" i="11"/>
  <c r="J102" i="11"/>
  <c r="U146" i="104"/>
  <c r="V146" i="104" s="1"/>
  <c r="W146" i="104"/>
  <c r="AB32" i="103"/>
  <c r="AD32" i="103" s="1"/>
  <c r="W32" i="103"/>
  <c r="X11" i="103"/>
  <c r="Z11" i="103" s="1"/>
  <c r="W11" i="103"/>
  <c r="AB103" i="103"/>
  <c r="AD103" i="103" s="1"/>
  <c r="D63" i="103"/>
  <c r="V63" i="103" s="1"/>
  <c r="W103" i="103"/>
  <c r="Z322" i="103"/>
  <c r="AA301" i="103"/>
  <c r="AA322" i="103" s="1"/>
  <c r="AB22" i="103"/>
  <c r="AD22" i="103" s="1"/>
  <c r="W26" i="103"/>
  <c r="X26" i="103"/>
  <c r="Z26" i="103" s="1"/>
  <c r="C193" i="103"/>
  <c r="U193" i="103" s="1"/>
  <c r="C160" i="103" s="1"/>
  <c r="U160" i="103" s="1"/>
  <c r="X227" i="103"/>
  <c r="Z227" i="103" s="1"/>
  <c r="AA227" i="103" s="1"/>
  <c r="AB227" i="103" s="1"/>
  <c r="AD227" i="103" s="1"/>
  <c r="L24" i="11"/>
  <c r="C30" i="11"/>
  <c r="J63" i="11"/>
  <c r="D63" i="11"/>
  <c r="H63" i="11"/>
  <c r="AA47" i="103"/>
  <c r="Q108" i="104"/>
  <c r="T92" i="104"/>
  <c r="T108" i="104" s="1"/>
  <c r="M108" i="104"/>
  <c r="X271" i="103"/>
  <c r="Z271" i="103" s="1"/>
  <c r="C236" i="103"/>
  <c r="U236" i="103" s="1"/>
  <c r="X236" i="103" s="1"/>
  <c r="D294" i="103"/>
  <c r="D295" i="103" s="1"/>
  <c r="V271" i="103"/>
  <c r="X248" i="103"/>
  <c r="Z248" i="103" s="1"/>
  <c r="AA248" i="103" s="1"/>
  <c r="AB248" i="103" s="1"/>
  <c r="AD248" i="103" s="1"/>
  <c r="C216" i="103"/>
  <c r="U216" i="103" s="1"/>
  <c r="J19" i="11"/>
  <c r="H19" i="11"/>
  <c r="F19" i="11"/>
  <c r="W99" i="103"/>
  <c r="D56" i="103"/>
  <c r="V56" i="103" s="1"/>
  <c r="AB99" i="103"/>
  <c r="AD99" i="103" s="1"/>
  <c r="F63" i="11"/>
  <c r="C133" i="103"/>
  <c r="U133" i="103" s="1"/>
  <c r="X133" i="103" s="1"/>
  <c r="X169" i="103"/>
  <c r="Z169" i="103" s="1"/>
  <c r="AA169" i="103" s="1"/>
  <c r="AB169" i="103" s="1"/>
  <c r="W145" i="104"/>
  <c r="U145" i="104"/>
  <c r="V145" i="104" s="1"/>
  <c r="F115" i="11"/>
  <c r="J115" i="11"/>
  <c r="K111" i="11"/>
  <c r="H115" i="11"/>
  <c r="X282" i="103"/>
  <c r="Z282" i="103" s="1"/>
  <c r="AA282" i="103" s="1"/>
  <c r="AB282" i="103" s="1"/>
  <c r="AD282" i="103" s="1"/>
  <c r="C249" i="103"/>
  <c r="U249" i="103" s="1"/>
  <c r="W64" i="103"/>
  <c r="D20" i="103"/>
  <c r="V20" i="103" s="1"/>
  <c r="C226" i="103"/>
  <c r="U226" i="103" s="1"/>
  <c r="X259" i="103"/>
  <c r="Z259" i="103" s="1"/>
  <c r="AA259" i="103" s="1"/>
  <c r="AB259" i="103" s="1"/>
  <c r="AD259" i="103" s="1"/>
  <c r="X238" i="103"/>
  <c r="Z238" i="103" s="1"/>
  <c r="AA238" i="103" s="1"/>
  <c r="AB238" i="103" s="1"/>
  <c r="AD238" i="103" s="1"/>
  <c r="C205" i="103"/>
  <c r="U205" i="103" s="1"/>
  <c r="D84" i="103"/>
  <c r="D85" i="103" s="1"/>
  <c r="F31" i="16"/>
  <c r="F33" i="16"/>
  <c r="F35" i="16" s="1"/>
  <c r="X66" i="103"/>
  <c r="Z66" i="103" s="1"/>
  <c r="AA66" i="103" s="1"/>
  <c r="AB66" i="103" s="1"/>
  <c r="AD66" i="103" s="1"/>
  <c r="C22" i="103"/>
  <c r="U22" i="103" s="1"/>
  <c r="X22" i="103" s="1"/>
  <c r="Z22" i="103" s="1"/>
  <c r="C184" i="103"/>
  <c r="U184" i="103" s="1"/>
  <c r="C149" i="103" s="1"/>
  <c r="U149" i="103" s="1"/>
  <c r="X218" i="103"/>
  <c r="Z218" i="103" s="1"/>
  <c r="AA218" i="103" s="1"/>
  <c r="AB218" i="103" s="1"/>
  <c r="AD218" i="103" s="1"/>
  <c r="J30" i="11"/>
  <c r="I45" i="11"/>
  <c r="W34" i="104"/>
  <c r="U34" i="104"/>
  <c r="V34" i="104" s="1"/>
  <c r="X245" i="103"/>
  <c r="Z245" i="103" s="1"/>
  <c r="AA245" i="103" s="1"/>
  <c r="AB245" i="103" s="1"/>
  <c r="AD245" i="103" s="1"/>
  <c r="C211" i="103"/>
  <c r="U211" i="103" s="1"/>
  <c r="X211" i="103" s="1"/>
  <c r="Z211" i="103" s="1"/>
  <c r="AA211" i="103" s="1"/>
  <c r="AB211" i="103" s="1"/>
  <c r="X246" i="103"/>
  <c r="Z246" i="103" s="1"/>
  <c r="AA246" i="103" s="1"/>
  <c r="AB246" i="103" s="1"/>
  <c r="AD246" i="103" s="1"/>
  <c r="C212" i="103"/>
  <c r="U212" i="103" s="1"/>
  <c r="C159" i="11"/>
  <c r="K154" i="11"/>
  <c r="L153" i="11"/>
  <c r="U10" i="104"/>
  <c r="K153" i="11"/>
  <c r="D153" i="11" s="1"/>
  <c r="X64" i="103"/>
  <c r="Z64" i="103" s="1"/>
  <c r="AA64" i="103" s="1"/>
  <c r="AB64" i="103" s="1"/>
  <c r="AD64" i="103" s="1"/>
  <c r="C20" i="103"/>
  <c r="U20" i="103" s="1"/>
  <c r="X20" i="103" s="1"/>
  <c r="Z20" i="103" s="1"/>
  <c r="AB121" i="103"/>
  <c r="W121" i="103"/>
  <c r="C189" i="103"/>
  <c r="U189" i="103" s="1"/>
  <c r="X223" i="103"/>
  <c r="Z223" i="103" s="1"/>
  <c r="AA223" i="103" s="1"/>
  <c r="AB223" i="103" s="1"/>
  <c r="AD223" i="103" s="1"/>
  <c r="X172" i="103"/>
  <c r="Z172" i="103" s="1"/>
  <c r="AA172" i="103" s="1"/>
  <c r="AB172" i="103" s="1"/>
  <c r="AD172" i="103" s="1"/>
  <c r="C136" i="103"/>
  <c r="U136" i="103" s="1"/>
  <c r="X136" i="103" s="1"/>
  <c r="X228" i="103"/>
  <c r="Z228" i="103" s="1"/>
  <c r="AA228" i="103" s="1"/>
  <c r="AB228" i="103" s="1"/>
  <c r="AD228" i="103" s="1"/>
  <c r="C194" i="103"/>
  <c r="U194" i="103" s="1"/>
  <c r="T198" i="104"/>
  <c r="W198" i="104" s="1"/>
  <c r="Z150" i="103"/>
  <c r="AA150" i="103" s="1"/>
  <c r="AB150" i="103" s="1"/>
  <c r="AD150" i="103" s="1"/>
  <c r="C110" i="103"/>
  <c r="U110" i="103" s="1"/>
  <c r="F30" i="11"/>
  <c r="E45" i="11"/>
  <c r="F184" i="11"/>
  <c r="D184" i="11"/>
  <c r="D200" i="121"/>
  <c r="D202" i="121" s="1"/>
  <c r="F431" i="121"/>
  <c r="F436" i="121" s="1"/>
  <c r="F438" i="121" s="1"/>
  <c r="F440" i="121" s="1"/>
  <c r="F442" i="121" s="1"/>
  <c r="D303" i="121"/>
  <c r="D424" i="121" s="1"/>
  <c r="F9" i="121"/>
  <c r="F12" i="121" s="1"/>
  <c r="F19" i="121" s="1"/>
  <c r="F26" i="121" s="1"/>
  <c r="D8" i="16"/>
  <c r="D12" i="16" s="1"/>
  <c r="D24" i="16" s="1"/>
  <c r="D29" i="16" s="1"/>
  <c r="C17" i="16"/>
  <c r="C21" i="16" s="1"/>
  <c r="D9" i="121"/>
  <c r="C8" i="16"/>
  <c r="D415" i="121"/>
  <c r="W22" i="103" l="1"/>
  <c r="X35" i="103"/>
  <c r="Z35" i="103" s="1"/>
  <c r="W35" i="103"/>
  <c r="W100" i="103"/>
  <c r="X100" i="103"/>
  <c r="Z100" i="103" s="1"/>
  <c r="AA100" i="103" s="1"/>
  <c r="AB100" i="103" s="1"/>
  <c r="AD100" i="103" s="1"/>
  <c r="X8" i="103"/>
  <c r="Z8" i="103" s="1"/>
  <c r="W8" i="103"/>
  <c r="C190" i="103"/>
  <c r="U190" i="103" s="1"/>
  <c r="X224" i="103"/>
  <c r="Z224" i="103" s="1"/>
  <c r="AA224" i="103" s="1"/>
  <c r="AB224" i="103" s="1"/>
  <c r="AD224" i="103" s="1"/>
  <c r="X215" i="103"/>
  <c r="Z215" i="103" s="1"/>
  <c r="AA215" i="103" s="1"/>
  <c r="AB215" i="103" s="1"/>
  <c r="AD215" i="103" s="1"/>
  <c r="C181" i="103"/>
  <c r="U181" i="103" s="1"/>
  <c r="C186" i="103"/>
  <c r="U186" i="103" s="1"/>
  <c r="X220" i="103"/>
  <c r="Z220" i="103" s="1"/>
  <c r="AA220" i="103" s="1"/>
  <c r="AB220" i="103" s="1"/>
  <c r="AD220" i="103" s="1"/>
  <c r="K18" i="131"/>
  <c r="D18" i="131" s="1"/>
  <c r="J16" i="131"/>
  <c r="H16" i="131"/>
  <c r="F16" i="131"/>
  <c r="D16" i="131"/>
  <c r="C176" i="103"/>
  <c r="U176" i="103" s="1"/>
  <c r="X212" i="103"/>
  <c r="Z212" i="103" s="1"/>
  <c r="AA212" i="103" s="1"/>
  <c r="AB212" i="103" s="1"/>
  <c r="AD212" i="103" s="1"/>
  <c r="X194" i="103"/>
  <c r="Z194" i="103" s="1"/>
  <c r="AA194" i="103" s="1"/>
  <c r="AB194" i="103" s="1"/>
  <c r="AD194" i="103" s="1"/>
  <c r="C161" i="103"/>
  <c r="U161" i="103" s="1"/>
  <c r="X161" i="103" s="1"/>
  <c r="AB20" i="103"/>
  <c r="AD20" i="103" s="1"/>
  <c r="W20" i="103"/>
  <c r="V294" i="103"/>
  <c r="V295" i="103" s="1"/>
  <c r="D236" i="103"/>
  <c r="AB47" i="103"/>
  <c r="AD47" i="103" s="1"/>
  <c r="W95" i="103"/>
  <c r="AB95" i="103"/>
  <c r="AD95" i="103" s="1"/>
  <c r="J236" i="104"/>
  <c r="O227" i="104"/>
  <c r="D24" i="103"/>
  <c r="V24" i="103" s="1"/>
  <c r="W69" i="103"/>
  <c r="AB69" i="103"/>
  <c r="AD69" i="103" s="1"/>
  <c r="Z137" i="103"/>
  <c r="AA137" i="103" s="1"/>
  <c r="AB137" i="103" s="1"/>
  <c r="AD137" i="103" s="1"/>
  <c r="C98" i="103"/>
  <c r="U98" i="103" s="1"/>
  <c r="AB91" i="103"/>
  <c r="AD91" i="103" s="1"/>
  <c r="C97" i="103"/>
  <c r="U97" i="103" s="1"/>
  <c r="Z136" i="103"/>
  <c r="AA136" i="103" s="1"/>
  <c r="AB136" i="103" s="1"/>
  <c r="AD136" i="103" s="1"/>
  <c r="L159" i="11"/>
  <c r="K159" i="11"/>
  <c r="C161" i="11"/>
  <c r="X249" i="103"/>
  <c r="Z249" i="103" s="1"/>
  <c r="AA249" i="103" s="1"/>
  <c r="AB249" i="103" s="1"/>
  <c r="AD249" i="103" s="1"/>
  <c r="C217" i="103"/>
  <c r="U217" i="103" s="1"/>
  <c r="C203" i="103"/>
  <c r="U203" i="103" s="1"/>
  <c r="Z236" i="103"/>
  <c r="D119" i="103"/>
  <c r="V119" i="103" s="1"/>
  <c r="AB158" i="103"/>
  <c r="AD158" i="103" s="1"/>
  <c r="G52" i="11"/>
  <c r="T32" i="104"/>
  <c r="Q48" i="104"/>
  <c r="V198" i="104"/>
  <c r="E52" i="11"/>
  <c r="Z294" i="103"/>
  <c r="AA271" i="103"/>
  <c r="C135" i="103"/>
  <c r="U135" i="103" s="1"/>
  <c r="X135" i="103" s="1"/>
  <c r="X171" i="103"/>
  <c r="Z171" i="103" s="1"/>
  <c r="AA171" i="103" s="1"/>
  <c r="AB171" i="103" s="1"/>
  <c r="AD171" i="103" s="1"/>
  <c r="C170" i="103"/>
  <c r="U170" i="103" s="1"/>
  <c r="C134" i="103" s="1"/>
  <c r="U134" i="103" s="1"/>
  <c r="X205" i="103"/>
  <c r="Z205" i="103" s="1"/>
  <c r="AA205" i="103" s="1"/>
  <c r="AB205" i="103" s="1"/>
  <c r="AD205" i="103" s="1"/>
  <c r="C94" i="103"/>
  <c r="U94" i="103" s="1"/>
  <c r="Z133" i="103"/>
  <c r="AA133" i="103" s="1"/>
  <c r="AB133" i="103" s="1"/>
  <c r="K31" i="11"/>
  <c r="L30" i="11"/>
  <c r="C45" i="11"/>
  <c r="D30" i="11"/>
  <c r="W157" i="104"/>
  <c r="U157" i="104"/>
  <c r="V125" i="104"/>
  <c r="V157" i="104" s="1"/>
  <c r="X188" i="103"/>
  <c r="Z188" i="103" s="1"/>
  <c r="AA188" i="103" s="1"/>
  <c r="AB188" i="103" s="1"/>
  <c r="AD188" i="103" s="1"/>
  <c r="C154" i="103"/>
  <c r="U154" i="103" s="1"/>
  <c r="X154" i="103" s="1"/>
  <c r="V68" i="104"/>
  <c r="D310" i="121"/>
  <c r="D416" i="121" s="1"/>
  <c r="D419" i="121" s="1"/>
  <c r="W110" i="103"/>
  <c r="C70" i="103"/>
  <c r="U70" i="103" s="1"/>
  <c r="X110" i="103"/>
  <c r="Z110" i="103" s="1"/>
  <c r="AA110" i="103" s="1"/>
  <c r="AB110" i="103" s="1"/>
  <c r="AD110" i="103" s="1"/>
  <c r="C156" i="103"/>
  <c r="U156" i="103" s="1"/>
  <c r="X156" i="103" s="1"/>
  <c r="X189" i="103"/>
  <c r="Z189" i="103" s="1"/>
  <c r="AA189" i="103" s="1"/>
  <c r="AB189" i="103" s="1"/>
  <c r="AD189" i="103" s="1"/>
  <c r="V10" i="104"/>
  <c r="W92" i="104"/>
  <c r="W108" i="104" s="1"/>
  <c r="U92" i="104"/>
  <c r="V92" i="104" s="1"/>
  <c r="D36" i="103"/>
  <c r="V36" i="103" s="1"/>
  <c r="W81" i="103"/>
  <c r="Z144" i="103"/>
  <c r="AA144" i="103" s="1"/>
  <c r="AB144" i="103" s="1"/>
  <c r="AD144" i="103" s="1"/>
  <c r="C105" i="103"/>
  <c r="U105" i="103" s="1"/>
  <c r="O278" i="104"/>
  <c r="O274" i="104"/>
  <c r="J153" i="11"/>
  <c r="F153" i="11"/>
  <c r="H153" i="11"/>
  <c r="I52" i="11"/>
  <c r="X216" i="103"/>
  <c r="Z216" i="103" s="1"/>
  <c r="AA216" i="103" s="1"/>
  <c r="AB216" i="103" s="1"/>
  <c r="AD216" i="103" s="1"/>
  <c r="C182" i="103"/>
  <c r="U182" i="103" s="1"/>
  <c r="AB81" i="103"/>
  <c r="AD81" i="103" s="1"/>
  <c r="AD121" i="103"/>
  <c r="X226" i="103"/>
  <c r="Z226" i="103" s="1"/>
  <c r="AA226" i="103" s="1"/>
  <c r="AB226" i="103" s="1"/>
  <c r="AD226" i="103" s="1"/>
  <c r="C192" i="103"/>
  <c r="U192" i="103" s="1"/>
  <c r="C159" i="103" s="1"/>
  <c r="U159" i="103" s="1"/>
  <c r="AB56" i="103"/>
  <c r="V84" i="103"/>
  <c r="V85" i="103" s="1"/>
  <c r="D19" i="103"/>
  <c r="AB63" i="103"/>
  <c r="AD63" i="103" s="1"/>
  <c r="W63" i="103"/>
  <c r="W13" i="103"/>
  <c r="AB13" i="103"/>
  <c r="AD13" i="103" s="1"/>
  <c r="D11" i="121"/>
  <c r="D12" i="121" s="1"/>
  <c r="D19" i="121" s="1"/>
  <c r="D167" i="121"/>
  <c r="C9" i="16" s="1"/>
  <c r="C12" i="16" s="1"/>
  <c r="C24" i="16" s="1"/>
  <c r="C29" i="16" s="1"/>
  <c r="C31" i="16" s="1"/>
  <c r="C33" i="16" s="1"/>
  <c r="C35" i="16" s="1"/>
  <c r="D304" i="121"/>
  <c r="D306" i="121" s="1"/>
  <c r="D308" i="121" s="1"/>
  <c r="D31" i="16"/>
  <c r="D33" i="16" s="1"/>
  <c r="D35" i="16" s="1"/>
  <c r="X186" i="103" l="1"/>
  <c r="Z186" i="103" s="1"/>
  <c r="AA186" i="103" s="1"/>
  <c r="AB186" i="103" s="1"/>
  <c r="AD186" i="103" s="1"/>
  <c r="C151" i="103"/>
  <c r="U151" i="103" s="1"/>
  <c r="X151" i="103" s="1"/>
  <c r="C157" i="103"/>
  <c r="U157" i="103" s="1"/>
  <c r="X157" i="103" s="1"/>
  <c r="X190" i="103"/>
  <c r="Z190" i="103" s="1"/>
  <c r="AA190" i="103" s="1"/>
  <c r="AB190" i="103" s="1"/>
  <c r="AD190" i="103" s="1"/>
  <c r="C146" i="103"/>
  <c r="U146" i="103" s="1"/>
  <c r="X181" i="103"/>
  <c r="Z181" i="103" s="1"/>
  <c r="AA181" i="103" s="1"/>
  <c r="AB181" i="103" s="1"/>
  <c r="AD181" i="103" s="1"/>
  <c r="F19" i="131"/>
  <c r="E19" i="131" s="1"/>
  <c r="E27" i="131" s="1"/>
  <c r="F21" i="131"/>
  <c r="D21" i="131"/>
  <c r="D19" i="131"/>
  <c r="C19" i="131" s="1"/>
  <c r="H19" i="131"/>
  <c r="G19" i="131" s="1"/>
  <c r="G27" i="131" s="1"/>
  <c r="H21" i="131"/>
  <c r="K27" i="131"/>
  <c r="J18" i="131"/>
  <c r="H18" i="131"/>
  <c r="F18" i="131"/>
  <c r="J21" i="131"/>
  <c r="J19" i="131"/>
  <c r="I19" i="131" s="1"/>
  <c r="I27" i="131" s="1"/>
  <c r="W32" i="104"/>
  <c r="W48" i="104" s="1"/>
  <c r="U32" i="104"/>
  <c r="T48" i="104"/>
  <c r="I58" i="11"/>
  <c r="X203" i="103"/>
  <c r="Z203" i="103" s="1"/>
  <c r="C168" i="103"/>
  <c r="U168" i="103" s="1"/>
  <c r="C54" i="103"/>
  <c r="U54" i="103" s="1"/>
  <c r="X97" i="103"/>
  <c r="Z97" i="103" s="1"/>
  <c r="AA97" i="103" s="1"/>
  <c r="AB97" i="103" s="1"/>
  <c r="AD97" i="103" s="1"/>
  <c r="W97" i="103"/>
  <c r="T227" i="104"/>
  <c r="O236" i="104"/>
  <c r="O237" i="104" s="1"/>
  <c r="W36" i="103"/>
  <c r="AB36" i="103"/>
  <c r="AD36" i="103" s="1"/>
  <c r="V108" i="104"/>
  <c r="K45" i="11"/>
  <c r="D45" i="11" s="1"/>
  <c r="C52" i="11"/>
  <c r="L45" i="11"/>
  <c r="C96" i="103"/>
  <c r="U96" i="103" s="1"/>
  <c r="Z135" i="103"/>
  <c r="AA135" i="103" s="1"/>
  <c r="AB135" i="103" s="1"/>
  <c r="AD135" i="103" s="1"/>
  <c r="G58" i="11"/>
  <c r="C122" i="103"/>
  <c r="U122" i="103" s="1"/>
  <c r="Z161" i="103"/>
  <c r="AA161" i="103" s="1"/>
  <c r="AB161" i="103" s="1"/>
  <c r="AD161" i="103" s="1"/>
  <c r="V19" i="103"/>
  <c r="D39" i="103"/>
  <c r="C117" i="103"/>
  <c r="U117" i="103" s="1"/>
  <c r="Z156" i="103"/>
  <c r="AA156" i="103" s="1"/>
  <c r="AB156" i="103" s="1"/>
  <c r="AD156" i="103" s="1"/>
  <c r="U108" i="104"/>
  <c r="AA294" i="103"/>
  <c r="AB294" i="103" s="1"/>
  <c r="AD294" i="103" s="1"/>
  <c r="AB271" i="103"/>
  <c r="AD271" i="103" s="1"/>
  <c r="C55" i="103"/>
  <c r="U55" i="103" s="1"/>
  <c r="X55" i="103" s="1"/>
  <c r="Z55" i="103" s="1"/>
  <c r="AA55" i="103" s="1"/>
  <c r="AB55" i="103" s="1"/>
  <c r="W98" i="103"/>
  <c r="X98" i="103"/>
  <c r="Z98" i="103" s="1"/>
  <c r="AA98" i="103" s="1"/>
  <c r="AB98" i="103" s="1"/>
  <c r="AD98" i="103" s="1"/>
  <c r="K161" i="11"/>
  <c r="J159" i="11"/>
  <c r="H159" i="11"/>
  <c r="F159" i="11"/>
  <c r="C183" i="103"/>
  <c r="U183" i="103" s="1"/>
  <c r="X217" i="103"/>
  <c r="Z217" i="103" s="1"/>
  <c r="AA217" i="103" s="1"/>
  <c r="AB217" i="103" s="1"/>
  <c r="AD217" i="103" s="1"/>
  <c r="C115" i="103"/>
  <c r="U115" i="103" s="1"/>
  <c r="Z154" i="103"/>
  <c r="AA154" i="103" s="1"/>
  <c r="AB154" i="103" s="1"/>
  <c r="AD154" i="103" s="1"/>
  <c r="C147" i="103"/>
  <c r="U147" i="103" s="1"/>
  <c r="X147" i="103" s="1"/>
  <c r="X182" i="103"/>
  <c r="Z182" i="103" s="1"/>
  <c r="AA182" i="103" s="1"/>
  <c r="AB182" i="103" s="1"/>
  <c r="AD182" i="103" s="1"/>
  <c r="X70" i="103"/>
  <c r="Z70" i="103" s="1"/>
  <c r="AA70" i="103" s="1"/>
  <c r="AB70" i="103" s="1"/>
  <c r="AD70" i="103" s="1"/>
  <c r="C25" i="103"/>
  <c r="U25" i="103" s="1"/>
  <c r="W70" i="103"/>
  <c r="AB119" i="103"/>
  <c r="AD119" i="103" s="1"/>
  <c r="W119" i="103"/>
  <c r="D159" i="11"/>
  <c r="C65" i="103"/>
  <c r="U65" i="103" s="1"/>
  <c r="W105" i="103"/>
  <c r="X105" i="103"/>
  <c r="Z105" i="103" s="1"/>
  <c r="AA105" i="103" s="1"/>
  <c r="AB105" i="103" s="1"/>
  <c r="AD105" i="103" s="1"/>
  <c r="C50" i="103"/>
  <c r="X94" i="103"/>
  <c r="Z94" i="103" s="1"/>
  <c r="AA94" i="103" s="1"/>
  <c r="AB94" i="103" s="1"/>
  <c r="AD94" i="103" s="1"/>
  <c r="W94" i="103"/>
  <c r="E58" i="11"/>
  <c r="V236" i="103"/>
  <c r="D262" i="103"/>
  <c r="D263" i="103" s="1"/>
  <c r="Z262" i="103"/>
  <c r="AA236" i="103"/>
  <c r="AB24" i="103"/>
  <c r="AD24" i="103" s="1"/>
  <c r="W24" i="103"/>
  <c r="C140" i="103"/>
  <c r="U140" i="103" s="1"/>
  <c r="X140" i="103" s="1"/>
  <c r="X176" i="103"/>
  <c r="Z176" i="103" s="1"/>
  <c r="AA176" i="103" s="1"/>
  <c r="AB176" i="103" s="1"/>
  <c r="AD176" i="103" s="1"/>
  <c r="D24" i="121"/>
  <c r="D26" i="121" s="1"/>
  <c r="F187" i="121"/>
  <c r="D192" i="121"/>
  <c r="C111" i="103" l="1"/>
  <c r="U111" i="103" s="1"/>
  <c r="Z151" i="103"/>
  <c r="AA151" i="103" s="1"/>
  <c r="AB151" i="103" s="1"/>
  <c r="AD151" i="103" s="1"/>
  <c r="Z157" i="103"/>
  <c r="AA157" i="103" s="1"/>
  <c r="AB157" i="103" s="1"/>
  <c r="AD157" i="103" s="1"/>
  <c r="C118" i="103"/>
  <c r="U118" i="103" s="1"/>
  <c r="J27" i="131"/>
  <c r="I32" i="131"/>
  <c r="H27" i="131"/>
  <c r="G32" i="131"/>
  <c r="L19" i="131"/>
  <c r="C27" i="131"/>
  <c r="E32" i="131"/>
  <c r="F27" i="131"/>
  <c r="D46" i="11"/>
  <c r="C46" i="11" s="1"/>
  <c r="D47" i="11"/>
  <c r="C47" i="11" s="1"/>
  <c r="J161" i="11"/>
  <c r="F161" i="11"/>
  <c r="H161" i="11"/>
  <c r="X117" i="103"/>
  <c r="Z117" i="103" s="1"/>
  <c r="AA117" i="103" s="1"/>
  <c r="AB117" i="103" s="1"/>
  <c r="W117" i="103"/>
  <c r="X96" i="103"/>
  <c r="Z96" i="103" s="1"/>
  <c r="AA96" i="103" s="1"/>
  <c r="AB96" i="103" s="1"/>
  <c r="AD96" i="103" s="1"/>
  <c r="W96" i="103"/>
  <c r="Z229" i="103"/>
  <c r="AA203" i="103"/>
  <c r="X183" i="103"/>
  <c r="Z183" i="103" s="1"/>
  <c r="AA183" i="103" s="1"/>
  <c r="AB183" i="103" s="1"/>
  <c r="AD183" i="103" s="1"/>
  <c r="C148" i="103"/>
  <c r="U148" i="103" s="1"/>
  <c r="X148" i="103" s="1"/>
  <c r="D40" i="103"/>
  <c r="V40" i="103"/>
  <c r="X168" i="103"/>
  <c r="Z168" i="103" s="1"/>
  <c r="C132" i="103"/>
  <c r="U132" i="103" s="1"/>
  <c r="X132" i="103" s="1"/>
  <c r="AB19" i="103"/>
  <c r="AD19" i="103" s="1"/>
  <c r="W19" i="103"/>
  <c r="V39" i="103"/>
  <c r="AB39" i="103" s="1"/>
  <c r="AD39" i="103" s="1"/>
  <c r="C58" i="11"/>
  <c r="L52" i="11"/>
  <c r="K53" i="11"/>
  <c r="I65" i="11"/>
  <c r="X115" i="103"/>
  <c r="Z115" i="103" s="1"/>
  <c r="AA115" i="103" s="1"/>
  <c r="AB115" i="103" s="1"/>
  <c r="AD115" i="103" s="1"/>
  <c r="C76" i="103"/>
  <c r="U76" i="103" s="1"/>
  <c r="W115" i="103"/>
  <c r="X25" i="103"/>
  <c r="Z25" i="103" s="1"/>
  <c r="W25" i="103"/>
  <c r="D161" i="11"/>
  <c r="W227" i="104"/>
  <c r="T236" i="104"/>
  <c r="Z140" i="103"/>
  <c r="AA140" i="103" s="1"/>
  <c r="AB140" i="103" s="1"/>
  <c r="AD140" i="103" s="1"/>
  <c r="C101" i="103"/>
  <c r="U101" i="103" s="1"/>
  <c r="F162" i="11"/>
  <c r="F164" i="11"/>
  <c r="X122" i="103"/>
  <c r="Z122" i="103" s="1"/>
  <c r="AA122" i="103" s="1"/>
  <c r="AB122" i="103" s="1"/>
  <c r="AD122" i="103" s="1"/>
  <c r="W122" i="103"/>
  <c r="K52" i="11"/>
  <c r="D52" i="11" s="1"/>
  <c r="F45" i="11"/>
  <c r="H45" i="11"/>
  <c r="J45" i="11"/>
  <c r="V32" i="104"/>
  <c r="V48" i="104" s="1"/>
  <c r="U48" i="104"/>
  <c r="T50" i="104" s="1"/>
  <c r="C21" i="103"/>
  <c r="U21" i="103" s="1"/>
  <c r="X65" i="103"/>
  <c r="Z65" i="103" s="1"/>
  <c r="AA65" i="103" s="1"/>
  <c r="AB65" i="103" s="1"/>
  <c r="AD65" i="103" s="1"/>
  <c r="W65" i="103"/>
  <c r="Z147" i="103"/>
  <c r="AA147" i="103" s="1"/>
  <c r="AB147" i="103" s="1"/>
  <c r="AD147" i="103" s="1"/>
  <c r="C107" i="103"/>
  <c r="U107" i="103" s="1"/>
  <c r="H162" i="11"/>
  <c r="H164" i="11"/>
  <c r="AB236" i="103"/>
  <c r="AD236" i="103" s="1"/>
  <c r="AA262" i="103"/>
  <c r="V262" i="103"/>
  <c r="V263" i="103" s="1"/>
  <c r="D203" i="103"/>
  <c r="E65" i="11"/>
  <c r="D164" i="11"/>
  <c r="D162" i="11"/>
  <c r="J164" i="11"/>
  <c r="J162" i="11"/>
  <c r="G65" i="11"/>
  <c r="X54" i="103"/>
  <c r="Z54" i="103" s="1"/>
  <c r="C14" i="103"/>
  <c r="U14" i="103" s="1"/>
  <c r="W54" i="103"/>
  <c r="D195" i="121"/>
  <c r="D197" i="121" s="1"/>
  <c r="D206" i="121" s="1"/>
  <c r="F197" i="121"/>
  <c r="F200" i="121"/>
  <c r="X118" i="103" l="1"/>
  <c r="Z118" i="103" s="1"/>
  <c r="AA118" i="103" s="1"/>
  <c r="AB118" i="103" s="1"/>
  <c r="AD118" i="103" s="1"/>
  <c r="W118" i="103"/>
  <c r="W111" i="103"/>
  <c r="X111" i="103"/>
  <c r="Z111" i="103" s="1"/>
  <c r="AA111" i="103" s="1"/>
  <c r="AB111" i="103" s="1"/>
  <c r="AD111" i="103" s="1"/>
  <c r="C32" i="131"/>
  <c r="K28" i="131"/>
  <c r="L27" i="131"/>
  <c r="D27" i="131"/>
  <c r="G34" i="131"/>
  <c r="E34" i="131"/>
  <c r="I34" i="131"/>
  <c r="AB262" i="103"/>
  <c r="AD262" i="103" s="1"/>
  <c r="X21" i="103"/>
  <c r="Z21" i="103" s="1"/>
  <c r="W21" i="103"/>
  <c r="L58" i="11"/>
  <c r="K58" i="11"/>
  <c r="C65" i="11"/>
  <c r="C108" i="103"/>
  <c r="U108" i="103" s="1"/>
  <c r="Z148" i="103"/>
  <c r="AA148" i="103" s="1"/>
  <c r="AB148" i="103" s="1"/>
  <c r="AD148" i="103" s="1"/>
  <c r="J46" i="11"/>
  <c r="I46" i="11" s="1"/>
  <c r="J47" i="11"/>
  <c r="I47" i="11" s="1"/>
  <c r="X101" i="103"/>
  <c r="Z101" i="103" s="1"/>
  <c r="AA101" i="103" s="1"/>
  <c r="AB101" i="103" s="1"/>
  <c r="AD101" i="103" s="1"/>
  <c r="W101" i="103"/>
  <c r="C31" i="103"/>
  <c r="U31" i="103" s="1"/>
  <c r="W76" i="103"/>
  <c r="X76" i="103"/>
  <c r="Z76" i="103" s="1"/>
  <c r="AA76" i="103" s="1"/>
  <c r="AB76" i="103" s="1"/>
  <c r="AD76" i="103" s="1"/>
  <c r="AA168" i="103"/>
  <c r="Z195" i="103"/>
  <c r="AD117" i="103"/>
  <c r="W14" i="103"/>
  <c r="X14" i="103"/>
  <c r="Z14" i="103" s="1"/>
  <c r="E70" i="11"/>
  <c r="X107" i="103"/>
  <c r="Z107" i="103" s="1"/>
  <c r="AA107" i="103" s="1"/>
  <c r="AB107" i="103" s="1"/>
  <c r="AD107" i="103" s="1"/>
  <c r="W107" i="103"/>
  <c r="H46" i="11"/>
  <c r="G46" i="11" s="1"/>
  <c r="H47" i="11"/>
  <c r="G47" i="11" s="1"/>
  <c r="AA229" i="103"/>
  <c r="AA54" i="103"/>
  <c r="Z84" i="103"/>
  <c r="AA86" i="103" s="1"/>
  <c r="F46" i="11"/>
  <c r="E46" i="11" s="1"/>
  <c r="L46" i="11" s="1"/>
  <c r="F47" i="11"/>
  <c r="E47" i="11" s="1"/>
  <c r="G70" i="11"/>
  <c r="P203" i="103"/>
  <c r="V203" i="103"/>
  <c r="D229" i="103"/>
  <c r="D230" i="103" s="1"/>
  <c r="H52" i="11"/>
  <c r="J52" i="11"/>
  <c r="F52" i="11"/>
  <c r="I70" i="11"/>
  <c r="Z132" i="103"/>
  <c r="C92" i="103"/>
  <c r="U92" i="103" s="1"/>
  <c r="X92" i="103" s="1"/>
  <c r="Z92" i="103" s="1"/>
  <c r="D311" i="121"/>
  <c r="D312" i="121" s="1"/>
  <c r="D314" i="121" s="1"/>
  <c r="D316" i="121" s="1"/>
  <c r="D326" i="121" s="1"/>
  <c r="F202" i="121"/>
  <c r="L47" i="11" l="1"/>
  <c r="C34" i="131"/>
  <c r="L32" i="131"/>
  <c r="K32" i="131"/>
  <c r="AA92" i="103"/>
  <c r="Z123" i="103"/>
  <c r="AB54" i="103"/>
  <c r="AD54" i="103" s="1"/>
  <c r="AA84" i="103"/>
  <c r="AB84" i="103" s="1"/>
  <c r="AD84" i="103" s="1"/>
  <c r="AA132" i="103"/>
  <c r="Z162" i="103"/>
  <c r="W31" i="103"/>
  <c r="X31" i="103"/>
  <c r="Z31" i="103" s="1"/>
  <c r="Z39" i="103" s="1"/>
  <c r="AA41" i="103" s="1"/>
  <c r="L65" i="11"/>
  <c r="K66" i="11"/>
  <c r="C70" i="11"/>
  <c r="I78" i="11"/>
  <c r="V229" i="103"/>
  <c r="V230" i="103" s="1"/>
  <c r="D168" i="103"/>
  <c r="AB203" i="103"/>
  <c r="AD203" i="103" s="1"/>
  <c r="P229" i="103"/>
  <c r="P230" i="103" s="1"/>
  <c r="P221" i="103"/>
  <c r="V221" i="103" s="1"/>
  <c r="G78" i="11"/>
  <c r="K65" i="11"/>
  <c r="J58" i="11"/>
  <c r="F58" i="11"/>
  <c r="H58" i="11"/>
  <c r="D425" i="121"/>
  <c r="D428" i="121" s="1"/>
  <c r="D431" i="121" s="1"/>
  <c r="D436" i="121" s="1"/>
  <c r="D438" i="121" s="1"/>
  <c r="D440" i="121" s="1"/>
  <c r="D442" i="121" s="1"/>
  <c r="D366" i="121" s="1"/>
  <c r="D365" i="121" s="1"/>
  <c r="D341" i="121" s="1"/>
  <c r="D58" i="11"/>
  <c r="W108" i="103"/>
  <c r="X108" i="103"/>
  <c r="Z108" i="103" s="1"/>
  <c r="AA108" i="103" s="1"/>
  <c r="AB108" i="103" s="1"/>
  <c r="F204" i="121"/>
  <c r="D207" i="121" s="1"/>
  <c r="D208" i="121" s="1"/>
  <c r="D204" i="121"/>
  <c r="AA195" i="103"/>
  <c r="E78" i="11"/>
  <c r="D45" i="121"/>
  <c r="D46" i="121" s="1"/>
  <c r="K34" i="131" l="1"/>
  <c r="J32" i="131"/>
  <c r="H32" i="131"/>
  <c r="F32" i="131"/>
  <c r="D32" i="131"/>
  <c r="J65" i="11"/>
  <c r="F65" i="11"/>
  <c r="H65" i="11"/>
  <c r="G83" i="11"/>
  <c r="C78" i="11"/>
  <c r="L70" i="11"/>
  <c r="K70" i="11"/>
  <c r="D70" i="11" s="1"/>
  <c r="AA162" i="103"/>
  <c r="AB229" i="103"/>
  <c r="AD229" i="103" s="1"/>
  <c r="D187" i="103"/>
  <c r="V187" i="103" s="1"/>
  <c r="AB221" i="103"/>
  <c r="AD221" i="103" s="1"/>
  <c r="D65" i="11"/>
  <c r="I83" i="11"/>
  <c r="J60" i="11"/>
  <c r="I60" i="11" s="1"/>
  <c r="J59" i="11"/>
  <c r="I59" i="11" s="1"/>
  <c r="AD108" i="103"/>
  <c r="AC126" i="103"/>
  <c r="E83" i="11"/>
  <c r="D60" i="11"/>
  <c r="C60" i="11" s="1"/>
  <c r="D59" i="11"/>
  <c r="C59" i="11" s="1"/>
  <c r="H60" i="11"/>
  <c r="G60" i="11" s="1"/>
  <c r="H59" i="11"/>
  <c r="G59" i="11" s="1"/>
  <c r="F60" i="11"/>
  <c r="E60" i="11" s="1"/>
  <c r="F59" i="11"/>
  <c r="E59" i="11" s="1"/>
  <c r="V168" i="103"/>
  <c r="D195" i="103"/>
  <c r="D196" i="103" s="1"/>
  <c r="AA123" i="103"/>
  <c r="D55" i="121"/>
  <c r="D65" i="121" s="1"/>
  <c r="L60" i="11" l="1"/>
  <c r="K178" i="11"/>
  <c r="K35" i="131"/>
  <c r="K43" i="131" s="1"/>
  <c r="F34" i="131"/>
  <c r="J34" i="131"/>
  <c r="H34" i="131"/>
  <c r="D34" i="131"/>
  <c r="F37" i="131"/>
  <c r="E37" i="131" s="1"/>
  <c r="F35" i="131"/>
  <c r="D37" i="131"/>
  <c r="C37" i="131" s="1"/>
  <c r="D35" i="131"/>
  <c r="H37" i="131"/>
  <c r="G37" i="131" s="1"/>
  <c r="H35" i="131"/>
  <c r="J35" i="131"/>
  <c r="J37" i="131"/>
  <c r="I37" i="131" s="1"/>
  <c r="K79" i="11"/>
  <c r="C83" i="11"/>
  <c r="L78" i="11"/>
  <c r="G91" i="11"/>
  <c r="E91" i="11"/>
  <c r="D71" i="11"/>
  <c r="C71" i="11" s="1"/>
  <c r="D72" i="11"/>
  <c r="C72" i="11" s="1"/>
  <c r="D152" i="103"/>
  <c r="P164" i="103" s="1"/>
  <c r="AB187" i="103"/>
  <c r="AD187" i="103" s="1"/>
  <c r="D132" i="103"/>
  <c r="V195" i="103"/>
  <c r="AB168" i="103"/>
  <c r="AD168" i="103" s="1"/>
  <c r="K59" i="11"/>
  <c r="L59" i="11"/>
  <c r="I91" i="11"/>
  <c r="K78" i="11"/>
  <c r="D78" i="11" s="1"/>
  <c r="F70" i="11"/>
  <c r="H70" i="11"/>
  <c r="J70" i="11"/>
  <c r="D237" i="121"/>
  <c r="D30" i="121" s="1"/>
  <c r="D68" i="121"/>
  <c r="D235" i="121" s="1"/>
  <c r="D353" i="121"/>
  <c r="D354" i="121" s="1"/>
  <c r="D360" i="121" s="1"/>
  <c r="C162" i="11"/>
  <c r="G162" i="11"/>
  <c r="G170" i="11" s="1"/>
  <c r="G175" i="11" s="1"/>
  <c r="G177" i="11" s="1"/>
  <c r="K170" i="11"/>
  <c r="I162" i="11"/>
  <c r="I170" i="11" s="1"/>
  <c r="E162" i="11"/>
  <c r="E170" i="11" s="1"/>
  <c r="C35" i="131" l="1"/>
  <c r="C43" i="131" s="1"/>
  <c r="I35" i="131"/>
  <c r="I43" i="131" s="1"/>
  <c r="J43" i="131" s="1"/>
  <c r="G35" i="131"/>
  <c r="G43" i="131" s="1"/>
  <c r="H43" i="131" s="1"/>
  <c r="E35" i="131"/>
  <c r="E43" i="131" s="1"/>
  <c r="F43" i="131" s="1"/>
  <c r="E96" i="11"/>
  <c r="V196" i="103"/>
  <c r="AB195" i="103"/>
  <c r="AD195" i="103" s="1"/>
  <c r="G96" i="11"/>
  <c r="J170" i="11"/>
  <c r="I175" i="11"/>
  <c r="F71" i="11"/>
  <c r="E71" i="11" s="1"/>
  <c r="F72" i="11"/>
  <c r="E72" i="11" s="1"/>
  <c r="F78" i="11"/>
  <c r="J78" i="11"/>
  <c r="H78" i="11"/>
  <c r="I96" i="11"/>
  <c r="V132" i="103"/>
  <c r="D162" i="103"/>
  <c r="D163" i="103" s="1"/>
  <c r="H71" i="11"/>
  <c r="G71" i="11" s="1"/>
  <c r="H72" i="11"/>
  <c r="G72" i="11" s="1"/>
  <c r="C91" i="11"/>
  <c r="L83" i="11"/>
  <c r="K83" i="11"/>
  <c r="D83" i="11" s="1"/>
  <c r="F170" i="11"/>
  <c r="E175" i="11"/>
  <c r="J71" i="11"/>
  <c r="I71" i="11" s="1"/>
  <c r="J72" i="11"/>
  <c r="I72" i="11" s="1"/>
  <c r="L72" i="11" s="1"/>
  <c r="L71" i="11"/>
  <c r="H170" i="11"/>
  <c r="L162" i="11"/>
  <c r="C170" i="11"/>
  <c r="C175" i="11" s="1"/>
  <c r="L35" i="131" l="1"/>
  <c r="K44" i="131"/>
  <c r="L43" i="131"/>
  <c r="D43" i="131"/>
  <c r="I104" i="11"/>
  <c r="D85" i="11"/>
  <c r="C85" i="11" s="1"/>
  <c r="D84" i="11"/>
  <c r="C84" i="11" s="1"/>
  <c r="C96" i="11"/>
  <c r="K92" i="11"/>
  <c r="L91" i="11"/>
  <c r="G104" i="11"/>
  <c r="E177" i="11"/>
  <c r="E104" i="11"/>
  <c r="C177" i="11"/>
  <c r="L175" i="11"/>
  <c r="K175" i="11"/>
  <c r="D175" i="11" s="1"/>
  <c r="K91" i="11"/>
  <c r="D91" i="11" s="1"/>
  <c r="F83" i="11"/>
  <c r="J83" i="11"/>
  <c r="H83" i="11"/>
  <c r="D92" i="103"/>
  <c r="V162" i="103"/>
  <c r="AB132" i="103"/>
  <c r="AD132" i="103" s="1"/>
  <c r="I177" i="11"/>
  <c r="J175" i="11"/>
  <c r="L170" i="11"/>
  <c r="D170" i="11"/>
  <c r="K171" i="11"/>
  <c r="F175" i="11" l="1"/>
  <c r="H84" i="11"/>
  <c r="G84" i="11" s="1"/>
  <c r="H85" i="11"/>
  <c r="G85" i="11" s="1"/>
  <c r="L96" i="11"/>
  <c r="C104" i="11"/>
  <c r="K96" i="11"/>
  <c r="V163" i="103"/>
  <c r="AB162" i="103"/>
  <c r="AD162" i="103" s="1"/>
  <c r="V92" i="103"/>
  <c r="D123" i="103"/>
  <c r="D124" i="103" s="1"/>
  <c r="J85" i="11"/>
  <c r="I85" i="11" s="1"/>
  <c r="J84" i="11"/>
  <c r="I84" i="11" s="1"/>
  <c r="E109" i="11"/>
  <c r="F85" i="11"/>
  <c r="E85" i="11" s="1"/>
  <c r="L85" i="11" s="1"/>
  <c r="F84" i="11"/>
  <c r="E84" i="11" s="1"/>
  <c r="F178" i="11"/>
  <c r="E178" i="11" s="1"/>
  <c r="F180" i="11"/>
  <c r="E180" i="11" s="1"/>
  <c r="J180" i="11"/>
  <c r="I180" i="11" s="1"/>
  <c r="J178" i="11"/>
  <c r="I178" i="11" s="1"/>
  <c r="F91" i="11"/>
  <c r="H91" i="11"/>
  <c r="J91" i="11"/>
  <c r="D180" i="11"/>
  <c r="C180" i="11" s="1"/>
  <c r="D178" i="11"/>
  <c r="C178" i="11" s="1"/>
  <c r="I109" i="11"/>
  <c r="H175" i="11"/>
  <c r="K177" i="11"/>
  <c r="J177" i="11" s="1"/>
  <c r="G109" i="11"/>
  <c r="E186" i="11" l="1"/>
  <c r="D177" i="11"/>
  <c r="I186" i="11"/>
  <c r="L84" i="11"/>
  <c r="K104" i="11"/>
  <c r="J96" i="11"/>
  <c r="H96" i="11"/>
  <c r="F96" i="11"/>
  <c r="L104" i="11"/>
  <c r="C109" i="11"/>
  <c r="D104" i="11"/>
  <c r="K105" i="11"/>
  <c r="I117" i="11"/>
  <c r="C186" i="11"/>
  <c r="F177" i="11"/>
  <c r="E117" i="11"/>
  <c r="G117" i="11"/>
  <c r="D96" i="11"/>
  <c r="K186" i="11"/>
  <c r="F186" i="11" s="1"/>
  <c r="H177" i="11"/>
  <c r="H178" i="11"/>
  <c r="G178" i="11" s="1"/>
  <c r="G186" i="11" s="1"/>
  <c r="H180" i="11"/>
  <c r="G180" i="11" s="1"/>
  <c r="W92" i="103"/>
  <c r="V123" i="103"/>
  <c r="AB92" i="103"/>
  <c r="AD92" i="103" s="1"/>
  <c r="H186" i="11" l="1"/>
  <c r="J186" i="11"/>
  <c r="E122" i="11"/>
  <c r="L178" i="11"/>
  <c r="F98" i="11"/>
  <c r="E98" i="11" s="1"/>
  <c r="F97" i="11"/>
  <c r="E97" i="11" s="1"/>
  <c r="C117" i="11"/>
  <c r="K109" i="11"/>
  <c r="D109" i="11" s="1"/>
  <c r="L109" i="11"/>
  <c r="D98" i="11"/>
  <c r="C98" i="11" s="1"/>
  <c r="D97" i="11"/>
  <c r="C97" i="11" s="1"/>
  <c r="D186" i="11"/>
  <c r="K187" i="11"/>
  <c r="L186" i="11"/>
  <c r="H97" i="11"/>
  <c r="G97" i="11" s="1"/>
  <c r="H98" i="11"/>
  <c r="G98" i="11" s="1"/>
  <c r="V124" i="103"/>
  <c r="AB123" i="103"/>
  <c r="J98" i="11"/>
  <c r="I98" i="11" s="1"/>
  <c r="J97" i="11"/>
  <c r="I97" i="11" s="1"/>
  <c r="G122" i="11"/>
  <c r="I122" i="11"/>
  <c r="H104" i="11"/>
  <c r="F104" i="11"/>
  <c r="J104" i="11"/>
  <c r="K117" i="11" l="1"/>
  <c r="J109" i="11"/>
  <c r="F109" i="11"/>
  <c r="H109" i="11"/>
  <c r="L117" i="11"/>
  <c r="C122" i="11"/>
  <c r="K118" i="11"/>
  <c r="D117" i="11"/>
  <c r="I131" i="11"/>
  <c r="G131" i="11"/>
  <c r="L97" i="11"/>
  <c r="D111" i="11"/>
  <c r="C111" i="11" s="1"/>
  <c r="D110" i="11"/>
  <c r="C110" i="11" s="1"/>
  <c r="AC127" i="103"/>
  <c r="AD123" i="103"/>
  <c r="L98" i="11"/>
  <c r="E131" i="11"/>
  <c r="L122" i="11" l="1"/>
  <c r="C131" i="11"/>
  <c r="K122" i="11"/>
  <c r="H111" i="11"/>
  <c r="G111" i="11" s="1"/>
  <c r="H110" i="11"/>
  <c r="G110" i="11" s="1"/>
  <c r="F111" i="11"/>
  <c r="E111" i="11" s="1"/>
  <c r="F110" i="11"/>
  <c r="E110" i="11" s="1"/>
  <c r="L110" i="11" s="1"/>
  <c r="J110" i="11"/>
  <c r="I110" i="11" s="1"/>
  <c r="J111" i="11"/>
  <c r="I111" i="11" s="1"/>
  <c r="L111" i="11" s="1"/>
  <c r="F117" i="11"/>
  <c r="H117" i="11"/>
  <c r="J117" i="11"/>
  <c r="K131" i="11" l="1"/>
  <c r="J122" i="11"/>
  <c r="F122" i="11"/>
  <c r="H122" i="11"/>
  <c r="D131" i="11"/>
  <c r="L131" i="11"/>
  <c r="K132" i="11"/>
  <c r="D122" i="11"/>
  <c r="D123" i="11" l="1"/>
  <c r="C123" i="11" s="1"/>
  <c r="D125" i="11"/>
  <c r="C125" i="11" s="1"/>
  <c r="H123" i="11"/>
  <c r="G123" i="11" s="1"/>
  <c r="H125" i="11"/>
  <c r="G125" i="11" s="1"/>
  <c r="J125" i="11"/>
  <c r="I125" i="11" s="1"/>
  <c r="J123" i="11"/>
  <c r="I123" i="11" s="1"/>
  <c r="F125" i="11"/>
  <c r="E125" i="11" s="1"/>
  <c r="F123" i="11"/>
  <c r="E123" i="11" s="1"/>
  <c r="F131" i="11"/>
  <c r="H131" i="11"/>
  <c r="J131" i="11"/>
  <c r="L123" i="11" l="1"/>
  <c r="L125" i="11"/>
</calcChain>
</file>

<file path=xl/sharedStrings.xml><?xml version="1.0" encoding="utf-8"?>
<sst xmlns="http://schemas.openxmlformats.org/spreadsheetml/2006/main" count="3290" uniqueCount="623">
  <si>
    <t>SHARES IN LISTED COMPANIES</t>
  </si>
  <si>
    <t>Bluescope</t>
  </si>
  <si>
    <t>Market value at 30/06/10</t>
  </si>
  <si>
    <t>DRP shares issued</t>
  </si>
  <si>
    <t>Shares purchased</t>
  </si>
  <si>
    <t>Cost  to 30/06/10</t>
  </si>
  <si>
    <t>Cost to 30/06/11</t>
  </si>
  <si>
    <t>Market value at 30/06/11</t>
  </si>
  <si>
    <t>number</t>
  </si>
  <si>
    <t>$</t>
  </si>
  <si>
    <t>Dividends y/e 30/06/11</t>
  </si>
  <si>
    <t>ROR on cost y/e 30/06/11</t>
  </si>
  <si>
    <t>ROR on value y/e 30/06/11</t>
  </si>
  <si>
    <t>Capital gain (loss) % 2011</t>
  </si>
  <si>
    <t>Capital gain (loss) % to date</t>
  </si>
  <si>
    <t>Capital gain (loss) 2011</t>
  </si>
  <si>
    <t>BHP</t>
  </si>
  <si>
    <t>Shares added 2011</t>
  </si>
  <si>
    <t>CBA</t>
  </si>
  <si>
    <t>CC AMATIL</t>
  </si>
  <si>
    <t>DLX</t>
  </si>
  <si>
    <t>FGL</t>
  </si>
  <si>
    <t>GRK</t>
  </si>
  <si>
    <t>IAG</t>
  </si>
  <si>
    <t>MRM</t>
  </si>
  <si>
    <t>NAB</t>
  </si>
  <si>
    <t>ORI</t>
  </si>
  <si>
    <t>RIO</t>
  </si>
  <si>
    <t>TLS</t>
  </si>
  <si>
    <t>TWE</t>
  </si>
  <si>
    <t>WPL</t>
  </si>
  <si>
    <t>WOW</t>
  </si>
  <si>
    <t>WBC</t>
  </si>
  <si>
    <t>price</t>
  </si>
  <si>
    <t>Capital gain (loss) to date</t>
  </si>
  <si>
    <t>COST TO 30/06/11</t>
  </si>
  <si>
    <t>MARKET VALUE AT 30/06/11</t>
  </si>
  <si>
    <t>MARKET VALUE AT 30/06/10</t>
  </si>
  <si>
    <t>DIVIDENDS RECEIVED 30/06/11</t>
  </si>
  <si>
    <t>WARTON NO.2 SUPERANNUATION FUND</t>
  </si>
  <si>
    <t>A.B.N 95 325 309 492</t>
  </si>
  <si>
    <t>NOTES TO THE FINANCIAL STATEMENTS</t>
  </si>
  <si>
    <t>Shares in companies listed on the Australian Stock Exchange</t>
  </si>
  <si>
    <t>BHP Billiton Limited</t>
  </si>
  <si>
    <t>Bluescope Steel Limited</t>
  </si>
  <si>
    <t>Coca-Cola Amatil Limited</t>
  </si>
  <si>
    <t>DuluxGroup Limited</t>
  </si>
  <si>
    <t>Foster's Group Limited</t>
  </si>
  <si>
    <t>Insurance Australia Group Limited</t>
  </si>
  <si>
    <t>Mermaid Marine Australia Limited</t>
  </si>
  <si>
    <t>Orica Limited</t>
  </si>
  <si>
    <t>Rio Tinto Limited</t>
  </si>
  <si>
    <t>Telstra Corporation Limited</t>
  </si>
  <si>
    <t>Westpac Banking Corporation</t>
  </si>
  <si>
    <t>Woolworths Limited</t>
  </si>
  <si>
    <t>Woodside Petroleum Limited</t>
  </si>
  <si>
    <t>Green Rock Energy Limited</t>
  </si>
  <si>
    <t>Shares issued Dividend Reinvestment Plans</t>
  </si>
  <si>
    <t>Shares in International Companies</t>
  </si>
  <si>
    <t>STATEMENT OF FINANCIAL POSITION</t>
  </si>
  <si>
    <t>Commonwealth Bank of Australia</t>
  </si>
  <si>
    <t>Other debtors</t>
  </si>
  <si>
    <t>Deferred tax liability</t>
  </si>
  <si>
    <t>Represented by:</t>
  </si>
  <si>
    <t>OPERATING STATEMENT</t>
  </si>
  <si>
    <t>FOR THE YEAR ENDED 30 JUNE 2011</t>
  </si>
  <si>
    <t>Dividends received</t>
  </si>
  <si>
    <t>Interest received</t>
  </si>
  <si>
    <t>Change in net market value of investments</t>
  </si>
  <si>
    <t>Contributions revenue</t>
  </si>
  <si>
    <t>Total contributions revenue</t>
  </si>
  <si>
    <t>Other revenue</t>
  </si>
  <si>
    <t>Bank charges</t>
  </si>
  <si>
    <t>Benefits accrued as a result of operations before income tax</t>
  </si>
  <si>
    <t>Income tax expense</t>
  </si>
  <si>
    <t>National Australia Bank Limited</t>
  </si>
  <si>
    <t>Treasury Wine Estates Limited</t>
  </si>
  <si>
    <t>MEMBER'S INFORMATION STATEMENT</t>
  </si>
  <si>
    <t>Member - John Robert Warton</t>
  </si>
  <si>
    <t>Balance at the beginning of the year</t>
  </si>
  <si>
    <t>Allocated earnings</t>
  </si>
  <si>
    <t>Income tax expense on earnings</t>
  </si>
  <si>
    <t>Contributions from member</t>
  </si>
  <si>
    <t>Contributions from employer</t>
  </si>
  <si>
    <t>Withdrawal benefit at the end of the year</t>
  </si>
  <si>
    <t>Income tax expense on contributions</t>
  </si>
  <si>
    <t>Insurance premiums paid</t>
  </si>
  <si>
    <t>Member - James Joseph Warton</t>
  </si>
  <si>
    <t>Member - John Harry Warton</t>
  </si>
  <si>
    <t>John Harry</t>
  </si>
  <si>
    <t>James</t>
  </si>
  <si>
    <t>John</t>
  </si>
  <si>
    <t>Veronica</t>
  </si>
  <si>
    <t>TOTAL</t>
  </si>
  <si>
    <t>year ended 30/6/2010</t>
  </si>
  <si>
    <t>year ended 30/6/2011</t>
  </si>
  <si>
    <t>Earnings to be allocated:</t>
  </si>
  <si>
    <t>ATO fee</t>
  </si>
  <si>
    <t>1st div</t>
  </si>
  <si>
    <t>2nd div</t>
  </si>
  <si>
    <t>franked</t>
  </si>
  <si>
    <t>f/credit</t>
  </si>
  <si>
    <t>F/Credits</t>
  </si>
  <si>
    <t>Unfranked</t>
  </si>
  <si>
    <t>unfranked</t>
  </si>
  <si>
    <t>Franked</t>
  </si>
  <si>
    <t>Taxable income</t>
  </si>
  <si>
    <t>DEFERRED TAXLIABILITY PROOF</t>
  </si>
  <si>
    <t xml:space="preserve">Assets: market value at - </t>
  </si>
  <si>
    <t>at 30/06/10</t>
  </si>
  <si>
    <t>ASX listed shares</t>
  </si>
  <si>
    <t>at 30/06/11</t>
  </si>
  <si>
    <t>Managed funds</t>
  </si>
  <si>
    <t>TOTAL ASSETS MARKET VALUE</t>
  </si>
  <si>
    <t>Assets: cost</t>
  </si>
  <si>
    <t>Net increment to year end</t>
  </si>
  <si>
    <t>International companies</t>
  </si>
  <si>
    <t>PROOF OF DEFERRED TAX CALC IN TAX EFFECT</t>
  </si>
  <si>
    <t>Total unrealised income</t>
  </si>
  <si>
    <t>GST Concession applied at 1/3</t>
  </si>
  <si>
    <t>Total unrealised taxable income</t>
  </si>
  <si>
    <t>Tax rate at 15%</t>
  </si>
  <si>
    <t>cost as per swt at 30/06/10</t>
  </si>
  <si>
    <t>purchases during the financial year</t>
  </si>
  <si>
    <t>difference</t>
  </si>
  <si>
    <t>swt</t>
  </si>
  <si>
    <t>vaw</t>
  </si>
  <si>
    <t>Summary of Significant Accounting Policies</t>
  </si>
  <si>
    <t>The financial statements have been prepared in accordance with the significant accounting policies disclosed below, which the directors have determined are appropriate to meet the needs of members. Such accounting policies are consistent with the policies adopted in the previous period unless otherwise stated.</t>
  </si>
  <si>
    <t>The financial statements have been prepared on an accruals basis. The accounting policies that have been adopted in the preparation of these statements are as follows:</t>
  </si>
  <si>
    <t>(a)</t>
  </si>
  <si>
    <t>Measurements of Investments</t>
  </si>
  <si>
    <t xml:space="preserve">Investments of the fund have been measured at net market values after allowing for costs of realisation. Changes in net market value of assets are brought to account in the operating statement in the periods in which they occur. </t>
  </si>
  <si>
    <t>Net market values have been determined as follows:</t>
  </si>
  <si>
    <t>(i) shares listed on the Australian Stock exchange by reference to market quotations at the reporting date</t>
  </si>
  <si>
    <t>(iii) investment property at trustees' assessment of reasonable value</t>
  </si>
  <si>
    <t>(ii) unlisted international company shares at trustees' assessment of realisable value</t>
  </si>
  <si>
    <t>(b)</t>
  </si>
  <si>
    <t>Liability for Accrued Benefits</t>
  </si>
  <si>
    <t>The liability for accrued benefits represents the fund's present obligation to pay benefits to members and beneficiaries and has been calculated as the difference between the carrying amount of the assets and the carrying amount of the sundry liabilities and income tax liabilities as at the end of the reporting period.</t>
  </si>
  <si>
    <t>(c)</t>
  </si>
  <si>
    <t xml:space="preserve">Income Tax </t>
  </si>
  <si>
    <t>The income tax expense (revenue) for the year comprises current income tax expense (income) and deferred tax expense (income),</t>
  </si>
  <si>
    <t>Current income tax expense charged to the profit or loss is the tax payable on taxable income calculated using applicable income tax rates enacted, or substantially enacted, as at the end of the reporting period. Current tax liabilities (assets) are therefore measured at the amounts expected to be paid to (recovered from) the relevant taxation authority.</t>
  </si>
  <si>
    <t>Deferred income tax expense reflects movements in deferred tax liability balance during the year as well as unused tax losses.</t>
  </si>
  <si>
    <t>Deferred tax assets and liabilities are calculated at the tax rates that are expected to apply to the period when the asset is realised or the liability is settled, based on tax rates enacted or substantially enacted at the end of the reporting period. Their measurement also reflects the manner in which management expects to recover or settle the carrying amount of the related asset or liability</t>
  </si>
  <si>
    <t>Deferred tax assets relating to temporary differences and unused tax losses are recognised only to the extent that it is probable that future taxable profit will be available against which benefits of the deferred tax asset can be utilised.</t>
  </si>
  <si>
    <t>At net market value:</t>
  </si>
  <si>
    <t>At cost:</t>
  </si>
  <si>
    <t>Investment revenue</t>
  </si>
  <si>
    <t>General administration expenses</t>
  </si>
  <si>
    <t>Superannuation supervisory levy</t>
  </si>
  <si>
    <t>Total general administration expense</t>
  </si>
  <si>
    <t>Investments</t>
  </si>
  <si>
    <t>Shares in listed companies Australian Stock Exchange</t>
  </si>
  <si>
    <t>Shares in unlisted international companies</t>
  </si>
  <si>
    <t>Total investments</t>
  </si>
  <si>
    <t>Other assets</t>
  </si>
  <si>
    <t>Total other assets</t>
  </si>
  <si>
    <t>Total assets</t>
  </si>
  <si>
    <t>Liabilities</t>
  </si>
  <si>
    <t>Total liabilities</t>
  </si>
  <si>
    <t>Net assets available to pay benefits</t>
  </si>
  <si>
    <t>Liability for accrued benefits allocated to members' accounts</t>
  </si>
  <si>
    <t xml:space="preserve">Note </t>
  </si>
  <si>
    <t>Shares sold through ASX</t>
  </si>
  <si>
    <t>Shares disposed by way of takeover, demerger or merger</t>
  </si>
  <si>
    <t>TOTAL TO OPERATING STTAEMENT</t>
  </si>
  <si>
    <t xml:space="preserve">WORK PAPER </t>
  </si>
  <si>
    <t>HISTORICAL COST AND MARKET VALUE AT YEAR END</t>
  </si>
  <si>
    <t>Stock</t>
  </si>
  <si>
    <t>CODE</t>
  </si>
  <si>
    <t>UNITS</t>
  </si>
  <si>
    <t>COST</t>
  </si>
  <si>
    <t>DRP</t>
  </si>
  <si>
    <t xml:space="preserve">UNITS </t>
  </si>
  <si>
    <t>to note 2</t>
  </si>
  <si>
    <t>SHARES PURCHASED ASX</t>
  </si>
  <si>
    <t>as per dividend statements</t>
  </si>
  <si>
    <t>as per SWT w/paper</t>
  </si>
  <si>
    <t>as per contract notes</t>
  </si>
  <si>
    <t>SHARES SOLD ASX</t>
  </si>
  <si>
    <t>DULUX DEMERGER</t>
  </si>
  <si>
    <t>as per Orica letter</t>
  </si>
  <si>
    <t>as per Fosters website</t>
  </si>
  <si>
    <t>RIGHTS EXECERCISED</t>
  </si>
  <si>
    <t>direct debit 30/09/110</t>
  </si>
  <si>
    <t>AT 30/06/11</t>
  </si>
  <si>
    <t>BSL</t>
  </si>
  <si>
    <t>CCL</t>
  </si>
  <si>
    <t>rounding</t>
  </si>
  <si>
    <t>Notes</t>
  </si>
  <si>
    <t>The accompanying notes form part of these financial statements</t>
  </si>
  <si>
    <t>Cash and cash equivalents</t>
  </si>
  <si>
    <t>Commonwealth Bank Limited</t>
  </si>
  <si>
    <t>Dividend reinvestment plans, residual balances</t>
  </si>
  <si>
    <t>Tax refundable</t>
  </si>
  <si>
    <t>Liability for accrued benefits</t>
  </si>
  <si>
    <t>Changes in the liability for accrued benefits:</t>
  </si>
  <si>
    <t xml:space="preserve">Liability for accrued benefits at beginning of the year </t>
  </si>
  <si>
    <t>Benefits accrued as a result of operations</t>
  </si>
  <si>
    <t xml:space="preserve">Liability for accrued benefits at end of the year </t>
  </si>
  <si>
    <t>Movement in net market value of investments</t>
  </si>
  <si>
    <t xml:space="preserve">MARKET </t>
  </si>
  <si>
    <t>The components of tax expense comprise:</t>
  </si>
  <si>
    <t xml:space="preserve">Current tax </t>
  </si>
  <si>
    <t>Deferred tax</t>
  </si>
  <si>
    <t xml:space="preserve">The prima facie tax on benefits accrued before income tax is </t>
  </si>
  <si>
    <t>reconciled to the income tax as follows:</t>
  </si>
  <si>
    <t xml:space="preserve"> - member contributions</t>
  </si>
  <si>
    <t>Opening balance</t>
  </si>
  <si>
    <t>Closing balance</t>
  </si>
  <si>
    <t>y/e 30/06/11</t>
  </si>
  <si>
    <t>Withdrawal benefit at beginning of the year</t>
  </si>
  <si>
    <t>Withdrawal benefit</t>
  </si>
  <si>
    <t>Your withdrawal benefit is the amount you are entitled to on resignation or retirement and represents the sum of:</t>
  </si>
  <si>
    <t xml:space="preserve"> - award contributions</t>
  </si>
  <si>
    <t xml:space="preserve"> - other employer contributions made on your behalf; and</t>
  </si>
  <si>
    <t xml:space="preserve"> - earnings (after income tax) associated with the above contributions.</t>
  </si>
  <si>
    <t>The preserved portion of your withdrawal benefit is the amount which cannot be paid out until you permanently retire from the workforce on or after the age of 55. The preservation age is to be increased from 55 to 60, on a phased-in basis by 2025.</t>
  </si>
  <si>
    <t>Contact details</t>
  </si>
  <si>
    <t>If you require further information on your withdrawal benefit please contact Veronica Warton.</t>
  </si>
  <si>
    <t>Member - Veronica Anne Warton</t>
  </si>
  <si>
    <t>Income tax expense on employer contributions</t>
  </si>
  <si>
    <t>The trustees have prepared the financial statements on the basis that the superannuation fund is a non-reporting entity because there are no users dependent on general purpose financial statements. The financial statements are therefore special purpose financial statements that have been prepared in order to meet the needs of members.</t>
  </si>
  <si>
    <t>Deferred tax assets and liabilities are ascertained based on temporary differences arising between the tax bases of assets and liabilities and their carrying amounts in the financial statements. Deferred tax assets also result where amounts have been fully expensed but future tax deductions are available. No deferred income tax will be recognised from the initial recognition of an asset or liability where there is no effect on accounting or taxable profit or loss.</t>
  </si>
  <si>
    <t>Current tax assets and liabilities are offset where a  legally enforceable right of set-off exists and it is intended that net settlement or simultaneous realisation and settlement of the respective asset and liability will occur. Deferred tax assets and liabilities are offset where a legally enforceable right of set-off exists, the deferred tax assets and liabilities relate to income taxes levied by the same taxation authority or either the same taxable entity or different taxable entities, where it is intended that the net settlement or simultaneous realisation and settlement of the respective asset and liability will occur in future periods in which significant amounts of deferred tax assets or liabilities are expected to be recovered or settled.</t>
  </si>
  <si>
    <t>Cost at beginning of reporting period</t>
  </si>
  <si>
    <t>CSL Limited</t>
  </si>
  <si>
    <t>Wesfarmers Limited</t>
  </si>
  <si>
    <t>CSL</t>
  </si>
  <si>
    <t>WES</t>
  </si>
  <si>
    <t>QBE</t>
  </si>
  <si>
    <t>WBCPC</t>
  </si>
  <si>
    <t>FOSTERS BUY BACK</t>
  </si>
  <si>
    <t>Net  investment revenue (loss)</t>
  </si>
  <si>
    <t>Total revenue (loss)</t>
  </si>
  <si>
    <t>Increase (decrease) in benefits accrued as a result of operations</t>
  </si>
  <si>
    <t>Realised gain (loss) on sale of investments</t>
  </si>
  <si>
    <t>Realised gain(loss) on sale of investments</t>
  </si>
  <si>
    <t>Shares in companies listed on the ASX</t>
  </si>
  <si>
    <t>Audit fee</t>
  </si>
  <si>
    <t>30/06/12</t>
  </si>
  <si>
    <t>Shares listed ASX at market value</t>
  </si>
  <si>
    <t>Shares listed ASX at cost</t>
  </si>
  <si>
    <t>Change in market value at end of reporting period</t>
  </si>
  <si>
    <t>Gain/(Loss) in market value for the reporting period</t>
  </si>
  <si>
    <t>At trustees' valuation: PortoLynx.com Inc</t>
  </si>
  <si>
    <t>At cost: PortoLynx.com Inc</t>
  </si>
  <si>
    <t>Change in shares listed ASX market value at end of reporting period</t>
  </si>
  <si>
    <t>Change in shares listed ASX market value at beginning of reporting period</t>
  </si>
  <si>
    <t>Unlisted shares in international companies at market value</t>
  </si>
  <si>
    <t>Unlisted shares in international companies at cost</t>
  </si>
  <si>
    <t xml:space="preserve">Total movement in net market value of investments </t>
  </si>
  <si>
    <t xml:space="preserve">Unrealised gain (loss) in market value of investments </t>
  </si>
  <si>
    <t>Total realised gain (loss) on sale of investments</t>
  </si>
  <si>
    <t>y/e 30/06/12</t>
  </si>
  <si>
    <t>at 30/06/12</t>
  </si>
  <si>
    <t>TOTAL ASSETS COSTS</t>
  </si>
  <si>
    <t>nil</t>
  </si>
  <si>
    <t>Total dividend income</t>
  </si>
  <si>
    <t>year ended 30/6/2012</t>
  </si>
  <si>
    <t>y/e 30/06/10</t>
  </si>
  <si>
    <t>Realised gains on sale of investments</t>
  </si>
  <si>
    <t>YEAR ENDED 30/06/12</t>
  </si>
  <si>
    <t>YEAR ENDED 30/06/13</t>
  </si>
  <si>
    <t xml:space="preserve">Special dividends </t>
  </si>
  <si>
    <t xml:space="preserve">W/hold tax </t>
  </si>
  <si>
    <t xml:space="preserve">Westpac Convertble Preference </t>
  </si>
  <si>
    <t xml:space="preserve">TAB </t>
  </si>
  <si>
    <t>QBOOK</t>
  </si>
  <si>
    <t>ASX SHARES AT COST</t>
  </si>
  <si>
    <t>CCL - Coca-Cola Amatil</t>
  </si>
  <si>
    <t>DULUX shares</t>
  </si>
  <si>
    <t>buy back</t>
  </si>
  <si>
    <t>FGL - Other</t>
  </si>
  <si>
    <t>Total FGL</t>
  </si>
  <si>
    <t>Green Rock</t>
  </si>
  <si>
    <t>LNN</t>
  </si>
  <si>
    <t>LNN, scheme of arrangement</t>
  </si>
  <si>
    <t>LNN - Other</t>
  </si>
  <si>
    <t>Total LNN</t>
  </si>
  <si>
    <t>Mermaid Marine</t>
  </si>
  <si>
    <t>SCP</t>
  </si>
  <si>
    <t>TAH</t>
  </si>
  <si>
    <t>Treasury Wine</t>
  </si>
  <si>
    <t>Westfarmers Limited</t>
  </si>
  <si>
    <t>Westpac</t>
  </si>
  <si>
    <t>Westpac Interest bonds</t>
  </si>
  <si>
    <t>Total ASX SHARES AT COST</t>
  </si>
  <si>
    <t>WOOLWORTHS Corp action</t>
  </si>
  <si>
    <t>SCA Property Trust</t>
  </si>
  <si>
    <t>Tabcorp</t>
  </si>
  <si>
    <t>change in issued</t>
  </si>
  <si>
    <t>COMSEC</t>
  </si>
  <si>
    <t>GAIN/(LOSS)</t>
  </si>
  <si>
    <t>Life %</t>
  </si>
  <si>
    <t>gain/loss</t>
  </si>
  <si>
    <t>at 30/06/13</t>
  </si>
  <si>
    <t>as at 30/06/13</t>
  </si>
  <si>
    <t xml:space="preserve">  </t>
  </si>
  <si>
    <t>y/e 06/13</t>
  </si>
  <si>
    <t>year ended 30/6/2013</t>
  </si>
  <si>
    <t>JOHN HARRY WARTON</t>
  </si>
  <si>
    <t>Member contributions from self:</t>
  </si>
  <si>
    <t>Member contributions from self/ATO match</t>
  </si>
  <si>
    <t>Employer contributions</t>
  </si>
  <si>
    <t>Income tax on earnings</t>
  </si>
  <si>
    <t>Income tax on contributions</t>
  </si>
  <si>
    <t>JAMES JOSEPH WARTON</t>
  </si>
  <si>
    <t>age 18</t>
  </si>
  <si>
    <t>SCA</t>
  </si>
  <si>
    <t>at 30/06/14</t>
  </si>
  <si>
    <t>WESFARMERS CAP REDN</t>
  </si>
  <si>
    <t>DJS</t>
  </si>
  <si>
    <t>DAVID JONES LIMITED</t>
  </si>
  <si>
    <t>RMD</t>
  </si>
  <si>
    <t>BUY / SELL ASX</t>
  </si>
  <si>
    <t>FOX</t>
  </si>
  <si>
    <t>Shares issued (reduced) by corporate actions</t>
  </si>
  <si>
    <t>year ended 30 June 2014</t>
  </si>
  <si>
    <t>TOTAL UNFRANKED</t>
  </si>
  <si>
    <t>as at 30/06/14</t>
  </si>
  <si>
    <t>Change in shares international market value at end of reporting period</t>
  </si>
  <si>
    <t>Change in shares international market value at beginning of reporting period</t>
  </si>
  <si>
    <t>ResMed Inc.</t>
  </si>
  <si>
    <t>Resmed</t>
  </si>
  <si>
    <t>cost</t>
  </si>
  <si>
    <t>Payment of division 293 tax and excess contribution tax</t>
  </si>
  <si>
    <t>Total other debtors</t>
  </si>
  <si>
    <t>Total cash and cash equivalents</t>
  </si>
  <si>
    <t>Payments to ATO division 293 &amp; excess</t>
  </si>
  <si>
    <t>Contributions CGT small business retirement</t>
  </si>
  <si>
    <t>Income tax expense, division 293 tax</t>
  </si>
  <si>
    <t>Income tax expense, excess contribution tax (contribution surcharge)</t>
  </si>
  <si>
    <t>Cummulative withdrawal benefit</t>
  </si>
  <si>
    <t>ATO, low income superannuation contribution</t>
  </si>
  <si>
    <t>ATO, co-contribution remittance</t>
  </si>
  <si>
    <t>total</t>
  </si>
  <si>
    <t xml:space="preserve">Crown </t>
  </si>
  <si>
    <t>Platinum</t>
  </si>
  <si>
    <t>Bank of Queenslad</t>
  </si>
  <si>
    <t>special</t>
  </si>
  <si>
    <t>Bank of Queensland</t>
  </si>
  <si>
    <t>Resmed 4 dividend payments</t>
  </si>
  <si>
    <t>USA</t>
  </si>
  <si>
    <t>non resident tax</t>
  </si>
  <si>
    <t>BOQ</t>
  </si>
  <si>
    <t>South 32 Limited</t>
  </si>
  <si>
    <t>BHP/SOUTH</t>
  </si>
  <si>
    <t>Medibank Private Limited</t>
  </si>
  <si>
    <t>Crown Resorts</t>
  </si>
  <si>
    <t>wesfarmers recon tab</t>
  </si>
  <si>
    <t>PTM</t>
  </si>
  <si>
    <t xml:space="preserve">Platinum Asset </t>
  </si>
  <si>
    <t>CWN</t>
  </si>
  <si>
    <t>MPL</t>
  </si>
  <si>
    <t>Roll-over from AMP of employer contributions</t>
  </si>
  <si>
    <t>gross</t>
  </si>
  <si>
    <t>tax</t>
  </si>
  <si>
    <t>bank net</t>
  </si>
  <si>
    <t>RESMED</t>
  </si>
  <si>
    <t>as at 30/06/15</t>
  </si>
  <si>
    <t>year ended 30 June 2015</t>
  </si>
  <si>
    <t>Roll overcontribution from member</t>
  </si>
  <si>
    <t>South 32</t>
  </si>
  <si>
    <t>year ended 30 june 2015</t>
  </si>
  <si>
    <t>RESMED US$</t>
  </si>
  <si>
    <t>A$ banked</t>
  </si>
  <si>
    <t>CYB</t>
  </si>
  <si>
    <t>CYBG PLC</t>
  </si>
  <si>
    <t>MFG</t>
  </si>
  <si>
    <t>Magellan Finance Group</t>
  </si>
  <si>
    <t>MQG</t>
  </si>
  <si>
    <t>Macquarie Group Limited</t>
  </si>
  <si>
    <t>ResMed</t>
  </si>
  <si>
    <t>retail offers</t>
  </si>
  <si>
    <t>NAB/CYBG PLC offer</t>
  </si>
  <si>
    <t>Magellan</t>
  </si>
  <si>
    <t>Medibank</t>
  </si>
  <si>
    <t>Shares purchased through ASX and retail entitlement offers</t>
  </si>
  <si>
    <t>Austpost registration</t>
  </si>
  <si>
    <t>as at 30/06/16</t>
  </si>
  <si>
    <t>us $ divdend</t>
  </si>
  <si>
    <t>us $ whold tax</t>
  </si>
  <si>
    <t>us $ net</t>
  </si>
  <si>
    <t>gross A$</t>
  </si>
  <si>
    <t>tax A$</t>
  </si>
  <si>
    <t>net A$ banked</t>
  </si>
  <si>
    <t>year ended 30 June 2016</t>
  </si>
  <si>
    <t>Macquarie</t>
  </si>
  <si>
    <t>MFF</t>
  </si>
  <si>
    <t>ALL</t>
  </si>
  <si>
    <t>Aristocrat</t>
  </si>
  <si>
    <t>SHL</t>
  </si>
  <si>
    <t>TCL</t>
  </si>
  <si>
    <t>Sonic</t>
  </si>
  <si>
    <t>Dividends and distributions</t>
  </si>
  <si>
    <t>-2252.98</t>
  </si>
  <si>
    <t>7036.53</t>
  </si>
  <si>
    <t>Aristocrat Leisure Limited</t>
  </si>
  <si>
    <t>ASIC registration</t>
  </si>
  <si>
    <t>Foreign dividends</t>
  </si>
  <si>
    <t>Australian dividends</t>
  </si>
  <si>
    <t>QBOOKS JNL</t>
  </si>
  <si>
    <t>QBOOKS END</t>
  </si>
  <si>
    <t>as at 30/06/17</t>
  </si>
  <si>
    <t>year ended 30 June 2017</t>
  </si>
  <si>
    <t>Roll over or other contribution from member</t>
  </si>
  <si>
    <t>Tax offset refunds (Income tax expense) on earnings</t>
  </si>
  <si>
    <t>Reconciling items:</t>
  </si>
  <si>
    <t xml:space="preserve"> - dividend franking credits</t>
  </si>
  <si>
    <t xml:space="preserve"> - unrealised gains/(losses)</t>
  </si>
  <si>
    <t xml:space="preserve"> - refundable tax offsets, comlying franking credits</t>
  </si>
  <si>
    <t xml:space="preserve">Tax on taxable </t>
  </si>
  <si>
    <t>AMC</t>
  </si>
  <si>
    <t>BLD</t>
  </si>
  <si>
    <t>Boral</t>
  </si>
  <si>
    <t>Amco</t>
  </si>
  <si>
    <t>RWC</t>
  </si>
  <si>
    <t>RIGHTS ISSUE ALLOTMENT</t>
  </si>
  <si>
    <t>FOR THE YEAR ENDED 30 JUNE 2018</t>
  </si>
  <si>
    <t>Boral Limited</t>
  </si>
  <si>
    <t>Amcor Limited</t>
  </si>
  <si>
    <t>CYBG PLC CDI</t>
  </si>
  <si>
    <t>MFF Capital Investments Limited</t>
  </si>
  <si>
    <t xml:space="preserve">RWC </t>
  </si>
  <si>
    <t>share issue</t>
  </si>
  <si>
    <t>losses</t>
  </si>
  <si>
    <t>gains</t>
  </si>
  <si>
    <t>Transurban</t>
  </si>
  <si>
    <t xml:space="preserve">Sonic </t>
  </si>
  <si>
    <t>AVERAGE COST</t>
  </si>
  <si>
    <t>Aristocrat Leisure Limited (ALL)</t>
  </si>
  <si>
    <t>Commonwealth Bank of Australia (CBA)</t>
  </si>
  <si>
    <t>Coca-Cola Amatil Limited (CCL)</t>
  </si>
  <si>
    <t>CSL Limited (CSL)</t>
  </si>
  <si>
    <t>Medibank Private Limited (MPL)</t>
  </si>
  <si>
    <t>Macquarie Group Limited (MQG)</t>
  </si>
  <si>
    <t>National Australia Bank Limited (NAB)</t>
  </si>
  <si>
    <t>Platinum Asset Management Limited (PTM)</t>
  </si>
  <si>
    <t>ResMed Inc. (RMD)</t>
  </si>
  <si>
    <t>Rio Tinto Limited (RIO)</t>
  </si>
  <si>
    <t>Tabcorp Holdings Limited (TAH)</t>
  </si>
  <si>
    <t>as at 30/06/18</t>
  </si>
  <si>
    <t>year ended 30 June 2018</t>
  </si>
  <si>
    <t>FOR THE YEAR ENDED 30 JUNE 2019</t>
  </si>
  <si>
    <t>IAF</t>
  </si>
  <si>
    <t>Commonwealth Bank Limited, term deposits</t>
  </si>
  <si>
    <t>IFN</t>
  </si>
  <si>
    <t>SDF</t>
  </si>
  <si>
    <t>Coles Group Limited</t>
  </si>
  <si>
    <t>sold y/e 19</t>
  </si>
  <si>
    <t>but y/e 19</t>
  </si>
  <si>
    <t xml:space="preserve">retail offer </t>
  </si>
  <si>
    <t xml:space="preserve">Income tax expense </t>
  </si>
  <si>
    <t xml:space="preserve"> - other</t>
  </si>
  <si>
    <t>Prior period income tax error</t>
  </si>
  <si>
    <t>Coles</t>
  </si>
  <si>
    <t>Tax offest refunds (income tax expense) on earnings</t>
  </si>
  <si>
    <t>Withdrawal benefit at 30/06/19 which must be preserved</t>
  </si>
  <si>
    <t>GPT</t>
  </si>
  <si>
    <t>Magellan continued</t>
  </si>
  <si>
    <t>as at 30/06/19</t>
  </si>
  <si>
    <t>year ended 30 June 2019</t>
  </si>
  <si>
    <t xml:space="preserve">Other payables </t>
  </si>
  <si>
    <t xml:space="preserve">Other debtors </t>
  </si>
  <si>
    <t>SDF - Steadfast</t>
  </si>
  <si>
    <t xml:space="preserve">IAF exchange traded fund units ishares </t>
  </si>
  <si>
    <t>Amcor</t>
  </si>
  <si>
    <t>buy date</t>
  </si>
  <si>
    <t>per unit</t>
  </si>
  <si>
    <t>sell date</t>
  </si>
  <si>
    <t>sale</t>
  </si>
  <si>
    <t>profit(loss)</t>
  </si>
  <si>
    <t>CYBG</t>
  </si>
  <si>
    <t>Orica</t>
  </si>
  <si>
    <t>DUL</t>
  </si>
  <si>
    <t>Dulux</t>
  </si>
  <si>
    <t>Boral Limited (BLD)</t>
  </si>
  <si>
    <t>GPT Group Stapled (GPT)</t>
  </si>
  <si>
    <t>QBE Insurance Group Limited (QBE)</t>
  </si>
  <si>
    <t>Reliance Worldwide Limited (RWC)</t>
  </si>
  <si>
    <t>Steadfast Group Limited (SDF)</t>
  </si>
  <si>
    <t>Telstra Corporation Limited (TLS)</t>
  </si>
  <si>
    <t>Transurban Group Stapled (TCL)</t>
  </si>
  <si>
    <t>Treasury Wine Estates Limited (TWE)</t>
  </si>
  <si>
    <t>Westpac Banking Corporation (WBC)</t>
  </si>
  <si>
    <t>Wesfarmers Limited (WES)</t>
  </si>
  <si>
    <t>Woodside Petroleum Limited (WPL)</t>
  </si>
  <si>
    <t>Woolworths Limited (WOW)</t>
  </si>
  <si>
    <t>Allocated earnings &amp; rounding</t>
  </si>
  <si>
    <t>TCL - Transurban DIVIDEND</t>
  </si>
  <si>
    <t>TCL - Transurban DISTRIBUTION 2019 paid 09/08/19</t>
  </si>
  <si>
    <t>TCL - Transurban DISTRIBUTION 2018 paid 10/08/18</t>
  </si>
  <si>
    <t>IAF - distribution 2019 paid 11/07/19</t>
  </si>
  <si>
    <t>Accrued ditribution income, TCL &amp; IAF</t>
  </si>
  <si>
    <t>ATO, TFN credits refundable</t>
  </si>
  <si>
    <t>ATO, remainder of refundable tax offsets</t>
  </si>
  <si>
    <t xml:space="preserve"> - realised (gains) not assessable</t>
  </si>
  <si>
    <t>NOTES TO THE FINANCIAL STATEMENTS FOR THE YEAR ENDED 30 JUNE 2020</t>
  </si>
  <si>
    <t>FOR THE YEAR ENDED 30 JUNE 2020</t>
  </si>
  <si>
    <t>IFN - Infigen</t>
  </si>
  <si>
    <t>ishares</t>
  </si>
  <si>
    <t>FOREIGN DIVIDENDS</t>
  </si>
  <si>
    <t>year ended 30 June 2020</t>
  </si>
  <si>
    <t>Withdrawal benefit at 30/06/20</t>
  </si>
  <si>
    <t>Allocated earnings and rounding</t>
  </si>
  <si>
    <t>Withdrawal benefit at 30/06/20 which must be preserved</t>
  </si>
  <si>
    <t>Coles Group</t>
  </si>
  <si>
    <t>Spark</t>
  </si>
  <si>
    <t>buy/sell asx</t>
  </si>
  <si>
    <t>REA</t>
  </si>
  <si>
    <t>SPK</t>
  </si>
  <si>
    <t>Coles Group Limited (COL)</t>
  </si>
  <si>
    <t>add to above line</t>
  </si>
  <si>
    <t>cba purchase to 4700 units</t>
  </si>
  <si>
    <t>csl purchase to 340</t>
  </si>
  <si>
    <t>Netwealth Portfolio, at cost</t>
  </si>
  <si>
    <t>Netwealth Portfolio, at market value</t>
  </si>
  <si>
    <t>Change in Netwealth portfolio market value at end of reporting period</t>
  </si>
  <si>
    <t>Change in Netwealth portfolio market value at beginning of reporting period</t>
  </si>
  <si>
    <t>Funds invested</t>
  </si>
  <si>
    <t xml:space="preserve">Net income and costs </t>
  </si>
  <si>
    <t>Income receivable</t>
  </si>
  <si>
    <t xml:space="preserve">Investments, Netwealth Accelerator </t>
  </si>
  <si>
    <t xml:space="preserve">Netwealth Wealth Accelerator: administration and brokerage </t>
  </si>
  <si>
    <t>Roll over JRWARTON on 05/07/20</t>
  </si>
  <si>
    <t>Balance at 05/07/20</t>
  </si>
  <si>
    <t>as at 30/06/20</t>
  </si>
  <si>
    <t>Netwealth Wealth Accelerator</t>
  </si>
  <si>
    <t xml:space="preserve">Investments, Netwealth Wealth Accelerator </t>
  </si>
  <si>
    <t>Benefits received as roll over for John R Warton</t>
  </si>
  <si>
    <t>BHP Group Limited (BHP)</t>
  </si>
  <si>
    <t>Magellan Financial Group Limited (MFG)</t>
  </si>
  <si>
    <t>Infigen Energy Trust (IFN)</t>
  </si>
  <si>
    <t>ishares Core Composite Bond ETF (IAF)</t>
  </si>
  <si>
    <t>MFF Capital Investments Limited (MFF)</t>
  </si>
  <si>
    <t>REA Group Limited (REA)</t>
  </si>
  <si>
    <t>Spark New Zealand Limited (SPK)</t>
  </si>
  <si>
    <t>accrue</t>
  </si>
  <si>
    <t>IAF - distribution 2019 paid 11/07/19 accrued in 2019 263.22</t>
  </si>
  <si>
    <t>manual calc</t>
  </si>
  <si>
    <t xml:space="preserve"> - distributions not subject to tax</t>
  </si>
  <si>
    <t xml:space="preserve"> - foreign income not included</t>
  </si>
  <si>
    <t xml:space="preserve">Contributions from employer, roll over AMP </t>
  </si>
  <si>
    <t>AS AT 30 JUNE 2021</t>
  </si>
  <si>
    <t xml:space="preserve">Brambles </t>
  </si>
  <si>
    <t>AMC (18/05/21)</t>
  </si>
  <si>
    <t>CSR (18/05/21)</t>
  </si>
  <si>
    <t>Commonwealth Bank of Australia (CBA) (13/05/21)</t>
  </si>
  <si>
    <t>Coca-Cola Amatil Limited (CCL) (takeover)</t>
  </si>
  <si>
    <t>Rio Tinto Limited (RIO) (21/04/21)</t>
  </si>
  <si>
    <t>GPT Group Stapled (GPT) (07/04/21 4000 units)</t>
  </si>
  <si>
    <t>At market:</t>
  </si>
  <si>
    <t>Brambles</t>
  </si>
  <si>
    <t>FOR THE YEAR ENDED 30 JUNE 2021</t>
  </si>
  <si>
    <t>date</t>
  </si>
  <si>
    <t>market</t>
  </si>
  <si>
    <t>Rio Tinto Limited (RIO) (06/10/20)</t>
  </si>
  <si>
    <t>Wesfarmers Limited (WES) (11/08/20)</t>
  </si>
  <si>
    <t>REA Group Limited (REA)(22/07/20 105)</t>
  </si>
  <si>
    <t>Magellan Financial Group Limited (MFG) (21/07/20 325)</t>
  </si>
  <si>
    <t>BHP Group Limited (BHP) (21/07/20 520)</t>
  </si>
  <si>
    <t>BHP Group Limited (BHP) (07/07/20) 560</t>
  </si>
  <si>
    <t>additions</t>
  </si>
  <si>
    <t>at 30/06/20</t>
  </si>
  <si>
    <t>units</t>
  </si>
  <si>
    <t>at 30/06/21</t>
  </si>
  <si>
    <t>MFF Capital Investments Limited (MFF)Options</t>
  </si>
  <si>
    <t>Cash</t>
  </si>
  <si>
    <t>Equities</t>
  </si>
  <si>
    <t>as at 30/06/21</t>
  </si>
  <si>
    <t>Question - balance at 30/06/2020 - why $29,268 and not as above $25,533</t>
  </si>
  <si>
    <t>bought extra Coco Cola</t>
  </si>
  <si>
    <t>The financial statements were authorised for issue on 30 November 2021 by the directors of the trustee company.</t>
  </si>
  <si>
    <t>Sale of shares:</t>
  </si>
  <si>
    <t>DATE</t>
  </si>
  <si>
    <t>NUMBER</t>
  </si>
  <si>
    <t>PROCEEDS</t>
  </si>
  <si>
    <t>PROFIT</t>
  </si>
  <si>
    <t>check add</t>
  </si>
  <si>
    <t>unit price</t>
  </si>
  <si>
    <t>sale date/corporate action</t>
  </si>
  <si>
    <t>sale date13-08-2020</t>
  </si>
  <si>
    <t>Cash, 1 July 2020</t>
  </si>
  <si>
    <t>Asset purchases</t>
  </si>
  <si>
    <t>Asset sales</t>
  </si>
  <si>
    <t>Distributions</t>
  </si>
  <si>
    <t>Administration &amp; brokerage</t>
  </si>
  <si>
    <t>Cash, 30 June 2021</t>
  </si>
  <si>
    <t>Equities at cost, 1 July 2020</t>
  </si>
  <si>
    <t>Income receivable, 30 June 2021</t>
  </si>
  <si>
    <t xml:space="preserve">Equities </t>
  </si>
  <si>
    <t>Cash and interest receivable</t>
  </si>
  <si>
    <t>TOTAL AT MARKET</t>
  </si>
  <si>
    <t>MARKET MOVEMENT</t>
  </si>
  <si>
    <t xml:space="preserve">Unrealised capital gain/(loss) at July 1 </t>
  </si>
  <si>
    <t xml:space="preserve">Net movement for year </t>
  </si>
  <si>
    <t>Transfer in from cash at bank</t>
  </si>
  <si>
    <t>Income receivable, at 30 June 2020</t>
  </si>
  <si>
    <t>Contra item</t>
  </si>
  <si>
    <t>Unrealised capital gain at 30 June (market less cost)</t>
  </si>
  <si>
    <t>TOTAL AT COST: Cash, Income receivable, and equities</t>
  </si>
  <si>
    <t>Dividends and distributions: Netwealth platform assets</t>
  </si>
  <si>
    <t>Interest: Commonwealth bank</t>
  </si>
  <si>
    <t xml:space="preserve">Investment revenue: Netwealth platform corporate action </t>
  </si>
  <si>
    <t>Investment revenue: ASX listed securities corporate action</t>
  </si>
  <si>
    <t>Dividends and distributions: ASX listed securities</t>
  </si>
  <si>
    <t>Net asset purchases</t>
  </si>
  <si>
    <t>Net gain/(loss) on sale of assets</t>
  </si>
  <si>
    <t>At cost reconciled as follows:</t>
  </si>
  <si>
    <t>year ended 30 June 2021</t>
  </si>
  <si>
    <t>Employer contribution: John  R Warton</t>
  </si>
  <si>
    <t>Employer contribution: Veronica A Warton</t>
  </si>
  <si>
    <t>CSL Limited (CSL) (07/07/20)</t>
  </si>
  <si>
    <t>JB Hi-Fi (JBH) (24/05/21)</t>
  </si>
  <si>
    <t>Commonwealth Bank of Australia (CBA) (07/07/20)</t>
  </si>
  <si>
    <t>REA Group Limited (REA) (10/02/21 130)</t>
  </si>
  <si>
    <t>Telstra Corporation Limited (TLS) (10/03/21 5000 )</t>
  </si>
  <si>
    <t>sub-total carry forward</t>
  </si>
  <si>
    <t>sub-total brought forward</t>
  </si>
  <si>
    <t xml:space="preserve"> - TFN tax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</si>
</sst>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_(* #,##0_);_(* \(#,##0\);_(* &quot;-&quot;??_);_(@_)"/>
    <numFmt numFmtId="167" formatCode="_(&quot;$&quot;* #,##0.000_);_(&quot;$&quot;* \(#,##0.000\);_(&quot;$&quot;* &quot;-&quot;??_);_(@_)"/>
  </numFmts>
  <fonts count="19" x14ac:knownFonts="1">
    <font>
      <sz val="11"/>
      <color theme="1"/>
      <name val="Calibri"/>
      <family val="2"/>
      <scheme val="minor"/>
    </font>
    <font>
      <sz val="11"/>
      <color theme="1"/>
      <name val="Calibri"/>
      <family val="2"/>
      <scheme val="minor"/>
    </font>
    <font>
      <sz val="11"/>
      <color rgb="FF0070C0"/>
      <name val="Calibri"/>
      <family val="2"/>
      <scheme val="minor"/>
    </font>
    <font>
      <b/>
      <sz val="9"/>
      <color theme="1"/>
      <name val="Calibri"/>
      <family val="2"/>
      <scheme val="minor"/>
    </font>
    <font>
      <b/>
      <sz val="11"/>
      <color theme="1"/>
      <name val="Calibri"/>
      <family val="2"/>
      <scheme val="minor"/>
    </font>
    <font>
      <sz val="9"/>
      <color theme="1"/>
      <name val="Calibri"/>
      <family val="2"/>
      <scheme val="minor"/>
    </font>
    <font>
      <b/>
      <u/>
      <sz val="11"/>
      <color theme="1"/>
      <name val="Calibri"/>
      <family val="2"/>
      <scheme val="minor"/>
    </font>
    <font>
      <i/>
      <sz val="11"/>
      <color theme="1"/>
      <name val="Calibri"/>
      <family val="2"/>
      <scheme val="minor"/>
    </font>
    <font>
      <sz val="11"/>
      <name val="Calibri"/>
      <family val="2"/>
      <scheme val="minor"/>
    </font>
    <font>
      <b/>
      <i/>
      <sz val="9"/>
      <color theme="1"/>
      <name val="Calibri"/>
      <family val="2"/>
      <scheme val="minor"/>
    </font>
    <font>
      <i/>
      <sz val="9"/>
      <color theme="1"/>
      <name val="Calibri"/>
      <family val="2"/>
      <scheme val="minor"/>
    </font>
    <font>
      <b/>
      <i/>
      <sz val="11"/>
      <color theme="1"/>
      <name val="Calibri"/>
      <family val="2"/>
      <scheme val="minor"/>
    </font>
    <font>
      <sz val="11"/>
      <color rgb="FFFF0000"/>
      <name val="Calibri"/>
      <family val="2"/>
      <scheme val="minor"/>
    </font>
    <font>
      <b/>
      <sz val="8"/>
      <color rgb="FF000000"/>
      <name val="Arial"/>
      <family val="2"/>
    </font>
    <font>
      <sz val="8"/>
      <color rgb="FF000000"/>
      <name val="Arial"/>
      <family val="2"/>
    </font>
    <font>
      <sz val="8"/>
      <color theme="1"/>
      <name val="Calibri"/>
      <family val="2"/>
      <scheme val="minor"/>
    </font>
    <font>
      <i/>
      <sz val="9"/>
      <color rgb="FFFF0000"/>
      <name val="Calibri"/>
      <family val="2"/>
      <scheme val="minor"/>
    </font>
    <font>
      <b/>
      <i/>
      <sz val="11"/>
      <color rgb="FFFF0000"/>
      <name val="Calibri"/>
      <family val="2"/>
      <scheme val="minor"/>
    </font>
    <font>
      <i/>
      <sz val="11"/>
      <color rgb="FFFF0000"/>
      <name val="Calibri"/>
      <family val="2"/>
      <scheme val="minor"/>
    </font>
  </fonts>
  <fills count="18">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78">
    <xf numFmtId="0" fontId="0" fillId="0" borderId="0" xfId="0"/>
    <xf numFmtId="0" fontId="0" fillId="0" borderId="0" xfId="0" applyAlignment="1">
      <alignment horizontal="center"/>
    </xf>
    <xf numFmtId="166" fontId="0" fillId="0" borderId="0" xfId="1" applyNumberFormat="1" applyFont="1"/>
    <xf numFmtId="0" fontId="0" fillId="0" borderId="1" xfId="0" applyBorder="1"/>
    <xf numFmtId="0" fontId="0" fillId="0" borderId="1" xfId="0" applyBorder="1" applyAlignment="1">
      <alignment horizontal="center"/>
    </xf>
    <xf numFmtId="166" fontId="0" fillId="0" borderId="1" xfId="1" applyNumberFormat="1" applyFont="1" applyBorder="1"/>
    <xf numFmtId="0" fontId="0" fillId="2" borderId="1" xfId="0" applyFill="1" applyBorder="1"/>
    <xf numFmtId="166" fontId="0" fillId="2" borderId="1" xfId="1" applyNumberFormat="1" applyFont="1" applyFill="1" applyBorder="1"/>
    <xf numFmtId="0" fontId="3" fillId="0" borderId="1" xfId="0" applyFont="1" applyBorder="1"/>
    <xf numFmtId="0" fontId="2" fillId="0" borderId="1" xfId="0" applyFont="1" applyBorder="1" applyAlignment="1">
      <alignment horizontal="right"/>
    </xf>
    <xf numFmtId="0" fontId="0" fillId="0" borderId="1" xfId="0" applyBorder="1" applyAlignment="1">
      <alignment horizontal="right"/>
    </xf>
    <xf numFmtId="10" fontId="0" fillId="0" borderId="1" xfId="2" applyNumberFormat="1" applyFont="1" applyBorder="1"/>
    <xf numFmtId="166" fontId="0" fillId="0" borderId="0" xfId="0" applyNumberFormat="1"/>
    <xf numFmtId="0" fontId="3" fillId="0" borderId="0" xfId="0" applyFont="1"/>
    <xf numFmtId="166" fontId="3" fillId="0" borderId="0" xfId="0" applyNumberFormat="1" applyFont="1"/>
    <xf numFmtId="0" fontId="0" fillId="0" borderId="2" xfId="0" applyBorder="1"/>
    <xf numFmtId="166" fontId="0" fillId="0" borderId="3" xfId="1" applyNumberFormat="1" applyFont="1" applyBorder="1"/>
    <xf numFmtId="0" fontId="0" fillId="0" borderId="0" xfId="0" applyAlignment="1">
      <alignment horizontal="right"/>
    </xf>
    <xf numFmtId="166" fontId="0" fillId="0" borderId="3" xfId="0" applyNumberFormat="1" applyBorder="1"/>
    <xf numFmtId="166" fontId="0" fillId="0" borderId="0" xfId="1" applyNumberFormat="1" applyFont="1" applyBorder="1"/>
    <xf numFmtId="0" fontId="0" fillId="0" borderId="0" xfId="0" applyBorder="1"/>
    <xf numFmtId="0" fontId="0" fillId="0" borderId="0" xfId="0" applyFill="1" applyBorder="1"/>
    <xf numFmtId="166" fontId="0" fillId="0" borderId="0" xfId="0" applyNumberFormat="1" applyBorder="1"/>
    <xf numFmtId="166" fontId="0" fillId="0" borderId="0" xfId="1" applyNumberFormat="1" applyFont="1" applyBorder="1" applyAlignment="1">
      <alignment horizontal="right"/>
    </xf>
    <xf numFmtId="166" fontId="0" fillId="0" borderId="0" xfId="1" applyNumberFormat="1" applyFont="1" applyAlignment="1">
      <alignment horizontal="right"/>
    </xf>
    <xf numFmtId="166" fontId="0" fillId="0" borderId="0" xfId="1" applyNumberFormat="1" applyFont="1" applyFill="1" applyBorder="1"/>
    <xf numFmtId="165" fontId="0" fillId="0" borderId="0" xfId="1" applyFont="1"/>
    <xf numFmtId="165" fontId="0" fillId="0" borderId="3" xfId="1" applyFont="1" applyBorder="1"/>
    <xf numFmtId="0" fontId="3"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xf numFmtId="0" fontId="5" fillId="0" borderId="1" xfId="0" applyFont="1" applyBorder="1"/>
    <xf numFmtId="165" fontId="0" fillId="0" borderId="1" xfId="0" applyNumberFormat="1" applyBorder="1"/>
    <xf numFmtId="165" fontId="0" fillId="0" borderId="1" xfId="1" applyFont="1" applyBorder="1"/>
    <xf numFmtId="166" fontId="4" fillId="0" borderId="1" xfId="1" applyNumberFormat="1" applyFont="1" applyBorder="1"/>
    <xf numFmtId="166" fontId="0" fillId="0" borderId="1" xfId="0" applyNumberFormat="1" applyBorder="1"/>
    <xf numFmtId="0" fontId="0" fillId="0" borderId="5" xfId="0" applyBorder="1"/>
    <xf numFmtId="165" fontId="0" fillId="0" borderId="0" xfId="1" applyFont="1" applyBorder="1"/>
    <xf numFmtId="0" fontId="0" fillId="0" borderId="0" xfId="0" applyAlignment="1">
      <alignment wrapText="1"/>
    </xf>
    <xf numFmtId="166" fontId="2" fillId="0" borderId="1" xfId="1" applyNumberFormat="1" applyFont="1" applyBorder="1"/>
    <xf numFmtId="0" fontId="7" fillId="0" borderId="0" xfId="0" applyFont="1" applyAlignment="1">
      <alignment horizontal="right"/>
    </xf>
    <xf numFmtId="0" fontId="7" fillId="0" borderId="0" xfId="0" applyFont="1"/>
    <xf numFmtId="166" fontId="1" fillId="0" borderId="3" xfId="1" applyNumberFormat="1" applyFont="1" applyBorder="1"/>
    <xf numFmtId="166" fontId="1" fillId="0" borderId="0" xfId="1" applyNumberFormat="1" applyFont="1"/>
    <xf numFmtId="0" fontId="4" fillId="0" borderId="0" xfId="0" applyFont="1" applyBorder="1"/>
    <xf numFmtId="166" fontId="0" fillId="0" borderId="6" xfId="1" applyNumberFormat="1" applyFont="1" applyBorder="1"/>
    <xf numFmtId="166" fontId="0" fillId="0" borderId="7" xfId="1" applyNumberFormat="1" applyFont="1" applyBorder="1"/>
    <xf numFmtId="14" fontId="0" fillId="0" borderId="0" xfId="0" applyNumberFormat="1" applyBorder="1"/>
    <xf numFmtId="0" fontId="6" fillId="0" borderId="1" xfId="0" applyFont="1" applyBorder="1"/>
    <xf numFmtId="14" fontId="0" fillId="0" borderId="0" xfId="0" applyNumberFormat="1"/>
    <xf numFmtId="14" fontId="0" fillId="0" borderId="1" xfId="0" applyNumberFormat="1" applyBorder="1"/>
    <xf numFmtId="0" fontId="7" fillId="0" borderId="1" xfId="0" applyFont="1" applyBorder="1" applyAlignment="1">
      <alignment horizontal="center"/>
    </xf>
    <xf numFmtId="0" fontId="9" fillId="0" borderId="1" xfId="0" applyFont="1" applyBorder="1" applyAlignment="1">
      <alignment horizontal="center"/>
    </xf>
    <xf numFmtId="0" fontId="3" fillId="0" borderId="1" xfId="0" applyFont="1" applyBorder="1" applyAlignment="1">
      <alignment horizontal="center"/>
    </xf>
    <xf numFmtId="166" fontId="7" fillId="0" borderId="1" xfId="1" applyNumberFormat="1" applyFont="1" applyBorder="1"/>
    <xf numFmtId="165" fontId="0" fillId="0" borderId="1" xfId="1" applyNumberFormat="1" applyFont="1" applyBorder="1"/>
    <xf numFmtId="165" fontId="4" fillId="0" borderId="1" xfId="1" applyFont="1" applyBorder="1"/>
    <xf numFmtId="0" fontId="0" fillId="0" borderId="0" xfId="0" applyBorder="1" applyAlignment="1">
      <alignment horizontal="center"/>
    </xf>
    <xf numFmtId="0" fontId="3" fillId="0" borderId="0" xfId="0" applyFont="1" applyBorder="1" applyAlignment="1">
      <alignment horizontal="center"/>
    </xf>
    <xf numFmtId="165" fontId="0" fillId="0" borderId="0" xfId="1" applyNumberFormat="1" applyFont="1" applyBorder="1"/>
    <xf numFmtId="165" fontId="4" fillId="0" borderId="3" xfId="1" applyFont="1" applyBorder="1"/>
    <xf numFmtId="0" fontId="10" fillId="0" borderId="0" xfId="0" applyFont="1"/>
    <xf numFmtId="0" fontId="10" fillId="3" borderId="0" xfId="0" applyFont="1" applyFill="1" applyAlignment="1">
      <alignment horizontal="right"/>
    </xf>
    <xf numFmtId="166" fontId="4" fillId="3" borderId="0" xfId="0" applyNumberFormat="1" applyFont="1" applyFill="1"/>
    <xf numFmtId="0" fontId="9" fillId="0" borderId="0" xfId="0" applyFont="1"/>
    <xf numFmtId="0" fontId="11" fillId="0" borderId="0" xfId="0" applyFont="1"/>
    <xf numFmtId="166" fontId="3" fillId="3" borderId="2" xfId="1" applyNumberFormat="1" applyFont="1" applyFill="1" applyBorder="1"/>
    <xf numFmtId="165" fontId="7" fillId="0" borderId="1" xfId="1" applyFont="1" applyBorder="1"/>
    <xf numFmtId="165" fontId="4" fillId="0" borderId="8" xfId="1" applyFont="1" applyBorder="1"/>
    <xf numFmtId="165" fontId="8" fillId="0" borderId="0" xfId="0" applyNumberFormat="1" applyFont="1" applyFill="1"/>
    <xf numFmtId="0" fontId="0" fillId="0" borderId="11" xfId="0" applyBorder="1"/>
    <xf numFmtId="166" fontId="3" fillId="0" borderId="2" xfId="1" applyNumberFormat="1" applyFont="1" applyFill="1" applyBorder="1"/>
    <xf numFmtId="0" fontId="0" fillId="3" borderId="0" xfId="0" applyFill="1"/>
    <xf numFmtId="0" fontId="5" fillId="0" borderId="10" xfId="0" applyFont="1" applyBorder="1"/>
    <xf numFmtId="0" fontId="5" fillId="0" borderId="11" xfId="0" applyFont="1" applyBorder="1"/>
    <xf numFmtId="0" fontId="7" fillId="0" borderId="1" xfId="0" applyFont="1" applyBorder="1"/>
    <xf numFmtId="14" fontId="5" fillId="0" borderId="10" xfId="0" applyNumberFormat="1" applyFont="1" applyBorder="1"/>
    <xf numFmtId="0" fontId="7" fillId="0" borderId="4" xfId="0" applyFont="1" applyBorder="1" applyAlignment="1">
      <alignment horizontal="center"/>
    </xf>
    <xf numFmtId="0" fontId="5" fillId="0" borderId="4" xfId="0" applyFont="1" applyBorder="1" applyAlignment="1">
      <alignment horizontal="center" wrapText="1"/>
    </xf>
    <xf numFmtId="0" fontId="5" fillId="0" borderId="2" xfId="0" applyFont="1" applyBorder="1"/>
    <xf numFmtId="166" fontId="7" fillId="0" borderId="1" xfId="0" applyNumberFormat="1" applyFont="1" applyBorder="1"/>
    <xf numFmtId="164" fontId="0" fillId="0" borderId="1" xfId="3" applyFont="1" applyBorder="1"/>
    <xf numFmtId="164" fontId="0" fillId="0" borderId="1" xfId="0" applyNumberFormat="1" applyBorder="1"/>
    <xf numFmtId="166" fontId="0" fillId="3" borderId="0" xfId="1" applyNumberFormat="1" applyFont="1" applyFill="1"/>
    <xf numFmtId="0" fontId="7" fillId="3" borderId="0" xfId="0" applyFont="1" applyFill="1" applyAlignment="1">
      <alignment horizontal="right"/>
    </xf>
    <xf numFmtId="167" fontId="0" fillId="0" borderId="1" xfId="3" applyNumberFormat="1" applyFont="1" applyBorder="1"/>
    <xf numFmtId="0" fontId="4" fillId="0" borderId="0" xfId="0" applyFont="1" applyAlignment="1">
      <alignment horizontal="center"/>
    </xf>
    <xf numFmtId="0" fontId="5" fillId="0" borderId="0" xfId="0" applyFont="1" applyFill="1" applyBorder="1" applyAlignment="1">
      <alignment horizontal="center"/>
    </xf>
    <xf numFmtId="0" fontId="4" fillId="0" borderId="2" xfId="0" applyFont="1" applyBorder="1"/>
    <xf numFmtId="0" fontId="3" fillId="0" borderId="0" xfId="0" applyFont="1" applyFill="1" applyBorder="1" applyAlignment="1">
      <alignment horizontal="center"/>
    </xf>
    <xf numFmtId="165" fontId="0" fillId="0" borderId="0" xfId="0" applyNumberFormat="1"/>
    <xf numFmtId="166" fontId="0" fillId="0" borderId="2" xfId="1" applyNumberFormat="1" applyFont="1" applyBorder="1"/>
    <xf numFmtId="0" fontId="5" fillId="0" borderId="0" xfId="0" applyFont="1" applyAlignment="1">
      <alignment horizontal="center" wrapText="1"/>
    </xf>
    <xf numFmtId="0" fontId="5" fillId="0" borderId="0" xfId="0" applyFont="1" applyBorder="1"/>
    <xf numFmtId="0" fontId="0" fillId="0" borderId="0" xfId="0" applyFill="1"/>
    <xf numFmtId="0" fontId="0" fillId="0" borderId="0" xfId="0" applyFont="1" applyAlignment="1">
      <alignment horizontal="right"/>
    </xf>
    <xf numFmtId="0" fontId="10" fillId="0" borderId="0" xfId="0" applyFont="1" applyAlignment="1">
      <alignment horizontal="center"/>
    </xf>
    <xf numFmtId="0" fontId="10" fillId="0" borderId="1" xfId="0" applyFont="1" applyBorder="1" applyAlignment="1">
      <alignment horizontal="center"/>
    </xf>
    <xf numFmtId="0" fontId="10" fillId="0" borderId="1" xfId="0" applyFont="1" applyBorder="1"/>
    <xf numFmtId="0" fontId="0" fillId="0" borderId="0" xfId="0" applyFont="1"/>
    <xf numFmtId="0" fontId="5" fillId="0" borderId="0" xfId="0" applyFont="1" applyAlignment="1">
      <alignment horizontal="left" vertical="top" wrapText="1"/>
    </xf>
    <xf numFmtId="0" fontId="10" fillId="0" borderId="2" xfId="0" applyFont="1" applyBorder="1" applyAlignment="1">
      <alignment horizontal="right"/>
    </xf>
    <xf numFmtId="165" fontId="8" fillId="3" borderId="1" xfId="1" applyFont="1" applyFill="1" applyBorder="1"/>
    <xf numFmtId="0" fontId="5" fillId="0" borderId="12" xfId="0" applyFont="1" applyBorder="1"/>
    <xf numFmtId="0" fontId="0" fillId="0" borderId="13" xfId="0" applyBorder="1"/>
    <xf numFmtId="0" fontId="5" fillId="0" borderId="13" xfId="0" applyFont="1" applyBorder="1"/>
    <xf numFmtId="165" fontId="1" fillId="0" borderId="1" xfId="1" applyFont="1" applyBorder="1"/>
    <xf numFmtId="0" fontId="0" fillId="5" borderId="0" xfId="0" applyFill="1"/>
    <xf numFmtId="166" fontId="0" fillId="5" borderId="1" xfId="1" applyNumberFormat="1" applyFont="1" applyFill="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7" xfId="0" applyBorder="1"/>
    <xf numFmtId="166" fontId="0" fillId="0" borderId="2" xfId="0" applyNumberFormat="1" applyBorder="1"/>
    <xf numFmtId="0" fontId="4" fillId="0" borderId="1" xfId="0" applyFont="1" applyBorder="1" applyAlignment="1">
      <alignment horizontal="center"/>
    </xf>
    <xf numFmtId="165" fontId="4" fillId="0" borderId="0" xfId="1" applyFont="1" applyBorder="1"/>
    <xf numFmtId="0" fontId="0" fillId="0" borderId="14" xfId="0" applyBorder="1"/>
    <xf numFmtId="0" fontId="0" fillId="0" borderId="8" xfId="0" applyBorder="1"/>
    <xf numFmtId="0" fontId="3" fillId="0" borderId="8" xfId="0" applyFont="1" applyBorder="1" applyAlignment="1">
      <alignment horizontal="center"/>
    </xf>
    <xf numFmtId="165" fontId="0" fillId="0" borderId="8" xfId="1" applyFont="1" applyBorder="1"/>
    <xf numFmtId="165" fontId="8" fillId="3" borderId="8" xfId="1" applyFont="1" applyFill="1" applyBorder="1"/>
    <xf numFmtId="165" fontId="3" fillId="0" borderId="1" xfId="1" applyFont="1" applyFill="1" applyBorder="1" applyAlignment="1">
      <alignment horizontal="center"/>
    </xf>
    <xf numFmtId="0" fontId="3" fillId="0" borderId="12" xfId="0" applyFont="1" applyFill="1" applyBorder="1" applyAlignment="1">
      <alignment horizontal="center"/>
    </xf>
    <xf numFmtId="49" fontId="13" fillId="0" borderId="0" xfId="0" applyNumberFormat="1" applyFont="1"/>
    <xf numFmtId="39" fontId="14" fillId="0" borderId="0" xfId="0" applyNumberFormat="1" applyFont="1"/>
    <xf numFmtId="39" fontId="14" fillId="0" borderId="0" xfId="0" applyNumberFormat="1" applyFont="1" applyBorder="1"/>
    <xf numFmtId="165" fontId="0" fillId="4" borderId="1" xfId="1" applyFont="1" applyFill="1" applyBorder="1"/>
    <xf numFmtId="39" fontId="14" fillId="4" borderId="0" xfId="0" applyNumberFormat="1" applyFont="1" applyFill="1"/>
    <xf numFmtId="39" fontId="14" fillId="4" borderId="7" xfId="0" applyNumberFormat="1" applyFont="1" applyFill="1" applyBorder="1"/>
    <xf numFmtId="39" fontId="14" fillId="4" borderId="21" xfId="0" applyNumberFormat="1" applyFont="1" applyFill="1" applyBorder="1"/>
    <xf numFmtId="0" fontId="0" fillId="6" borderId="0" xfId="0" applyFill="1"/>
    <xf numFmtId="0" fontId="0" fillId="6" borderId="1" xfId="0" applyFill="1" applyBorder="1" applyAlignment="1">
      <alignment horizontal="center"/>
    </xf>
    <xf numFmtId="166" fontId="0" fillId="3" borderId="1" xfId="1" applyNumberFormat="1" applyFont="1" applyFill="1" applyBorder="1"/>
    <xf numFmtId="0" fontId="0" fillId="6" borderId="1" xfId="0" applyFill="1" applyBorder="1"/>
    <xf numFmtId="10" fontId="0" fillId="6" borderId="1" xfId="2" applyNumberFormat="1" applyFont="1" applyFill="1" applyBorder="1"/>
    <xf numFmtId="166" fontId="4" fillId="3" borderId="1" xfId="0" applyNumberFormat="1" applyFont="1" applyFill="1" applyBorder="1"/>
    <xf numFmtId="166" fontId="0" fillId="0" borderId="0" xfId="1" applyNumberFormat="1" applyFont="1" applyFill="1"/>
    <xf numFmtId="166" fontId="1" fillId="0" borderId="0" xfId="1" applyNumberFormat="1" applyFont="1" applyBorder="1"/>
    <xf numFmtId="0" fontId="4" fillId="0" borderId="0" xfId="0" applyFont="1" applyFill="1"/>
    <xf numFmtId="0" fontId="0" fillId="0" borderId="0" xfId="0" applyFill="1" applyAlignment="1"/>
    <xf numFmtId="0" fontId="4" fillId="0" borderId="1" xfId="0" applyFont="1" applyBorder="1"/>
    <xf numFmtId="165" fontId="0" fillId="7" borderId="0" xfId="1" applyFont="1" applyFill="1"/>
    <xf numFmtId="165" fontId="0" fillId="7" borderId="0" xfId="0" applyNumberFormat="1" applyFill="1"/>
    <xf numFmtId="0" fontId="0" fillId="7" borderId="0" xfId="0" applyFont="1" applyFill="1" applyBorder="1" applyAlignment="1">
      <alignment horizontal="right"/>
    </xf>
    <xf numFmtId="39" fontId="14" fillId="4" borderId="0" xfId="0" applyNumberFormat="1" applyFont="1" applyFill="1" applyBorder="1"/>
    <xf numFmtId="165" fontId="4" fillId="0" borderId="0" xfId="1" applyFont="1"/>
    <xf numFmtId="165" fontId="4" fillId="0" borderId="0" xfId="0" applyNumberFormat="1" applyFont="1" applyBorder="1"/>
    <xf numFmtId="0" fontId="3" fillId="0" borderId="5" xfId="0" applyFont="1" applyBorder="1" applyAlignment="1">
      <alignment horizontal="center"/>
    </xf>
    <xf numFmtId="0" fontId="3" fillId="0" borderId="9" xfId="0" applyFont="1" applyBorder="1" applyAlignment="1">
      <alignment horizontal="center"/>
    </xf>
    <xf numFmtId="165" fontId="3" fillId="0" borderId="5" xfId="1" applyFont="1" applyFill="1" applyBorder="1" applyAlignment="1">
      <alignment horizontal="center"/>
    </xf>
    <xf numFmtId="165" fontId="0" fillId="7" borderId="1" xfId="0" applyNumberFormat="1" applyFill="1" applyBorder="1"/>
    <xf numFmtId="165" fontId="4" fillId="0" borderId="1" xfId="0" applyNumberFormat="1" applyFont="1" applyBorder="1"/>
    <xf numFmtId="0" fontId="4" fillId="0" borderId="0" xfId="0" applyFont="1" applyBorder="1" applyAlignment="1">
      <alignment horizontal="center"/>
    </xf>
    <xf numFmtId="0" fontId="0" fillId="0" borderId="0" xfId="0" applyBorder="1" applyAlignment="1">
      <alignment wrapText="1"/>
    </xf>
    <xf numFmtId="165" fontId="3" fillId="0" borderId="12" xfId="1" applyFont="1" applyFill="1" applyBorder="1" applyAlignment="1">
      <alignment horizontal="center"/>
    </xf>
    <xf numFmtId="165" fontId="0" fillId="6" borderId="1" xfId="1" applyFont="1" applyFill="1" applyBorder="1"/>
    <xf numFmtId="165" fontId="0" fillId="6" borderId="8" xfId="1" applyFont="1" applyFill="1" applyBorder="1"/>
    <xf numFmtId="165" fontId="4" fillId="0" borderId="1" xfId="1" applyFont="1" applyBorder="1" applyAlignment="1">
      <alignment horizontal="center"/>
    </xf>
    <xf numFmtId="165" fontId="6" fillId="0" borderId="1" xfId="1" applyFont="1" applyBorder="1"/>
    <xf numFmtId="166" fontId="4" fillId="0" borderId="1" xfId="0" applyNumberFormat="1" applyFont="1" applyBorder="1"/>
    <xf numFmtId="14" fontId="7" fillId="0" borderId="0" xfId="0" applyNumberFormat="1" applyFont="1"/>
    <xf numFmtId="0" fontId="6" fillId="0" borderId="0" xfId="0" applyFont="1"/>
    <xf numFmtId="0" fontId="15" fillId="0" borderId="1" xfId="0" applyFont="1" applyBorder="1"/>
    <xf numFmtId="0" fontId="5" fillId="6" borderId="1" xfId="0" applyFont="1" applyFill="1" applyBorder="1"/>
    <xf numFmtId="0" fontId="0" fillId="7" borderId="1" xfId="0" applyFill="1" applyBorder="1"/>
    <xf numFmtId="2" fontId="0" fillId="0" borderId="0" xfId="0" applyNumberFormat="1"/>
    <xf numFmtId="165" fontId="0" fillId="3" borderId="0" xfId="0" applyNumberFormat="1" applyFill="1"/>
    <xf numFmtId="0" fontId="15" fillId="0" borderId="0" xfId="0" applyFont="1" applyBorder="1"/>
    <xf numFmtId="0" fontId="0" fillId="6" borderId="0" xfId="0" applyFill="1" applyBorder="1"/>
    <xf numFmtId="165" fontId="0" fillId="7" borderId="0" xfId="0" applyNumberFormat="1" applyFill="1" applyBorder="1"/>
    <xf numFmtId="0" fontId="4" fillId="0" borderId="0" xfId="0" applyFont="1" applyFill="1" applyBorder="1"/>
    <xf numFmtId="0" fontId="0" fillId="0" borderId="1" xfId="0" applyBorder="1" applyAlignment="1">
      <alignment wrapText="1"/>
    </xf>
    <xf numFmtId="166" fontId="0" fillId="0" borderId="0" xfId="0" applyNumberFormat="1" applyFill="1" applyBorder="1"/>
    <xf numFmtId="165" fontId="3" fillId="0" borderId="1" xfId="0" applyNumberFormat="1" applyFont="1" applyBorder="1" applyAlignment="1">
      <alignment horizontal="center"/>
    </xf>
    <xf numFmtId="0" fontId="0" fillId="0" borderId="1" xfId="0" applyFill="1" applyBorder="1"/>
    <xf numFmtId="165" fontId="7" fillId="0" borderId="0" xfId="1" applyFont="1"/>
    <xf numFmtId="165" fontId="3" fillId="0" borderId="0" xfId="1" applyFont="1" applyFill="1" applyBorder="1" applyAlignment="1">
      <alignment horizontal="center"/>
    </xf>
    <xf numFmtId="165" fontId="0" fillId="7" borderId="0" xfId="1" applyFont="1" applyFill="1" applyBorder="1" applyAlignment="1">
      <alignment horizontal="right"/>
    </xf>
    <xf numFmtId="2" fontId="0" fillId="6" borderId="1" xfId="0" applyNumberFormat="1" applyFill="1" applyBorder="1"/>
    <xf numFmtId="166" fontId="0" fillId="3" borderId="0" xfId="0" applyNumberFormat="1" applyFill="1"/>
    <xf numFmtId="166" fontId="0" fillId="7" borderId="0" xfId="1" applyNumberFormat="1" applyFont="1" applyFill="1"/>
    <xf numFmtId="165" fontId="1" fillId="0" borderId="8" xfId="1" applyFont="1" applyBorder="1"/>
    <xf numFmtId="165" fontId="1" fillId="7" borderId="0" xfId="1" applyFont="1" applyFill="1"/>
    <xf numFmtId="165" fontId="1" fillId="7" borderId="0" xfId="1" applyFont="1" applyFill="1" applyBorder="1" applyAlignment="1">
      <alignment horizontal="right"/>
    </xf>
    <xf numFmtId="165" fontId="1" fillId="0" borderId="1" xfId="1" applyFont="1" applyBorder="1" applyAlignment="1">
      <alignment horizontal="center"/>
    </xf>
    <xf numFmtId="165" fontId="1" fillId="0" borderId="1" xfId="1" applyFont="1" applyFill="1" applyBorder="1" applyAlignment="1">
      <alignment horizontal="center"/>
    </xf>
    <xf numFmtId="165" fontId="1" fillId="0" borderId="0" xfId="1" applyFont="1" applyFill="1" applyBorder="1" applyAlignment="1">
      <alignment horizontal="center"/>
    </xf>
    <xf numFmtId="166" fontId="9" fillId="0" borderId="1" xfId="0" applyNumberFormat="1" applyFont="1" applyBorder="1" applyAlignment="1">
      <alignment horizontal="center"/>
    </xf>
    <xf numFmtId="166" fontId="7" fillId="8" borderId="1" xfId="1" applyNumberFormat="1" applyFont="1" applyFill="1" applyBorder="1"/>
    <xf numFmtId="165" fontId="0" fillId="8" borderId="1" xfId="1" applyFont="1" applyFill="1" applyBorder="1"/>
    <xf numFmtId="2" fontId="0" fillId="8" borderId="0" xfId="0" applyNumberFormat="1" applyFill="1"/>
    <xf numFmtId="166" fontId="0" fillId="8" borderId="1" xfId="0" applyNumberFormat="1" applyFill="1" applyBorder="1"/>
    <xf numFmtId="167" fontId="0" fillId="8" borderId="1" xfId="3" applyNumberFormat="1" applyFont="1" applyFill="1" applyBorder="1"/>
    <xf numFmtId="166" fontId="0" fillId="8" borderId="1" xfId="1" applyNumberFormat="1" applyFont="1" applyFill="1" applyBorder="1"/>
    <xf numFmtId="166" fontId="0" fillId="8" borderId="0" xfId="0" applyNumberFormat="1" applyFill="1"/>
    <xf numFmtId="166" fontId="0" fillId="0" borderId="5" xfId="1" applyNumberFormat="1" applyFont="1" applyBorder="1"/>
    <xf numFmtId="166" fontId="0" fillId="0" borderId="5" xfId="0" applyNumberFormat="1" applyBorder="1"/>
    <xf numFmtId="0" fontId="4" fillId="0" borderId="22" xfId="0" applyFont="1" applyBorder="1"/>
    <xf numFmtId="0" fontId="4" fillId="0" borderId="21" xfId="0" applyFont="1" applyBorder="1"/>
    <xf numFmtId="0" fontId="4" fillId="0" borderId="23" xfId="0" applyFont="1" applyBorder="1"/>
    <xf numFmtId="0" fontId="12" fillId="0" borderId="1" xfId="0" applyFont="1" applyBorder="1"/>
    <xf numFmtId="0" fontId="16" fillId="0" borderId="0" xfId="0" applyFont="1"/>
    <xf numFmtId="0" fontId="17" fillId="0" borderId="0" xfId="0" applyFont="1" applyAlignment="1">
      <alignment horizontal="right"/>
    </xf>
    <xf numFmtId="0" fontId="18" fillId="0" borderId="22" xfId="0" applyFont="1" applyBorder="1" applyAlignment="1">
      <alignment horizontal="right"/>
    </xf>
    <xf numFmtId="165" fontId="12" fillId="0" borderId="1" xfId="1" applyFont="1" applyBorder="1"/>
    <xf numFmtId="165" fontId="0" fillId="7" borderId="1" xfId="1" applyFont="1" applyFill="1" applyBorder="1"/>
    <xf numFmtId="0" fontId="4" fillId="9" borderId="0" xfId="0" applyFont="1" applyFill="1"/>
    <xf numFmtId="14" fontId="4" fillId="9" borderId="0" xfId="0" applyNumberFormat="1" applyFont="1" applyFill="1"/>
    <xf numFmtId="165" fontId="4" fillId="9" borderId="0" xfId="1" applyFont="1" applyFill="1"/>
    <xf numFmtId="166" fontId="4" fillId="9" borderId="0" xfId="1" applyNumberFormat="1" applyFont="1" applyFill="1"/>
    <xf numFmtId="0" fontId="8" fillId="0" borderId="0" xfId="0" applyFont="1" applyFill="1"/>
    <xf numFmtId="166" fontId="8" fillId="0" borderId="2" xfId="1" applyNumberFormat="1" applyFont="1" applyBorder="1"/>
    <xf numFmtId="165" fontId="0" fillId="0" borderId="1" xfId="1" applyFont="1" applyFill="1" applyBorder="1"/>
    <xf numFmtId="14" fontId="0" fillId="0" borderId="15" xfId="0" applyNumberFormat="1" applyBorder="1"/>
    <xf numFmtId="0" fontId="0" fillId="10" borderId="20" xfId="0" applyFill="1" applyBorder="1"/>
    <xf numFmtId="165" fontId="0" fillId="10" borderId="1" xfId="1" applyFont="1" applyFill="1" applyBorder="1"/>
    <xf numFmtId="165" fontId="0" fillId="11" borderId="1" xfId="1" applyFont="1" applyFill="1" applyBorder="1"/>
    <xf numFmtId="0" fontId="0" fillId="12" borderId="1" xfId="0" applyFill="1" applyBorder="1"/>
    <xf numFmtId="165" fontId="0" fillId="12" borderId="1" xfId="1" applyFont="1" applyFill="1" applyBorder="1"/>
    <xf numFmtId="165" fontId="0" fillId="12" borderId="8" xfId="1" applyFont="1" applyFill="1" applyBorder="1"/>
    <xf numFmtId="166" fontId="0" fillId="0" borderId="2" xfId="1" applyNumberFormat="1" applyFont="1" applyFill="1" applyBorder="1"/>
    <xf numFmtId="0" fontId="7" fillId="0" borderId="0" xfId="0" applyFont="1" applyAlignment="1"/>
    <xf numFmtId="0" fontId="0" fillId="13" borderId="1" xfId="0" applyFill="1" applyBorder="1"/>
    <xf numFmtId="166" fontId="0" fillId="13" borderId="1" xfId="1" applyNumberFormat="1" applyFont="1" applyFill="1" applyBorder="1"/>
    <xf numFmtId="10" fontId="0" fillId="13" borderId="1" xfId="2" applyNumberFormat="1" applyFont="1" applyFill="1" applyBorder="1"/>
    <xf numFmtId="166" fontId="0" fillId="13" borderId="1" xfId="0" applyNumberFormat="1" applyFill="1" applyBorder="1"/>
    <xf numFmtId="165" fontId="0" fillId="0" borderId="0" xfId="1" applyFont="1" applyFill="1"/>
    <xf numFmtId="0" fontId="0" fillId="14" borderId="0" xfId="0" applyFill="1"/>
    <xf numFmtId="0" fontId="6" fillId="14" borderId="1" xfId="0" applyFont="1" applyFill="1" applyBorder="1"/>
    <xf numFmtId="0" fontId="0" fillId="14" borderId="1" xfId="0" applyFill="1" applyBorder="1"/>
    <xf numFmtId="166" fontId="0" fillId="14" borderId="1" xfId="0" applyNumberFormat="1" applyFill="1" applyBorder="1"/>
    <xf numFmtId="165" fontId="0" fillId="14" borderId="1" xfId="1" applyFont="1" applyFill="1" applyBorder="1"/>
    <xf numFmtId="0" fontId="4" fillId="14" borderId="1" xfId="0" applyFont="1" applyFill="1" applyBorder="1"/>
    <xf numFmtId="165" fontId="4" fillId="14" borderId="1" xfId="1" applyFont="1" applyFill="1" applyBorder="1"/>
    <xf numFmtId="165" fontId="6" fillId="14" borderId="1" xfId="1" applyFont="1" applyFill="1" applyBorder="1"/>
    <xf numFmtId="14" fontId="4" fillId="14" borderId="1" xfId="0" applyNumberFormat="1" applyFont="1" applyFill="1" applyBorder="1" applyAlignment="1">
      <alignment horizontal="center"/>
    </xf>
    <xf numFmtId="0" fontId="4" fillId="14" borderId="1" xfId="0" applyFont="1" applyFill="1" applyBorder="1" applyAlignment="1">
      <alignment horizontal="center"/>
    </xf>
    <xf numFmtId="166" fontId="4" fillId="14" borderId="1" xfId="0" applyNumberFormat="1" applyFont="1" applyFill="1" applyBorder="1"/>
    <xf numFmtId="37" fontId="4" fillId="14" borderId="1" xfId="1" applyNumberFormat="1" applyFont="1" applyFill="1" applyBorder="1"/>
    <xf numFmtId="0" fontId="4" fillId="14" borderId="0" xfId="0" applyFont="1" applyFill="1"/>
    <xf numFmtId="14" fontId="0" fillId="14" borderId="1" xfId="0" applyNumberFormat="1" applyFill="1" applyBorder="1"/>
    <xf numFmtId="0" fontId="0" fillId="10" borderId="1" xfId="0" applyFill="1" applyBorder="1"/>
    <xf numFmtId="14" fontId="0" fillId="10" borderId="1" xfId="0" applyNumberFormat="1" applyFill="1" applyBorder="1"/>
    <xf numFmtId="165" fontId="4" fillId="10" borderId="1" xfId="1" applyFont="1" applyFill="1" applyBorder="1"/>
    <xf numFmtId="0" fontId="4" fillId="10" borderId="1" xfId="0" applyFont="1" applyFill="1" applyBorder="1"/>
    <xf numFmtId="166" fontId="4" fillId="0" borderId="0" xfId="1" applyNumberFormat="1" applyFont="1" applyBorder="1"/>
    <xf numFmtId="0" fontId="4" fillId="15" borderId="0" xfId="0" applyFont="1" applyFill="1"/>
    <xf numFmtId="0" fontId="0" fillId="15" borderId="0" xfId="0" applyFill="1"/>
    <xf numFmtId="166" fontId="0" fillId="15" borderId="0" xfId="1" applyNumberFormat="1" applyFont="1" applyFill="1" applyBorder="1"/>
    <xf numFmtId="166" fontId="4" fillId="15" borderId="0" xfId="1" applyNumberFormat="1" applyFont="1" applyFill="1" applyBorder="1"/>
    <xf numFmtId="0" fontId="0" fillId="15" borderId="0" xfId="0" applyFont="1" applyFill="1"/>
    <xf numFmtId="166" fontId="0" fillId="15" borderId="2" xfId="1" applyNumberFormat="1" applyFont="1" applyFill="1" applyBorder="1"/>
    <xf numFmtId="166" fontId="4" fillId="15" borderId="2" xfId="1" applyNumberFormat="1" applyFont="1" applyFill="1" applyBorder="1"/>
    <xf numFmtId="166" fontId="4" fillId="15" borderId="3" xfId="1" applyNumberFormat="1" applyFont="1" applyFill="1" applyBorder="1"/>
    <xf numFmtId="0" fontId="4" fillId="16" borderId="0" xfId="0" applyFont="1" applyFill="1"/>
    <xf numFmtId="0" fontId="0" fillId="16" borderId="0" xfId="0" applyFill="1"/>
    <xf numFmtId="166" fontId="4" fillId="16" borderId="0" xfId="1" applyNumberFormat="1" applyFont="1" applyFill="1" applyBorder="1"/>
    <xf numFmtId="166" fontId="1" fillId="16" borderId="0" xfId="1" applyNumberFormat="1" applyFont="1" applyFill="1" applyBorder="1"/>
    <xf numFmtId="166" fontId="1" fillId="16" borderId="2" xfId="1" applyNumberFormat="1" applyFont="1" applyFill="1" applyBorder="1"/>
    <xf numFmtId="166" fontId="4" fillId="16" borderId="2" xfId="1" applyNumberFormat="1" applyFont="1" applyFill="1" applyBorder="1"/>
    <xf numFmtId="166" fontId="0" fillId="16" borderId="0" xfId="1" applyNumberFormat="1" applyFont="1" applyFill="1" applyBorder="1"/>
    <xf numFmtId="0" fontId="0" fillId="16" borderId="0" xfId="0" applyFont="1" applyFill="1"/>
    <xf numFmtId="0" fontId="4" fillId="17" borderId="0" xfId="0" applyFont="1" applyFill="1"/>
    <xf numFmtId="0" fontId="0" fillId="17" borderId="0" xfId="0" applyFill="1"/>
    <xf numFmtId="166" fontId="0" fillId="17" borderId="0" xfId="1" applyNumberFormat="1" applyFont="1" applyFill="1" applyBorder="1"/>
    <xf numFmtId="166" fontId="4" fillId="17" borderId="2" xfId="1" applyNumberFormat="1" applyFont="1" applyFill="1" applyBorder="1"/>
    <xf numFmtId="166" fontId="4" fillId="17" borderId="0" xfId="1" applyNumberFormat="1" applyFont="1" applyFill="1" applyBorder="1"/>
    <xf numFmtId="0" fontId="4" fillId="0" borderId="0" xfId="0" applyFont="1" applyAlignment="1">
      <alignment horizontal="right"/>
    </xf>
    <xf numFmtId="166" fontId="4" fillId="0" borderId="0" xfId="1" applyNumberFormat="1" applyFont="1" applyFill="1"/>
    <xf numFmtId="166" fontId="4" fillId="0" borderId="3" xfId="1" applyNumberFormat="1" applyFont="1" applyBorder="1"/>
    <xf numFmtId="166" fontId="0" fillId="0" borderId="11" xfId="1" applyNumberFormat="1" applyFont="1" applyBorder="1"/>
    <xf numFmtId="166" fontId="4" fillId="0" borderId="0" xfId="1" applyNumberFormat="1" applyFont="1"/>
    <xf numFmtId="0" fontId="7" fillId="0" borderId="0" xfId="0" applyFont="1" applyAlignment="1">
      <alignment wrapText="1"/>
    </xf>
    <xf numFmtId="0" fontId="0" fillId="0" borderId="0" xfId="0" applyAlignment="1">
      <alignment vertical="top" wrapText="1"/>
    </xf>
    <xf numFmtId="0" fontId="0" fillId="0" borderId="0" xfId="0" applyAlignment="1">
      <alignment wrapText="1"/>
    </xf>
    <xf numFmtId="0" fontId="7" fillId="0" borderId="0" xfId="0" applyFont="1" applyAlignment="1">
      <alignment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400050</xdr:colOff>
      <xdr:row>4</xdr:row>
      <xdr:rowOff>133350</xdr:rowOff>
    </xdr:from>
    <xdr:to>
      <xdr:col>14</xdr:col>
      <xdr:colOff>180975</xdr:colOff>
      <xdr:row>18</xdr:row>
      <xdr:rowOff>95250</xdr:rowOff>
    </xdr:to>
    <xdr:cxnSp macro="">
      <xdr:nvCxnSpPr>
        <xdr:cNvPr id="5" name="Straight Connector 4">
          <a:extLst>
            <a:ext uri="{FF2B5EF4-FFF2-40B4-BE49-F238E27FC236}">
              <a16:creationId xmlns:a16="http://schemas.microsoft.com/office/drawing/2014/main" id="{1982DE46-D8F7-47E3-94D7-8CEE9B1386C3}"/>
            </a:ext>
          </a:extLst>
        </xdr:cNvPr>
        <xdr:cNvCxnSpPr/>
      </xdr:nvCxnSpPr>
      <xdr:spPr>
        <a:xfrm flipV="1">
          <a:off x="4848225" y="704850"/>
          <a:ext cx="7705725" cy="3209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20Warton\Documents\WARTON%20FAMILY%20FINANCIALS%20AND%20TAX\WFSF%20extract%20bs%2017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Books Export Tips"/>
      <sheetName val="Sheet1"/>
      <sheetName val="Sheet2"/>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FF1D-EBC5-4913-AABF-925778362899}">
  <sheetPr>
    <tabColor rgb="FF7030A0"/>
    <pageSetUpPr fitToPage="1"/>
  </sheetPr>
  <dimension ref="B1:T44"/>
  <sheetViews>
    <sheetView view="pageBreakPreview" zoomScale="60" zoomScaleNormal="100" workbookViewId="0">
      <selection activeCell="L37" sqref="L37"/>
    </sheetView>
  </sheetViews>
  <sheetFormatPr defaultRowHeight="15" x14ac:dyDescent="0.25"/>
  <cols>
    <col min="2" max="2" width="36.28515625" customWidth="1"/>
    <col min="3" max="3" width="12.7109375" customWidth="1"/>
    <col min="4" max="4" width="9.7109375" customWidth="1"/>
    <col min="5" max="5" width="12.7109375" customWidth="1"/>
    <col min="7" max="7" width="11" customWidth="1"/>
    <col min="9" max="9" width="10.85546875" customWidth="1"/>
    <col min="11" max="11" width="10.7109375" customWidth="1"/>
    <col min="12" max="12" width="12.7109375" customWidth="1"/>
  </cols>
  <sheetData>
    <row r="1" spans="2:20" x14ac:dyDescent="0.25">
      <c r="B1" t="s">
        <v>39</v>
      </c>
      <c r="R1" t="s">
        <v>309</v>
      </c>
    </row>
    <row r="2" spans="2:20" x14ac:dyDescent="0.25">
      <c r="B2" t="s">
        <v>40</v>
      </c>
      <c r="R2" t="s">
        <v>304</v>
      </c>
    </row>
    <row r="3" spans="2:20" x14ac:dyDescent="0.25">
      <c r="R3" s="50">
        <v>38533</v>
      </c>
      <c r="T3">
        <v>1000</v>
      </c>
    </row>
    <row r="4" spans="2:20" ht="15.75" thickBot="1" x14ac:dyDescent="0.3">
      <c r="B4" t="s">
        <v>77</v>
      </c>
      <c r="R4" s="50">
        <v>38898</v>
      </c>
      <c r="T4">
        <v>1000</v>
      </c>
    </row>
    <row r="5" spans="2:20" ht="15.75" thickBot="1" x14ac:dyDescent="0.3">
      <c r="C5" s="199">
        <v>50395</v>
      </c>
      <c r="D5" s="200"/>
      <c r="E5" s="200">
        <v>15364</v>
      </c>
      <c r="F5" s="200"/>
      <c r="G5" s="200">
        <v>1012207</v>
      </c>
      <c r="H5" s="200"/>
      <c r="I5" s="200">
        <v>300704</v>
      </c>
      <c r="J5" s="200"/>
      <c r="K5" s="201">
        <v>1378670</v>
      </c>
    </row>
    <row r="6" spans="2:20" x14ac:dyDescent="0.25">
      <c r="C6" s="45"/>
      <c r="D6" s="45"/>
      <c r="E6" s="45"/>
      <c r="F6" s="45"/>
      <c r="G6" s="45"/>
      <c r="H6" s="45"/>
      <c r="I6" s="45"/>
      <c r="J6" s="45"/>
      <c r="K6" s="45"/>
    </row>
    <row r="7" spans="2:20" x14ac:dyDescent="0.25">
      <c r="B7" t="s">
        <v>39</v>
      </c>
      <c r="C7" s="45"/>
      <c r="D7" s="45"/>
      <c r="E7" s="45"/>
      <c r="F7" s="45"/>
      <c r="G7" s="45"/>
      <c r="H7" s="45"/>
      <c r="I7" s="45"/>
      <c r="J7" s="45"/>
      <c r="K7" s="45"/>
    </row>
    <row r="8" spans="2:20" x14ac:dyDescent="0.25">
      <c r="B8" t="s">
        <v>40</v>
      </c>
      <c r="C8" s="45"/>
      <c r="D8" s="45"/>
      <c r="E8" s="45"/>
      <c r="F8" s="45"/>
      <c r="G8" s="45"/>
      <c r="H8" s="45"/>
      <c r="I8" s="45"/>
      <c r="J8" s="45"/>
      <c r="K8" s="45"/>
    </row>
    <row r="9" spans="2:20" x14ac:dyDescent="0.25">
      <c r="C9" s="45"/>
      <c r="D9" s="45"/>
      <c r="E9" s="45"/>
      <c r="F9" s="45"/>
      <c r="G9" s="45"/>
      <c r="H9" s="45"/>
      <c r="I9" s="45"/>
      <c r="J9" s="45"/>
      <c r="K9" s="45"/>
    </row>
    <row r="10" spans="2:20" x14ac:dyDescent="0.25">
      <c r="B10" t="s">
        <v>77</v>
      </c>
      <c r="C10" s="45"/>
      <c r="D10" s="45"/>
      <c r="E10" s="45"/>
      <c r="F10" s="45"/>
      <c r="G10" s="45"/>
      <c r="H10" s="45"/>
      <c r="I10" s="45"/>
      <c r="J10" s="45"/>
      <c r="K10" s="45"/>
    </row>
    <row r="11" spans="2:20" x14ac:dyDescent="0.25">
      <c r="B11" t="s">
        <v>501</v>
      </c>
      <c r="C11" s="45"/>
      <c r="D11" s="45"/>
      <c r="E11" s="45"/>
      <c r="F11" s="45"/>
      <c r="G11" s="45"/>
      <c r="H11" s="45"/>
      <c r="I11" s="45"/>
      <c r="J11" s="45"/>
      <c r="K11" s="45"/>
    </row>
    <row r="14" spans="2:20" x14ac:dyDescent="0.25">
      <c r="B14" s="3" t="s">
        <v>505</v>
      </c>
      <c r="C14" s="98" t="s">
        <v>90</v>
      </c>
      <c r="D14" s="98"/>
      <c r="E14" s="98" t="s">
        <v>89</v>
      </c>
      <c r="F14" s="98"/>
      <c r="G14" s="98" t="s">
        <v>91</v>
      </c>
      <c r="H14" s="98"/>
      <c r="I14" s="98" t="s">
        <v>92</v>
      </c>
      <c r="J14" s="98"/>
      <c r="K14" s="98" t="s">
        <v>93</v>
      </c>
      <c r="L14" s="98"/>
    </row>
    <row r="15" spans="2:20" x14ac:dyDescent="0.25">
      <c r="B15" s="3"/>
      <c r="C15" s="3"/>
      <c r="D15" s="3"/>
      <c r="E15" s="3"/>
      <c r="F15" s="3"/>
      <c r="G15" s="3"/>
      <c r="H15" s="3"/>
      <c r="I15" s="3"/>
      <c r="J15" s="3"/>
      <c r="K15" s="3"/>
      <c r="L15" s="3"/>
    </row>
    <row r="16" spans="2:20" x14ac:dyDescent="0.25">
      <c r="B16" s="3" t="s">
        <v>79</v>
      </c>
      <c r="C16" s="5">
        <v>57623</v>
      </c>
      <c r="D16" s="11">
        <f>C16/K16</f>
        <v>3.6216394575994217E-2</v>
      </c>
      <c r="E16" s="5">
        <v>17568</v>
      </c>
      <c r="F16" s="11">
        <f>E16/K16</f>
        <v>1.1041591376899267E-2</v>
      </c>
      <c r="G16" s="5">
        <v>1153616</v>
      </c>
      <c r="H16" s="11">
        <f>G16/K16</f>
        <v>0.72505444432223498</v>
      </c>
      <c r="I16" s="5">
        <v>362268</v>
      </c>
      <c r="J16" s="11">
        <f>I16/K16</f>
        <v>0.22768756972487156</v>
      </c>
      <c r="K16" s="36">
        <f>C16+E16+G16+I16</f>
        <v>1591075</v>
      </c>
      <c r="L16" s="36">
        <f>C16+E16+G16+I16</f>
        <v>1591075</v>
      </c>
    </row>
    <row r="17" spans="2:17" x14ac:dyDescent="0.25">
      <c r="B17" s="3" t="s">
        <v>527</v>
      </c>
      <c r="C17" s="5"/>
      <c r="D17" s="11"/>
      <c r="E17" s="5"/>
      <c r="F17" s="11"/>
      <c r="G17" s="5">
        <v>924175</v>
      </c>
      <c r="H17" s="11"/>
      <c r="I17" s="5"/>
      <c r="J17" s="11"/>
      <c r="K17" s="36">
        <f>C17+E17+G17+I17</f>
        <v>924175</v>
      </c>
      <c r="L17" s="36"/>
    </row>
    <row r="18" spans="2:17" x14ac:dyDescent="0.25">
      <c r="B18" s="224" t="s">
        <v>528</v>
      </c>
      <c r="C18" s="225">
        <f>SUM(C16:C17)</f>
        <v>57623</v>
      </c>
      <c r="D18" s="226">
        <f>C18/K18</f>
        <v>2.2909452340721597E-2</v>
      </c>
      <c r="E18" s="225">
        <f>SUM(E16:E17)</f>
        <v>17568</v>
      </c>
      <c r="F18" s="226">
        <f>E18/K18</f>
        <v>6.9845939767418748E-3</v>
      </c>
      <c r="G18" s="225">
        <f>SUM(G16:G17)</f>
        <v>2077791</v>
      </c>
      <c r="H18" s="226">
        <f>G18/K18</f>
        <v>0.82607732829738589</v>
      </c>
      <c r="I18" s="225">
        <f>SUM(I16:I17)</f>
        <v>362268</v>
      </c>
      <c r="J18" s="226">
        <f>I18/K18</f>
        <v>0.14402862538515057</v>
      </c>
      <c r="K18" s="225">
        <f>SUM(K16:K17)</f>
        <v>2515250</v>
      </c>
      <c r="L18" s="227"/>
    </row>
    <row r="19" spans="2:17" x14ac:dyDescent="0.25">
      <c r="B19" s="3" t="s">
        <v>80</v>
      </c>
      <c r="C19" s="5">
        <f>K19*D19</f>
        <v>-1765.657884763446</v>
      </c>
      <c r="D19" s="11">
        <f>D16</f>
        <v>3.6216394575994217E-2</v>
      </c>
      <c r="E19" s="5">
        <f>F19*K19</f>
        <v>-538.31070439796997</v>
      </c>
      <c r="F19" s="11">
        <f>F16</f>
        <v>1.1041591376899267E-2</v>
      </c>
      <c r="G19" s="5">
        <f>H19*K19</f>
        <v>-35348.579324041923</v>
      </c>
      <c r="H19" s="11">
        <f>H16</f>
        <v>0.72505444432223498</v>
      </c>
      <c r="I19" s="5">
        <f>K19*J19</f>
        <v>-11100.452086796664</v>
      </c>
      <c r="J19" s="11">
        <f>J16</f>
        <v>0.22768756972487156</v>
      </c>
      <c r="K19" s="36">
        <v>-48753</v>
      </c>
      <c r="L19" s="36">
        <f>C19+E19+G19+I19</f>
        <v>-48753</v>
      </c>
    </row>
    <row r="20" spans="2:17" x14ac:dyDescent="0.25">
      <c r="B20" s="3" t="s">
        <v>457</v>
      </c>
      <c r="C20" s="5">
        <v>0</v>
      </c>
      <c r="D20" s="11"/>
      <c r="E20" s="5">
        <v>0</v>
      </c>
      <c r="F20" s="11"/>
      <c r="G20" s="5">
        <v>0</v>
      </c>
      <c r="H20" s="11"/>
      <c r="I20" s="5">
        <v>0</v>
      </c>
      <c r="J20" s="11"/>
      <c r="K20" s="36">
        <v>0</v>
      </c>
      <c r="L20" s="36"/>
    </row>
    <row r="21" spans="2:17" x14ac:dyDescent="0.25">
      <c r="B21" s="3" t="s">
        <v>81</v>
      </c>
      <c r="C21" s="5">
        <v>833</v>
      </c>
      <c r="D21" s="11">
        <f>D16</f>
        <v>3.6216394575994217E-2</v>
      </c>
      <c r="E21" s="5">
        <v>253</v>
      </c>
      <c r="F21" s="11">
        <f>F16</f>
        <v>1.1041591376899267E-2</v>
      </c>
      <c r="G21" s="5">
        <v>16678</v>
      </c>
      <c r="H21" s="11">
        <f>H16</f>
        <v>0.72505444432223498</v>
      </c>
      <c r="I21" s="5">
        <v>5237</v>
      </c>
      <c r="J21" s="11">
        <f>J16</f>
        <v>0.22768756972487156</v>
      </c>
      <c r="K21" s="36">
        <v>23001</v>
      </c>
      <c r="L21" s="36">
        <v>23001</v>
      </c>
      <c r="N21" t="s">
        <v>542</v>
      </c>
    </row>
    <row r="22" spans="2:17" x14ac:dyDescent="0.25">
      <c r="B22" s="3" t="s">
        <v>83</v>
      </c>
      <c r="C22" s="5">
        <v>0</v>
      </c>
      <c r="D22" s="11">
        <v>0</v>
      </c>
      <c r="E22" s="5">
        <v>0</v>
      </c>
      <c r="F22" s="11">
        <v>0</v>
      </c>
      <c r="G22" s="5">
        <v>27868</v>
      </c>
      <c r="H22" s="11">
        <f>G22/K22</f>
        <v>0.48681130559340391</v>
      </c>
      <c r="I22" s="5">
        <v>29378</v>
      </c>
      <c r="J22" s="11">
        <f>I22/K22</f>
        <v>0.51318869440659609</v>
      </c>
      <c r="K22" s="36">
        <f>C22+E22+G22+I22</f>
        <v>57246</v>
      </c>
      <c r="L22" s="36">
        <f t="shared" ref="L22:L23" si="0">C22+E22+G22+I22</f>
        <v>57246</v>
      </c>
    </row>
    <row r="23" spans="2:17" ht="30" x14ac:dyDescent="0.25">
      <c r="B23" s="173" t="s">
        <v>408</v>
      </c>
      <c r="C23" s="5">
        <v>0</v>
      </c>
      <c r="D23" s="11"/>
      <c r="E23" s="5">
        <v>0</v>
      </c>
      <c r="F23" s="11"/>
      <c r="G23" s="5">
        <v>0</v>
      </c>
      <c r="H23" s="11"/>
      <c r="I23" s="5">
        <v>0</v>
      </c>
      <c r="J23" s="11"/>
      <c r="K23" s="36">
        <f>C23+E23+G23+I23</f>
        <v>0</v>
      </c>
      <c r="L23" s="36">
        <f t="shared" si="0"/>
        <v>0</v>
      </c>
      <c r="Q23">
        <f>3255/21698</f>
        <v>0.15001382615909301</v>
      </c>
    </row>
    <row r="24" spans="2:17" x14ac:dyDescent="0.25">
      <c r="B24" s="3" t="s">
        <v>331</v>
      </c>
      <c r="C24" s="5"/>
      <c r="D24" s="11"/>
      <c r="E24" s="5"/>
      <c r="F24" s="11"/>
      <c r="G24" s="5">
        <v>-7550</v>
      </c>
      <c r="H24" s="11"/>
      <c r="I24" s="5"/>
      <c r="J24" s="11"/>
      <c r="K24" s="36">
        <f>C24+E24+G24+I24</f>
        <v>-7550</v>
      </c>
      <c r="L24" s="36">
        <v>-5117</v>
      </c>
    </row>
    <row r="25" spans="2:17" x14ac:dyDescent="0.25">
      <c r="B25" s="3" t="s">
        <v>85</v>
      </c>
      <c r="C25" s="5">
        <f>C22*-0.15</f>
        <v>0</v>
      </c>
      <c r="D25" s="11">
        <f>C25/K25</f>
        <v>0</v>
      </c>
      <c r="E25" s="5">
        <f>E22*-0.15</f>
        <v>0</v>
      </c>
      <c r="F25" s="11">
        <f>E25/K25</f>
        <v>0</v>
      </c>
      <c r="G25" s="5">
        <f>-L25*H25</f>
        <v>-4180.2</v>
      </c>
      <c r="H25" s="11">
        <f>H22</f>
        <v>0.48681130559340391</v>
      </c>
      <c r="I25" s="5">
        <f>-L25*J25</f>
        <v>-4406.7</v>
      </c>
      <c r="J25" s="11">
        <f>J22</f>
        <v>0.51318869440659609</v>
      </c>
      <c r="K25" s="36">
        <f>C25+E25+G25+I25</f>
        <v>-8586.9</v>
      </c>
      <c r="L25" s="36">
        <f>0.15*L22</f>
        <v>8586.9</v>
      </c>
    </row>
    <row r="26" spans="2:17" x14ac:dyDescent="0.25">
      <c r="B26" s="3" t="s">
        <v>86</v>
      </c>
      <c r="C26" s="5"/>
      <c r="D26" s="11"/>
      <c r="E26" s="5"/>
      <c r="F26" s="11"/>
      <c r="G26" s="5"/>
      <c r="H26" s="11"/>
      <c r="I26" s="5">
        <v>0</v>
      </c>
      <c r="J26" s="11"/>
      <c r="K26" s="36">
        <v>0</v>
      </c>
      <c r="L26" s="36">
        <f t="shared" ref="L26:L27" si="1">C26+E26+G26+I26</f>
        <v>0</v>
      </c>
    </row>
    <row r="27" spans="2:17" x14ac:dyDescent="0.25">
      <c r="B27" s="3" t="s">
        <v>84</v>
      </c>
      <c r="C27" s="36">
        <f>SUM(C18:C26)</f>
        <v>56690.342115236555</v>
      </c>
      <c r="D27" s="11">
        <f>C27/K27</f>
        <v>2.2401874283541113E-2</v>
      </c>
      <c r="E27" s="36">
        <f>SUM(E18:E26)</f>
        <v>17282.689295602031</v>
      </c>
      <c r="F27" s="11">
        <f>E27/K27</f>
        <v>6.8294636870346367E-3</v>
      </c>
      <c r="G27" s="36">
        <f>SUM(G18:G26)</f>
        <v>2075258.2206759581</v>
      </c>
      <c r="H27" s="11">
        <f>G27/K27</f>
        <v>0.82006338347662033</v>
      </c>
      <c r="I27" s="36">
        <f>SUM(I18:I26)</f>
        <v>381375.84791320335</v>
      </c>
      <c r="J27" s="11">
        <f>I27/K27</f>
        <v>0.15070527855280394</v>
      </c>
      <c r="K27" s="36">
        <f>SUM(K18:K26)</f>
        <v>2530607.1</v>
      </c>
      <c r="L27" s="36">
        <f t="shared" si="1"/>
        <v>2530607.1</v>
      </c>
    </row>
    <row r="28" spans="2:17" ht="15.75" thickBot="1" x14ac:dyDescent="0.3">
      <c r="B28" s="3"/>
      <c r="C28" s="197"/>
      <c r="D28" s="197"/>
      <c r="E28" s="197"/>
      <c r="F28" s="37"/>
      <c r="G28" s="37"/>
      <c r="H28" s="37"/>
      <c r="I28" s="37"/>
      <c r="J28" s="37"/>
      <c r="K28" s="198">
        <f>C27+E27+G27+I27</f>
        <v>2530607.1</v>
      </c>
      <c r="L28" s="3"/>
    </row>
    <row r="29" spans="2:17" ht="15.75" thickBot="1" x14ac:dyDescent="0.3">
      <c r="D29" s="200"/>
      <c r="E29" s="200"/>
      <c r="F29" s="200"/>
      <c r="G29" s="200"/>
      <c r="H29" s="205"/>
      <c r="I29" s="200"/>
      <c r="J29" s="200"/>
      <c r="K29" s="201"/>
    </row>
    <row r="30" spans="2:17" x14ac:dyDescent="0.25">
      <c r="B30" s="3" t="s">
        <v>612</v>
      </c>
      <c r="C30" s="98" t="s">
        <v>90</v>
      </c>
      <c r="D30" s="98"/>
      <c r="E30" s="98" t="s">
        <v>89</v>
      </c>
      <c r="F30" s="98"/>
      <c r="G30" s="98" t="s">
        <v>91</v>
      </c>
      <c r="H30" s="98"/>
      <c r="I30" s="98" t="s">
        <v>92</v>
      </c>
      <c r="J30" s="98"/>
      <c r="K30" s="98" t="s">
        <v>93</v>
      </c>
      <c r="L30" s="98"/>
    </row>
    <row r="31" spans="2:17" x14ac:dyDescent="0.25">
      <c r="B31" s="3"/>
      <c r="C31" s="3"/>
      <c r="D31" s="3"/>
      <c r="E31" s="3"/>
      <c r="F31" s="3"/>
      <c r="G31" s="3"/>
      <c r="H31" s="3"/>
      <c r="I31" s="3"/>
      <c r="J31" s="3"/>
      <c r="K31" s="3"/>
      <c r="L31" s="3"/>
    </row>
    <row r="32" spans="2:17" x14ac:dyDescent="0.25">
      <c r="B32" s="3" t="s">
        <v>79</v>
      </c>
      <c r="C32" s="5">
        <f>C27</f>
        <v>56690.342115236555</v>
      </c>
      <c r="D32" s="11">
        <f>C32/K32</f>
        <v>2.2401874283541113E-2</v>
      </c>
      <c r="E32" s="5">
        <f>E27</f>
        <v>17282.689295602031</v>
      </c>
      <c r="F32" s="11">
        <f>E32/K32</f>
        <v>6.8294636870346367E-3</v>
      </c>
      <c r="G32" s="5">
        <f>G27</f>
        <v>2075258.2206759581</v>
      </c>
      <c r="H32" s="11">
        <f>G32/K32</f>
        <v>0.82006338347662033</v>
      </c>
      <c r="I32" s="5">
        <f>I27</f>
        <v>381375.84791320335</v>
      </c>
      <c r="J32" s="11">
        <f>I32/K32</f>
        <v>0.15070527855280394</v>
      </c>
      <c r="K32" s="36">
        <f>C32+E32+G32+I32</f>
        <v>2530607.1</v>
      </c>
      <c r="L32" s="36">
        <f>C32+E32+G32+I32</f>
        <v>2530607.1</v>
      </c>
    </row>
    <row r="33" spans="2:12" x14ac:dyDescent="0.25">
      <c r="B33" s="3" t="s">
        <v>527</v>
      </c>
      <c r="C33" s="5"/>
      <c r="D33" s="11"/>
      <c r="E33" s="5"/>
      <c r="F33" s="11"/>
      <c r="G33" s="5">
        <v>0</v>
      </c>
      <c r="H33" s="11"/>
      <c r="I33" s="5"/>
      <c r="J33" s="11"/>
      <c r="K33" s="36">
        <f>C33+E33+G33+I33</f>
        <v>0</v>
      </c>
      <c r="L33" s="36"/>
    </row>
    <row r="34" spans="2:12" x14ac:dyDescent="0.25">
      <c r="B34" s="224" t="s">
        <v>528</v>
      </c>
      <c r="C34" s="225">
        <f>SUM(C32:C33)</f>
        <v>56690.342115236555</v>
      </c>
      <c r="D34" s="226">
        <f>C34/K34</f>
        <v>2.2401874283541113E-2</v>
      </c>
      <c r="E34" s="225">
        <f>SUM(E32:E33)</f>
        <v>17282.689295602031</v>
      </c>
      <c r="F34" s="226">
        <f>E34/K34</f>
        <v>6.8294636870346367E-3</v>
      </c>
      <c r="G34" s="225">
        <f>SUM(G32:G33)</f>
        <v>2075258.2206759581</v>
      </c>
      <c r="H34" s="226">
        <f>G34/K34</f>
        <v>0.82006338347662033</v>
      </c>
      <c r="I34" s="225">
        <f>SUM(I32:I33)</f>
        <v>381375.84791320335</v>
      </c>
      <c r="J34" s="226">
        <f>I34/K34</f>
        <v>0.15070527855280394</v>
      </c>
      <c r="K34" s="225">
        <f>SUM(K32:K33)</f>
        <v>2530607.1</v>
      </c>
      <c r="L34" s="227"/>
    </row>
    <row r="35" spans="2:12" x14ac:dyDescent="0.25">
      <c r="B35" s="3" t="s">
        <v>80</v>
      </c>
      <c r="C35" s="5">
        <f>K35*D35</f>
        <v>13866.715153744635</v>
      </c>
      <c r="D35" s="11">
        <f>D32</f>
        <v>2.2401874283541113E-2</v>
      </c>
      <c r="E35" s="5">
        <f>F35*K35</f>
        <v>4227.4242950524285</v>
      </c>
      <c r="F35" s="11">
        <f>F32</f>
        <v>6.8294636870346367E-3</v>
      </c>
      <c r="G35" s="5">
        <f>H35*K35</f>
        <v>507617.58604462707</v>
      </c>
      <c r="H35" s="11">
        <f>H32</f>
        <v>0.82006338347662033</v>
      </c>
      <c r="I35" s="5">
        <f>K35*J35</f>
        <v>93286.264506575724</v>
      </c>
      <c r="J35" s="11">
        <f>J32</f>
        <v>0.15070527855280394</v>
      </c>
      <c r="K35" s="36">
        <f>'2021 WNO2SF FINANCIAL STATEMENT'!D65-K38</f>
        <v>618997.98999999987</v>
      </c>
      <c r="L35" s="36">
        <f>C35+E35+G35+I35</f>
        <v>618997.98999999987</v>
      </c>
    </row>
    <row r="36" spans="2:12" x14ac:dyDescent="0.25">
      <c r="B36" s="3" t="s">
        <v>457</v>
      </c>
      <c r="C36" s="5">
        <v>0</v>
      </c>
      <c r="D36" s="11"/>
      <c r="E36" s="5">
        <v>0</v>
      </c>
      <c r="F36" s="11"/>
      <c r="G36" s="5">
        <v>0</v>
      </c>
      <c r="H36" s="11"/>
      <c r="I36" s="5">
        <v>0</v>
      </c>
      <c r="J36" s="11"/>
      <c r="K36" s="36">
        <v>0</v>
      </c>
      <c r="L36" s="36"/>
    </row>
    <row r="37" spans="2:12" x14ac:dyDescent="0.25">
      <c r="B37" s="3" t="s">
        <v>81</v>
      </c>
      <c r="C37" s="5">
        <f>K37*D37</f>
        <v>-917.84847305153221</v>
      </c>
      <c r="D37" s="11">
        <f>D32</f>
        <v>2.2401874283541113E-2</v>
      </c>
      <c r="E37" s="5">
        <f>F37*K37</f>
        <v>-279.81644471199877</v>
      </c>
      <c r="F37" s="11">
        <f>F32</f>
        <v>6.8294636870346367E-3</v>
      </c>
      <c r="G37" s="5">
        <f>H37*K37</f>
        <v>-33599.595944634915</v>
      </c>
      <c r="H37" s="11">
        <f>H32</f>
        <v>0.82006338347662033</v>
      </c>
      <c r="I37" s="5">
        <f>K37*J37</f>
        <v>-6174.6891376015546</v>
      </c>
      <c r="J37" s="11">
        <f>J32</f>
        <v>0.15070527855280394</v>
      </c>
      <c r="K37" s="36">
        <f>'2021 WNO2SF FINANCIAL STATEMENT'!D66-K41</f>
        <v>-40971.949999999997</v>
      </c>
      <c r="L37" s="36">
        <f>C37+E37+G37+I37</f>
        <v>-40971.950000000004</v>
      </c>
    </row>
    <row r="38" spans="2:12" x14ac:dyDescent="0.25">
      <c r="B38" s="3" t="s">
        <v>83</v>
      </c>
      <c r="C38" s="5">
        <v>0</v>
      </c>
      <c r="D38" s="11">
        <v>0</v>
      </c>
      <c r="E38" s="5">
        <v>0</v>
      </c>
      <c r="F38" s="11">
        <v>0</v>
      </c>
      <c r="G38" s="5">
        <v>19005</v>
      </c>
      <c r="H38" s="11">
        <f>G38/K38</f>
        <v>0.83844355230070144</v>
      </c>
      <c r="I38" s="5">
        <v>3662</v>
      </c>
      <c r="J38" s="11">
        <f>I38/K38</f>
        <v>0.16155644769929853</v>
      </c>
      <c r="K38" s="36">
        <f>C38+E38+G38+I38</f>
        <v>22667</v>
      </c>
      <c r="L38" s="36">
        <f t="shared" ref="L38:L39" si="2">C38+E38+G38+I38</f>
        <v>22667</v>
      </c>
    </row>
    <row r="39" spans="2:12" ht="30" x14ac:dyDescent="0.25">
      <c r="B39" s="173" t="s">
        <v>408</v>
      </c>
      <c r="C39" s="5">
        <v>0</v>
      </c>
      <c r="D39" s="11"/>
      <c r="E39" s="5">
        <v>0</v>
      </c>
      <c r="F39" s="11"/>
      <c r="G39" s="5">
        <v>0</v>
      </c>
      <c r="H39" s="11"/>
      <c r="I39" s="5">
        <v>0</v>
      </c>
      <c r="J39" s="11"/>
      <c r="K39" s="36">
        <f>C39+E39+G39+I39</f>
        <v>0</v>
      </c>
      <c r="L39" s="36">
        <f t="shared" si="2"/>
        <v>0</v>
      </c>
    </row>
    <row r="40" spans="2:12" x14ac:dyDescent="0.25">
      <c r="B40" s="3" t="s">
        <v>331</v>
      </c>
      <c r="C40" s="5"/>
      <c r="D40" s="11"/>
      <c r="E40" s="5"/>
      <c r="F40" s="11"/>
      <c r="G40" s="5">
        <v>0</v>
      </c>
      <c r="H40" s="11"/>
      <c r="I40" s="5"/>
      <c r="J40" s="11"/>
      <c r="K40" s="36">
        <f>C40+E40+G40+I40</f>
        <v>0</v>
      </c>
      <c r="L40" s="36">
        <v>0</v>
      </c>
    </row>
    <row r="41" spans="2:12" x14ac:dyDescent="0.25">
      <c r="B41" s="3" t="s">
        <v>85</v>
      </c>
      <c r="C41" s="5">
        <f>C38*-0.15</f>
        <v>0</v>
      </c>
      <c r="D41" s="11">
        <f>C41/K41</f>
        <v>0</v>
      </c>
      <c r="E41" s="5">
        <f>E38*-0.15</f>
        <v>0</v>
      </c>
      <c r="F41" s="11">
        <f>E41/K41</f>
        <v>0</v>
      </c>
      <c r="G41" s="5">
        <f>-0.15*G38</f>
        <v>-2850.75</v>
      </c>
      <c r="H41" s="11">
        <f>H38</f>
        <v>0.83844355230070144</v>
      </c>
      <c r="I41" s="5">
        <f>-0.15*I38</f>
        <v>-549.29999999999995</v>
      </c>
      <c r="J41" s="11">
        <f>J38</f>
        <v>0.16155644769929853</v>
      </c>
      <c r="K41" s="36">
        <f>C41+E41+G41+I41</f>
        <v>-3400.05</v>
      </c>
      <c r="L41" s="36">
        <f>-0.15*L38</f>
        <v>-3400.0499999999997</v>
      </c>
    </row>
    <row r="42" spans="2:12" x14ac:dyDescent="0.25">
      <c r="B42" s="3" t="s">
        <v>86</v>
      </c>
      <c r="C42" s="5"/>
      <c r="D42" s="11"/>
      <c r="E42" s="5"/>
      <c r="F42" s="11"/>
      <c r="G42" s="5"/>
      <c r="H42" s="11"/>
      <c r="I42" s="5">
        <v>0</v>
      </c>
      <c r="J42" s="11"/>
      <c r="K42" s="36">
        <v>0</v>
      </c>
      <c r="L42" s="36">
        <f t="shared" ref="L42:L43" si="3">C42+E42+G42+I42</f>
        <v>0</v>
      </c>
    </row>
    <row r="43" spans="2:12" x14ac:dyDescent="0.25">
      <c r="B43" s="3" t="s">
        <v>84</v>
      </c>
      <c r="C43" s="36">
        <f>SUM(C34:C42)</f>
        <v>69639.208795929662</v>
      </c>
      <c r="D43" s="11">
        <f>C43/K43</f>
        <v>2.2263885287950379E-2</v>
      </c>
      <c r="E43" s="36">
        <f>SUM(E34:E42)</f>
        <v>21230.297145942459</v>
      </c>
      <c r="F43" s="11">
        <f>E43/K43</f>
        <v>6.7873961875625187E-3</v>
      </c>
      <c r="G43" s="36">
        <f>SUM(G34:G42)</f>
        <v>2565430.46077595</v>
      </c>
      <c r="H43" s="11">
        <f>G43/K43</f>
        <v>0.82017659994247138</v>
      </c>
      <c r="I43" s="36">
        <f>SUM(I34:I42)</f>
        <v>471600.12328217755</v>
      </c>
      <c r="J43" s="11">
        <f>I43/K43</f>
        <v>0.1507721185820157</v>
      </c>
      <c r="K43" s="36">
        <f>SUM(K34:K42)</f>
        <v>3127900.09</v>
      </c>
      <c r="L43" s="36">
        <f t="shared" si="3"/>
        <v>3127900.0899999994</v>
      </c>
    </row>
    <row r="44" spans="2:12" x14ac:dyDescent="0.25">
      <c r="B44" s="3"/>
      <c r="C44" s="197"/>
      <c r="D44" s="197"/>
      <c r="E44" s="197"/>
      <c r="F44" s="37"/>
      <c r="G44" s="37"/>
      <c r="H44" s="37"/>
      <c r="I44" s="37"/>
      <c r="J44" s="37"/>
      <c r="K44" s="198">
        <f>C43+E43+G43+I43</f>
        <v>3127900.0899999994</v>
      </c>
      <c r="L44" s="3"/>
    </row>
  </sheetData>
  <pageMargins left="0.70866141732283505" right="0.70866141732283505" top="0.74803149606299202" bottom="0.74803149606299202" header="0.31496062992126" footer="0.31496062992126"/>
  <pageSetup paperSize="9" scale="5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Q37"/>
  <sheetViews>
    <sheetView topLeftCell="A4" workbookViewId="0">
      <selection activeCell="C24" sqref="C24"/>
    </sheetView>
  </sheetViews>
  <sheetFormatPr defaultRowHeight="15" x14ac:dyDescent="0.25"/>
  <cols>
    <col min="1" max="1" width="40.7109375" customWidth="1"/>
    <col min="2" max="2" width="20.42578125" customWidth="1"/>
    <col min="3" max="3" width="16" customWidth="1"/>
    <col min="4" max="4" width="17.140625" customWidth="1"/>
    <col min="5" max="5" width="18.42578125" customWidth="1"/>
    <col min="6" max="6" width="22.85546875" customWidth="1"/>
    <col min="7" max="7" width="20.85546875" customWidth="1"/>
    <col min="8" max="8" width="21" customWidth="1"/>
    <col min="9" max="9" width="20.42578125" customWidth="1"/>
    <col min="10" max="10" width="17.5703125" customWidth="1"/>
    <col min="11" max="11" width="17.140625" customWidth="1"/>
    <col min="12" max="12" width="16.5703125" customWidth="1"/>
    <col min="13" max="13" width="1.7109375" customWidth="1"/>
    <col min="14" max="14" width="17" customWidth="1"/>
  </cols>
  <sheetData>
    <row r="1" spans="1:14" x14ac:dyDescent="0.25">
      <c r="A1" s="31" t="s">
        <v>39</v>
      </c>
      <c r="B1" s="31"/>
      <c r="C1" s="31"/>
      <c r="D1" s="31"/>
      <c r="E1" s="31"/>
      <c r="F1" s="31"/>
      <c r="G1" s="31"/>
      <c r="H1" s="31"/>
      <c r="I1" s="31"/>
      <c r="J1" s="31"/>
      <c r="K1" s="31"/>
    </row>
    <row r="2" spans="1:14" x14ac:dyDescent="0.25">
      <c r="A2" s="31" t="s">
        <v>40</v>
      </c>
      <c r="B2" s="31"/>
      <c r="C2" s="31"/>
      <c r="D2" s="31"/>
      <c r="E2" s="31"/>
      <c r="F2" s="31"/>
      <c r="G2" s="31"/>
      <c r="H2" s="31"/>
      <c r="I2" s="31"/>
      <c r="J2" s="31"/>
      <c r="K2" s="31"/>
    </row>
    <row r="4" spans="1:14" x14ac:dyDescent="0.25">
      <c r="A4" s="49" t="s">
        <v>107</v>
      </c>
      <c r="B4" s="49"/>
      <c r="C4" s="49"/>
      <c r="D4" s="49"/>
      <c r="E4" s="49"/>
      <c r="F4" s="49"/>
      <c r="G4" s="49"/>
      <c r="H4" s="49"/>
      <c r="I4" s="49"/>
      <c r="J4" s="49"/>
      <c r="K4" s="49"/>
      <c r="L4" s="3"/>
      <c r="M4" s="3"/>
      <c r="N4" s="3"/>
    </row>
    <row r="5" spans="1:14" x14ac:dyDescent="0.25">
      <c r="A5" s="3"/>
      <c r="B5" s="3"/>
      <c r="C5" s="3"/>
      <c r="D5" s="3"/>
      <c r="E5" s="3"/>
      <c r="F5" s="3"/>
      <c r="G5" s="3"/>
      <c r="H5" s="3"/>
      <c r="I5" s="3"/>
      <c r="J5" s="3"/>
      <c r="K5" s="3"/>
      <c r="L5" s="3"/>
      <c r="M5" s="3"/>
      <c r="N5" s="3"/>
    </row>
    <row r="6" spans="1:14" x14ac:dyDescent="0.25">
      <c r="A6" s="3" t="s">
        <v>108</v>
      </c>
      <c r="B6" s="3" t="s">
        <v>572</v>
      </c>
      <c r="C6" s="3" t="s">
        <v>529</v>
      </c>
      <c r="D6" s="3" t="s">
        <v>463</v>
      </c>
      <c r="E6" s="3" t="s">
        <v>444</v>
      </c>
      <c r="F6" s="3" t="s">
        <v>406</v>
      </c>
      <c r="G6" s="116" t="s">
        <v>382</v>
      </c>
      <c r="H6" s="116" t="s">
        <v>362</v>
      </c>
      <c r="I6" s="116" t="s">
        <v>322</v>
      </c>
      <c r="J6" s="116" t="s">
        <v>299</v>
      </c>
      <c r="K6" s="116" t="s">
        <v>257</v>
      </c>
      <c r="L6" s="116" t="s">
        <v>111</v>
      </c>
      <c r="M6" s="116"/>
      <c r="N6" s="116" t="s">
        <v>109</v>
      </c>
    </row>
    <row r="7" spans="1:14" x14ac:dyDescent="0.25">
      <c r="A7" s="3"/>
      <c r="B7" s="3"/>
      <c r="C7" s="3"/>
      <c r="D7" s="3"/>
      <c r="E7" s="3"/>
      <c r="F7" s="3"/>
      <c r="G7" s="3"/>
      <c r="H7" s="3"/>
      <c r="I7" s="3"/>
      <c r="J7" s="3"/>
      <c r="K7" s="3"/>
      <c r="L7" s="3"/>
      <c r="M7" s="3"/>
      <c r="N7" s="3"/>
    </row>
    <row r="8" spans="1:14" x14ac:dyDescent="0.25">
      <c r="A8" s="3" t="s">
        <v>110</v>
      </c>
      <c r="B8" s="3"/>
      <c r="C8" s="34">
        <f>'2021 WNO2SF FINANCIAL STATEMENT'!D139</f>
        <v>2351003.67</v>
      </c>
      <c r="D8" s="3">
        <f>'2021 WNO2SF FINANCIAL STATEMENT'!F139</f>
        <v>1595951</v>
      </c>
      <c r="E8" s="3">
        <f>'2021 WNO2SF FINANCIAL STATEMENT'!F302</f>
        <v>1595940</v>
      </c>
      <c r="F8" s="34" t="e">
        <f>#REF!</f>
        <v>#REF!</v>
      </c>
      <c r="G8" s="34" t="e">
        <f>#REF!</f>
        <v>#REF!</v>
      </c>
      <c r="H8" s="34" t="e">
        <f>#REF!</f>
        <v>#REF!</v>
      </c>
      <c r="I8" s="3" t="e">
        <f>#REF!</f>
        <v>#REF!</v>
      </c>
      <c r="J8" s="33">
        <v>718028</v>
      </c>
      <c r="K8" s="5">
        <v>596660</v>
      </c>
      <c r="L8" s="5">
        <v>550752</v>
      </c>
      <c r="M8" s="5"/>
      <c r="N8" s="5">
        <v>468312</v>
      </c>
    </row>
    <row r="9" spans="1:14" x14ac:dyDescent="0.25">
      <c r="A9" s="3" t="s">
        <v>530</v>
      </c>
      <c r="B9" s="3"/>
      <c r="C9" s="34">
        <f>'2021 WNO2SF FINANCIAL STATEMENT'!D167</f>
        <v>744160</v>
      </c>
      <c r="D9" s="3">
        <v>0</v>
      </c>
      <c r="E9" s="3"/>
      <c r="F9" s="34"/>
      <c r="G9" s="34"/>
      <c r="H9" s="34"/>
      <c r="I9" s="3"/>
      <c r="J9" s="3"/>
      <c r="K9" s="3"/>
      <c r="L9" s="5"/>
      <c r="M9" s="5"/>
      <c r="N9" s="5"/>
    </row>
    <row r="10" spans="1:14" x14ac:dyDescent="0.25">
      <c r="A10" s="3" t="s">
        <v>116</v>
      </c>
      <c r="B10" s="3"/>
      <c r="C10" s="34"/>
      <c r="D10" s="3"/>
      <c r="E10" s="3"/>
      <c r="F10" s="34"/>
      <c r="G10" s="34" t="e">
        <f>#REF!</f>
        <v>#REF!</v>
      </c>
      <c r="H10" s="34">
        <v>0</v>
      </c>
      <c r="I10" s="3">
        <v>0</v>
      </c>
      <c r="J10" s="3">
        <v>0</v>
      </c>
      <c r="K10" s="3">
        <v>0</v>
      </c>
      <c r="L10" s="5">
        <v>0</v>
      </c>
      <c r="M10" s="5"/>
      <c r="N10" s="5">
        <v>15000</v>
      </c>
    </row>
    <row r="11" spans="1:14" x14ac:dyDescent="0.25">
      <c r="A11" s="3" t="s">
        <v>112</v>
      </c>
      <c r="B11" s="3"/>
      <c r="C11" s="34"/>
      <c r="D11" s="3"/>
      <c r="E11" s="3"/>
      <c r="F11" s="34"/>
      <c r="G11" s="34"/>
      <c r="H11" s="34"/>
      <c r="I11" s="3"/>
      <c r="J11" s="3"/>
      <c r="K11" s="3"/>
      <c r="L11" s="5"/>
      <c r="M11" s="5"/>
      <c r="N11" s="5"/>
    </row>
    <row r="12" spans="1:14" x14ac:dyDescent="0.25">
      <c r="A12" s="3" t="s">
        <v>113</v>
      </c>
      <c r="B12" s="3"/>
      <c r="C12" s="34">
        <f>SUM(C8:C11)</f>
        <v>3095163.67</v>
      </c>
      <c r="D12" s="3">
        <f>SUM(D8:D11)</f>
        <v>1595951</v>
      </c>
      <c r="E12" s="3">
        <f>SUM(E8:E11)</f>
        <v>1595940</v>
      </c>
      <c r="F12" s="57" t="e">
        <f>SUM(F8:F10)</f>
        <v>#REF!</v>
      </c>
      <c r="G12" s="57" t="e">
        <f>SUM(G8:G10)</f>
        <v>#REF!</v>
      </c>
      <c r="H12" s="57" t="e">
        <f>SUM(H8:H11)</f>
        <v>#REF!</v>
      </c>
      <c r="I12" s="142" t="e">
        <f>SUM(I8:I11)</f>
        <v>#REF!</v>
      </c>
      <c r="J12" s="35">
        <f>SUM(J8:J11)</f>
        <v>718028</v>
      </c>
      <c r="K12" s="35">
        <f>SUM(K8:K11)</f>
        <v>596660</v>
      </c>
      <c r="L12" s="35">
        <f>SUM(L8:L11)</f>
        <v>550752</v>
      </c>
      <c r="M12" s="35"/>
      <c r="N12" s="35">
        <f>SUM(N8:N11)</f>
        <v>483312</v>
      </c>
    </row>
    <row r="13" spans="1:14" x14ac:dyDescent="0.25">
      <c r="A13" s="3"/>
      <c r="B13" s="3"/>
      <c r="C13" s="34"/>
      <c r="D13" s="3"/>
      <c r="E13" s="3"/>
      <c r="F13" s="3"/>
      <c r="G13" s="34"/>
      <c r="H13" s="34"/>
      <c r="I13" s="3"/>
      <c r="J13" s="3"/>
      <c r="K13" s="3"/>
      <c r="L13" s="3"/>
      <c r="M13" s="3"/>
      <c r="N13" s="3"/>
    </row>
    <row r="14" spans="1:14" x14ac:dyDescent="0.25">
      <c r="A14" s="3"/>
      <c r="B14" s="3"/>
      <c r="C14" s="34"/>
      <c r="D14" s="3"/>
      <c r="E14" s="3"/>
      <c r="F14" s="3"/>
      <c r="G14" s="34"/>
      <c r="H14" s="34"/>
      <c r="I14" s="3"/>
      <c r="J14" s="3"/>
      <c r="K14" s="3"/>
      <c r="L14" s="3"/>
      <c r="M14" s="3"/>
      <c r="N14" s="3"/>
    </row>
    <row r="15" spans="1:14" x14ac:dyDescent="0.25">
      <c r="A15" s="3" t="s">
        <v>114</v>
      </c>
      <c r="B15" s="3"/>
      <c r="C15" s="3" t="s">
        <v>463</v>
      </c>
      <c r="D15" s="3" t="s">
        <v>463</v>
      </c>
      <c r="E15" s="3" t="s">
        <v>444</v>
      </c>
      <c r="F15" s="3" t="s">
        <v>406</v>
      </c>
      <c r="G15" s="159" t="s">
        <v>382</v>
      </c>
      <c r="H15" s="159" t="s">
        <v>362</v>
      </c>
      <c r="I15" s="116" t="s">
        <v>322</v>
      </c>
      <c r="J15" s="116" t="s">
        <v>298</v>
      </c>
      <c r="K15" s="116" t="s">
        <v>257</v>
      </c>
      <c r="L15" s="116" t="s">
        <v>111</v>
      </c>
      <c r="M15" s="116"/>
      <c r="N15" s="116" t="s">
        <v>109</v>
      </c>
    </row>
    <row r="16" spans="1:14" x14ac:dyDescent="0.25">
      <c r="A16" s="3"/>
      <c r="B16" s="20"/>
      <c r="C16" s="38"/>
      <c r="D16" s="20"/>
      <c r="E16" s="20"/>
      <c r="F16" s="20"/>
      <c r="G16" s="38"/>
      <c r="H16" s="38"/>
      <c r="I16" s="20"/>
      <c r="K16" s="3"/>
      <c r="L16" s="3"/>
      <c r="M16" s="3"/>
      <c r="N16" s="3"/>
    </row>
    <row r="17" spans="1:17" x14ac:dyDescent="0.25">
      <c r="A17" s="3" t="s">
        <v>110</v>
      </c>
      <c r="B17" s="3"/>
      <c r="C17" s="34">
        <f>'2021 WNO2SF FINANCIAL STATEMENT'!D147</f>
        <v>1567909.31</v>
      </c>
      <c r="D17" s="34">
        <f>'2021 WNO2SF FINANCIAL STATEMENT'!F147</f>
        <v>1273767</v>
      </c>
      <c r="E17" s="3">
        <f>'2021 WNO2SF FINANCIAL STATEMENT'!F303</f>
        <v>1273767</v>
      </c>
      <c r="F17" s="34" t="e">
        <f>#REF!</f>
        <v>#REF!</v>
      </c>
      <c r="G17" s="34" t="e">
        <f>#REF!</f>
        <v>#REF!</v>
      </c>
      <c r="H17" s="34" t="e">
        <f>#REF!</f>
        <v>#REF!</v>
      </c>
      <c r="I17" s="3" t="e">
        <f>#REF!</f>
        <v>#REF!</v>
      </c>
      <c r="J17" s="33">
        <v>614744</v>
      </c>
      <c r="K17" s="5">
        <v>586455</v>
      </c>
      <c r="L17" s="5" t="e">
        <f>#REF!</f>
        <v>#REF!</v>
      </c>
      <c r="M17" s="5"/>
      <c r="N17" s="5">
        <v>417216</v>
      </c>
    </row>
    <row r="18" spans="1:17" x14ac:dyDescent="0.25">
      <c r="A18" s="3" t="s">
        <v>530</v>
      </c>
      <c r="B18" s="3"/>
      <c r="C18" s="34">
        <f>'2021 WNO2SF FINANCIAL STATEMENT'!D174</f>
        <v>709690</v>
      </c>
      <c r="D18" s="3">
        <v>0</v>
      </c>
      <c r="E18" s="3"/>
      <c r="F18" s="34"/>
      <c r="G18" s="34"/>
      <c r="H18" s="34"/>
      <c r="I18" s="3"/>
      <c r="J18" s="3"/>
      <c r="K18" s="5"/>
      <c r="L18" s="5"/>
      <c r="M18" s="5"/>
      <c r="N18" s="5"/>
    </row>
    <row r="19" spans="1:17" x14ac:dyDescent="0.25">
      <c r="A19" s="3" t="s">
        <v>116</v>
      </c>
      <c r="B19" s="3"/>
      <c r="C19" s="34">
        <v>15000</v>
      </c>
      <c r="D19" s="3">
        <v>15000</v>
      </c>
      <c r="E19" s="3">
        <v>15000</v>
      </c>
      <c r="F19" s="34" t="e">
        <f>#REF!</f>
        <v>#REF!</v>
      </c>
      <c r="G19" s="34" t="e">
        <f>#REF!</f>
        <v>#REF!</v>
      </c>
      <c r="H19" s="34" t="e">
        <f>#REF!</f>
        <v>#REF!</v>
      </c>
      <c r="I19" s="3">
        <v>15000</v>
      </c>
      <c r="J19" s="3">
        <v>15000</v>
      </c>
      <c r="K19" s="5">
        <v>15000</v>
      </c>
      <c r="L19" s="5">
        <v>15000</v>
      </c>
      <c r="M19" s="5"/>
      <c r="N19" s="5">
        <v>15000</v>
      </c>
    </row>
    <row r="20" spans="1:17" x14ac:dyDescent="0.25">
      <c r="A20" s="3" t="s">
        <v>112</v>
      </c>
      <c r="B20" s="3"/>
      <c r="C20" s="34"/>
      <c r="D20" s="3"/>
      <c r="E20" s="3"/>
      <c r="F20" s="34"/>
      <c r="G20" s="34"/>
      <c r="H20" s="34"/>
      <c r="I20" s="3"/>
      <c r="J20" s="3"/>
      <c r="K20" s="5"/>
      <c r="L20" s="5"/>
      <c r="M20" s="5"/>
      <c r="N20" s="5"/>
    </row>
    <row r="21" spans="1:17" x14ac:dyDescent="0.25">
      <c r="A21" s="3" t="s">
        <v>258</v>
      </c>
      <c r="B21" s="3"/>
      <c r="C21" s="3">
        <f>SUM(C17:C19)</f>
        <v>2292599.31</v>
      </c>
      <c r="D21" s="3">
        <f>SUM(D17:D19)</f>
        <v>1288767</v>
      </c>
      <c r="E21" s="3">
        <f>SUM(E17:E19)</f>
        <v>1288767</v>
      </c>
      <c r="F21" s="57" t="e">
        <f t="shared" ref="F21" si="0">SUM(F17:F20)</f>
        <v>#REF!</v>
      </c>
      <c r="G21" s="57" t="e">
        <f t="shared" ref="G21:L21" si="1">SUM(G17:G20)</f>
        <v>#REF!</v>
      </c>
      <c r="H21" s="57" t="e">
        <f t="shared" si="1"/>
        <v>#REF!</v>
      </c>
      <c r="I21" s="161" t="e">
        <f t="shared" si="1"/>
        <v>#REF!</v>
      </c>
      <c r="J21" s="35">
        <f t="shared" si="1"/>
        <v>629744</v>
      </c>
      <c r="K21" s="35">
        <f t="shared" si="1"/>
        <v>601455</v>
      </c>
      <c r="L21" s="35" t="e">
        <f t="shared" si="1"/>
        <v>#REF!</v>
      </c>
      <c r="M21" s="35"/>
      <c r="N21" s="35">
        <f>SUM(N17:N20)</f>
        <v>432216</v>
      </c>
    </row>
    <row r="22" spans="1:17" x14ac:dyDescent="0.25">
      <c r="A22" s="3"/>
      <c r="B22" s="3"/>
      <c r="C22" s="34"/>
      <c r="D22" s="3"/>
      <c r="E22" s="3"/>
      <c r="F22" s="34"/>
      <c r="G22" s="34"/>
      <c r="H22" s="34"/>
      <c r="I22" s="3"/>
      <c r="J22" s="3"/>
      <c r="K22" s="5"/>
      <c r="L22" s="5"/>
      <c r="M22" s="5"/>
      <c r="N22" s="5"/>
    </row>
    <row r="23" spans="1:17" x14ac:dyDescent="0.25">
      <c r="A23" s="3"/>
      <c r="B23" s="3"/>
      <c r="C23" s="34"/>
      <c r="D23" s="3"/>
      <c r="E23" s="3"/>
      <c r="F23" s="34"/>
      <c r="G23" s="34"/>
      <c r="H23" s="34"/>
      <c r="I23" s="3"/>
      <c r="J23" s="3"/>
      <c r="K23" s="5"/>
      <c r="L23" s="5"/>
      <c r="M23" s="5"/>
      <c r="N23" s="5"/>
    </row>
    <row r="24" spans="1:17" x14ac:dyDescent="0.25">
      <c r="A24" s="142" t="s">
        <v>115</v>
      </c>
      <c r="B24" s="142"/>
      <c r="C24" s="57">
        <f>C12-C21</f>
        <v>802564.35999999987</v>
      </c>
      <c r="D24" s="142">
        <f>D12-D21</f>
        <v>307184</v>
      </c>
      <c r="E24" s="142">
        <f>E12-E21</f>
        <v>307173</v>
      </c>
      <c r="F24" s="57" t="e">
        <f t="shared" ref="F24" si="2">F12-F21</f>
        <v>#REF!</v>
      </c>
      <c r="G24" s="57" t="e">
        <f t="shared" ref="G24:L24" si="3">G12-G21</f>
        <v>#REF!</v>
      </c>
      <c r="H24" s="57" t="e">
        <f t="shared" si="3"/>
        <v>#REF!</v>
      </c>
      <c r="I24" s="161" t="e">
        <f t="shared" si="3"/>
        <v>#REF!</v>
      </c>
      <c r="J24" s="161">
        <f t="shared" si="3"/>
        <v>88284</v>
      </c>
      <c r="K24" s="35">
        <f t="shared" si="3"/>
        <v>-4795</v>
      </c>
      <c r="L24" s="35" t="e">
        <f t="shared" si="3"/>
        <v>#REF!</v>
      </c>
      <c r="M24" s="35"/>
      <c r="N24" s="35">
        <f>N12-N21</f>
        <v>51096</v>
      </c>
    </row>
    <row r="25" spans="1:17" x14ac:dyDescent="0.25">
      <c r="A25" s="3"/>
      <c r="B25" s="3"/>
      <c r="C25" s="34"/>
      <c r="D25" s="3"/>
      <c r="E25" s="3"/>
      <c r="F25" s="3"/>
      <c r="G25" s="34"/>
      <c r="H25" s="34"/>
      <c r="I25" s="3"/>
      <c r="J25" s="3"/>
      <c r="K25" s="5"/>
      <c r="L25" s="5"/>
      <c r="M25" s="5"/>
      <c r="N25" s="5"/>
    </row>
    <row r="26" spans="1:17" x14ac:dyDescent="0.25">
      <c r="A26" s="3"/>
      <c r="B26" s="3"/>
      <c r="C26" s="34"/>
      <c r="D26" s="3"/>
      <c r="E26" s="3"/>
      <c r="F26" s="3"/>
      <c r="G26" s="34"/>
      <c r="H26" s="34"/>
      <c r="I26" s="3"/>
      <c r="J26" s="3"/>
      <c r="K26" s="5"/>
      <c r="L26" s="5"/>
      <c r="M26" s="5"/>
      <c r="N26" s="5"/>
    </row>
    <row r="27" spans="1:17" x14ac:dyDescent="0.25">
      <c r="A27" s="49" t="s">
        <v>117</v>
      </c>
      <c r="B27" s="49"/>
      <c r="C27" s="160"/>
      <c r="D27" s="49"/>
      <c r="E27" s="49"/>
      <c r="F27" s="49"/>
      <c r="G27" s="160"/>
      <c r="H27" s="160"/>
      <c r="I27" s="49"/>
      <c r="J27" s="49"/>
      <c r="K27" s="5"/>
      <c r="L27" s="5"/>
      <c r="M27" s="5"/>
      <c r="N27" s="5"/>
    </row>
    <row r="28" spans="1:17" x14ac:dyDescent="0.25">
      <c r="A28" s="3"/>
      <c r="B28" s="3"/>
      <c r="C28" s="34"/>
      <c r="D28" s="3"/>
      <c r="E28" s="3"/>
      <c r="F28" s="3"/>
      <c r="G28" s="34"/>
      <c r="H28" s="34"/>
      <c r="I28" s="3"/>
      <c r="J28" s="3"/>
      <c r="K28" s="5"/>
      <c r="L28" s="5"/>
      <c r="M28" s="5"/>
      <c r="N28" s="5"/>
    </row>
    <row r="29" spans="1:17" x14ac:dyDescent="0.25">
      <c r="A29" s="3" t="s">
        <v>118</v>
      </c>
      <c r="B29" s="3"/>
      <c r="C29" s="34">
        <f t="shared" ref="C29:D29" si="4">C24</f>
        <v>802564.35999999987</v>
      </c>
      <c r="D29" s="34">
        <f t="shared" si="4"/>
        <v>307184</v>
      </c>
      <c r="E29" s="34">
        <f t="shared" ref="E29:J29" si="5">E24</f>
        <v>307173</v>
      </c>
      <c r="F29" s="34" t="e">
        <f t="shared" si="5"/>
        <v>#REF!</v>
      </c>
      <c r="G29" s="34" t="e">
        <f t="shared" si="5"/>
        <v>#REF!</v>
      </c>
      <c r="H29" s="34" t="e">
        <f t="shared" si="5"/>
        <v>#REF!</v>
      </c>
      <c r="I29" s="36" t="e">
        <f t="shared" si="5"/>
        <v>#REF!</v>
      </c>
      <c r="J29" s="36">
        <f t="shared" si="5"/>
        <v>88284</v>
      </c>
      <c r="K29" s="5" t="s">
        <v>259</v>
      </c>
      <c r="L29" s="5" t="e">
        <f>L24</f>
        <v>#REF!</v>
      </c>
      <c r="M29" s="5"/>
      <c r="N29" s="5">
        <f>N24</f>
        <v>51096</v>
      </c>
    </row>
    <row r="30" spans="1:17" x14ac:dyDescent="0.25">
      <c r="A30" s="3"/>
      <c r="B30" s="3"/>
      <c r="C30" s="34"/>
      <c r="D30" s="34"/>
      <c r="E30" s="34"/>
      <c r="F30" s="34"/>
      <c r="G30" s="34"/>
      <c r="H30" s="34"/>
      <c r="I30" s="3"/>
      <c r="J30" s="3"/>
      <c r="K30" s="5"/>
      <c r="L30" s="5"/>
      <c r="M30" s="5"/>
      <c r="N30" s="5"/>
    </row>
    <row r="31" spans="1:17" x14ac:dyDescent="0.25">
      <c r="A31" s="3" t="s">
        <v>119</v>
      </c>
      <c r="B31" s="3"/>
      <c r="C31" s="34">
        <f t="shared" ref="C31:D31" si="6">-C29/3</f>
        <v>-267521.45333333331</v>
      </c>
      <c r="D31" s="34">
        <f t="shared" si="6"/>
        <v>-102394.66666666667</v>
      </c>
      <c r="E31" s="34">
        <f t="shared" ref="E31:J31" si="7">-E29/3</f>
        <v>-102391</v>
      </c>
      <c r="F31" s="34" t="e">
        <f t="shared" si="7"/>
        <v>#REF!</v>
      </c>
      <c r="G31" s="34" t="e">
        <f t="shared" si="7"/>
        <v>#REF!</v>
      </c>
      <c r="H31" s="34" t="e">
        <f t="shared" si="7"/>
        <v>#REF!</v>
      </c>
      <c r="I31" s="5" t="e">
        <f t="shared" si="7"/>
        <v>#REF!</v>
      </c>
      <c r="J31" s="5">
        <f t="shared" si="7"/>
        <v>-29428</v>
      </c>
      <c r="K31" s="5" t="s">
        <v>259</v>
      </c>
      <c r="L31" s="5" t="e">
        <f>-L29/3</f>
        <v>#REF!</v>
      </c>
      <c r="M31" s="5"/>
      <c r="N31" s="5">
        <f>-N29/3</f>
        <v>-17032</v>
      </c>
      <c r="Q31">
        <v>152444</v>
      </c>
    </row>
    <row r="32" spans="1:17" x14ac:dyDescent="0.25">
      <c r="A32" s="3"/>
      <c r="B32" s="3"/>
      <c r="C32" s="34"/>
      <c r="D32" s="34"/>
      <c r="E32" s="34"/>
      <c r="F32" s="34"/>
      <c r="G32" s="34"/>
      <c r="H32" s="34"/>
      <c r="I32" s="3"/>
      <c r="J32" s="3"/>
      <c r="K32" s="5"/>
      <c r="L32" s="3"/>
      <c r="M32" s="3"/>
      <c r="N32" s="3"/>
      <c r="Q32">
        <v>19481</v>
      </c>
    </row>
    <row r="33" spans="1:17" x14ac:dyDescent="0.25">
      <c r="A33" s="3" t="s">
        <v>120</v>
      </c>
      <c r="B33" s="3"/>
      <c r="C33" s="34">
        <f t="shared" ref="C33:D33" si="8">SUM(C29:C31)</f>
        <v>535042.9066666665</v>
      </c>
      <c r="D33" s="34">
        <f t="shared" si="8"/>
        <v>204789.33333333331</v>
      </c>
      <c r="E33" s="34">
        <f t="shared" ref="E33:J33" si="9">SUM(E29:E31)</f>
        <v>204782</v>
      </c>
      <c r="F33" s="34" t="e">
        <f t="shared" si="9"/>
        <v>#REF!</v>
      </c>
      <c r="G33" s="34" t="e">
        <f t="shared" si="9"/>
        <v>#REF!</v>
      </c>
      <c r="H33" s="34" t="e">
        <f t="shared" si="9"/>
        <v>#REF!</v>
      </c>
      <c r="I33" s="5" t="e">
        <f t="shared" si="9"/>
        <v>#REF!</v>
      </c>
      <c r="J33" s="5">
        <f t="shared" si="9"/>
        <v>58856</v>
      </c>
      <c r="K33" s="5" t="s">
        <v>259</v>
      </c>
      <c r="L33" s="5" t="e">
        <f>SUM(L29:L31)</f>
        <v>#REF!</v>
      </c>
      <c r="M33" s="5"/>
      <c r="N33" s="5">
        <f>SUM(N29:N31)</f>
        <v>34064</v>
      </c>
      <c r="Q33">
        <v>-96168</v>
      </c>
    </row>
    <row r="34" spans="1:17" x14ac:dyDescent="0.25">
      <c r="A34" s="3"/>
      <c r="B34" s="3"/>
      <c r="C34" s="34"/>
      <c r="D34" s="34"/>
      <c r="E34" s="34"/>
      <c r="F34" s="34"/>
      <c r="G34" s="34"/>
      <c r="H34" s="34"/>
      <c r="I34" s="5"/>
      <c r="J34" s="5"/>
      <c r="K34" s="5"/>
      <c r="L34" s="5"/>
      <c r="M34" s="5"/>
      <c r="N34" s="5"/>
      <c r="Q34">
        <f>SUM(Q31:Q33)</f>
        <v>75757</v>
      </c>
    </row>
    <row r="35" spans="1:17" x14ac:dyDescent="0.25">
      <c r="A35" s="3" t="s">
        <v>121</v>
      </c>
      <c r="B35" s="3"/>
      <c r="C35" s="34">
        <f t="shared" ref="C35:D35" si="10">C33*0.15</f>
        <v>80256.435999999972</v>
      </c>
      <c r="D35" s="34">
        <f t="shared" si="10"/>
        <v>30718.399999999994</v>
      </c>
      <c r="E35" s="34">
        <f t="shared" ref="E35:J35" si="11">E33*0.15</f>
        <v>30717.3</v>
      </c>
      <c r="F35" s="34" t="e">
        <f t="shared" si="11"/>
        <v>#REF!</v>
      </c>
      <c r="G35" s="34" t="e">
        <f t="shared" si="11"/>
        <v>#REF!</v>
      </c>
      <c r="H35" s="34" t="e">
        <f t="shared" si="11"/>
        <v>#REF!</v>
      </c>
      <c r="I35" s="5" t="e">
        <f t="shared" si="11"/>
        <v>#REF!</v>
      </c>
      <c r="J35" s="5">
        <f t="shared" si="11"/>
        <v>8828.4</v>
      </c>
      <c r="K35" s="5" t="s">
        <v>259</v>
      </c>
      <c r="L35" s="5" t="e">
        <f>L33*0.15</f>
        <v>#REF!</v>
      </c>
      <c r="M35" s="5"/>
      <c r="N35" s="5">
        <f>N33*0.15</f>
        <v>5109.5999999999995</v>
      </c>
    </row>
    <row r="36" spans="1:17" x14ac:dyDescent="0.25">
      <c r="L36" s="2"/>
      <c r="M36" s="2"/>
      <c r="N36" s="2"/>
    </row>
    <row r="37" spans="1:17" x14ac:dyDescent="0.25">
      <c r="L37" s="2"/>
      <c r="M37" s="2"/>
      <c r="N37" s="2"/>
    </row>
  </sheetData>
  <pageMargins left="0.70866141732283472" right="0.70866141732283472" top="0.74803149606299213" bottom="0.74803149606299213" header="0.31496062992125984" footer="0.31496062992125984"/>
  <pageSetup paperSize="9" scale="31" orientation="portrait" r:id="rId1"/>
  <headerFooter>
    <oddFooter>&amp;L&amp;F&amp;C&amp;D&amp;R&amp;A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F334"/>
  <sheetViews>
    <sheetView topLeftCell="A58" workbookViewId="0">
      <selection activeCell="E86" sqref="E86"/>
    </sheetView>
  </sheetViews>
  <sheetFormatPr defaultRowHeight="15" x14ac:dyDescent="0.25"/>
  <cols>
    <col min="1" max="1" width="27.28515625" customWidth="1"/>
    <col min="4" max="4" width="12.5703125" bestFit="1" customWidth="1"/>
  </cols>
  <sheetData>
    <row r="1" spans="1:4" ht="14.45" x14ac:dyDescent="0.3">
      <c r="A1" s="8" t="s">
        <v>0</v>
      </c>
      <c r="B1" s="3"/>
      <c r="C1" s="3"/>
      <c r="D1" s="3"/>
    </row>
    <row r="2" spans="1:4" ht="14.45" x14ac:dyDescent="0.3">
      <c r="A2" s="3"/>
      <c r="B2" s="4" t="s">
        <v>8</v>
      </c>
      <c r="C2" s="4" t="s">
        <v>33</v>
      </c>
      <c r="D2" s="4" t="s">
        <v>9</v>
      </c>
    </row>
    <row r="3" spans="1:4" ht="14.45" x14ac:dyDescent="0.3">
      <c r="A3" s="9" t="s">
        <v>1</v>
      </c>
      <c r="B3" s="3"/>
      <c r="C3" s="3"/>
      <c r="D3" s="3"/>
    </row>
    <row r="4" spans="1:4" ht="14.45" x14ac:dyDescent="0.3">
      <c r="A4" s="3" t="s">
        <v>5</v>
      </c>
      <c r="B4" s="3">
        <v>10000</v>
      </c>
      <c r="C4" s="3"/>
      <c r="D4" s="40">
        <v>27935</v>
      </c>
    </row>
    <row r="5" spans="1:4" ht="14.45" x14ac:dyDescent="0.3">
      <c r="A5" s="3" t="s">
        <v>3</v>
      </c>
      <c r="B5" s="3"/>
      <c r="C5" s="3"/>
      <c r="D5" s="5">
        <v>0</v>
      </c>
    </row>
    <row r="6" spans="1:4" ht="14.45" x14ac:dyDescent="0.3">
      <c r="A6" s="3" t="s">
        <v>3</v>
      </c>
      <c r="B6" s="3"/>
      <c r="C6" s="3"/>
      <c r="D6" s="5">
        <v>0</v>
      </c>
    </row>
    <row r="7" spans="1:4" ht="14.45" x14ac:dyDescent="0.3">
      <c r="A7" s="3" t="s">
        <v>4</v>
      </c>
      <c r="B7" s="3"/>
      <c r="C7" s="3"/>
      <c r="D7" s="5">
        <v>0</v>
      </c>
    </row>
    <row r="8" spans="1:4" ht="14.45" x14ac:dyDescent="0.3">
      <c r="A8" s="3" t="s">
        <v>6</v>
      </c>
      <c r="B8" s="3"/>
      <c r="C8" s="3"/>
      <c r="D8" s="5">
        <f>SUM(D4:D7)</f>
        <v>27935</v>
      </c>
    </row>
    <row r="9" spans="1:4" ht="14.45" x14ac:dyDescent="0.3">
      <c r="A9" s="3"/>
      <c r="B9" s="3"/>
      <c r="C9" s="3"/>
      <c r="D9" s="5"/>
    </row>
    <row r="10" spans="1:4" ht="14.45" x14ac:dyDescent="0.3">
      <c r="A10" s="3" t="s">
        <v>7</v>
      </c>
      <c r="B10" s="3">
        <v>10000</v>
      </c>
      <c r="C10" s="3">
        <v>1.2</v>
      </c>
      <c r="D10" s="5">
        <f>C10*B10</f>
        <v>12000</v>
      </c>
    </row>
    <row r="11" spans="1:4" ht="14.45" x14ac:dyDescent="0.3">
      <c r="A11" s="3" t="s">
        <v>2</v>
      </c>
      <c r="B11" s="3"/>
      <c r="C11" s="3"/>
      <c r="D11" s="5">
        <v>21000</v>
      </c>
    </row>
    <row r="12" spans="1:4" ht="14.45" x14ac:dyDescent="0.3">
      <c r="A12" s="3" t="s">
        <v>15</v>
      </c>
      <c r="B12" s="3"/>
      <c r="C12" s="3"/>
      <c r="D12" s="5">
        <f>D10-D11</f>
        <v>-9000</v>
      </c>
    </row>
    <row r="13" spans="1:4" ht="14.45" x14ac:dyDescent="0.3">
      <c r="A13" s="3"/>
      <c r="B13" s="3"/>
      <c r="C13" s="3"/>
      <c r="D13" s="5"/>
    </row>
    <row r="14" spans="1:4" ht="14.45" x14ac:dyDescent="0.3">
      <c r="A14" s="3" t="s">
        <v>10</v>
      </c>
      <c r="B14" s="3"/>
      <c r="C14" s="3"/>
      <c r="D14" s="5">
        <v>700</v>
      </c>
    </row>
    <row r="15" spans="1:4" ht="14.45" x14ac:dyDescent="0.3">
      <c r="A15" s="3" t="s">
        <v>11</v>
      </c>
      <c r="B15" s="3"/>
      <c r="C15" s="3"/>
      <c r="D15" s="11">
        <f>D14/D8</f>
        <v>2.5058170753534992E-2</v>
      </c>
    </row>
    <row r="16" spans="1:4" ht="14.45" x14ac:dyDescent="0.3">
      <c r="A16" s="3" t="s">
        <v>12</v>
      </c>
      <c r="B16" s="3"/>
      <c r="C16" s="3"/>
      <c r="D16" s="11">
        <f>D14/D10</f>
        <v>5.8333333333333334E-2</v>
      </c>
    </row>
    <row r="17" spans="1:6" ht="14.45" x14ac:dyDescent="0.3">
      <c r="A17" s="3"/>
      <c r="B17" s="3"/>
      <c r="C17" s="3"/>
      <c r="D17" s="5"/>
    </row>
    <row r="18" spans="1:6" ht="14.45" x14ac:dyDescent="0.3">
      <c r="A18" s="3" t="s">
        <v>13</v>
      </c>
      <c r="B18" s="3"/>
      <c r="C18" s="3"/>
      <c r="D18" s="11">
        <f>D12/D11</f>
        <v>-0.42857142857142855</v>
      </c>
    </row>
    <row r="19" spans="1:6" ht="14.45" x14ac:dyDescent="0.3">
      <c r="A19" s="3" t="s">
        <v>34</v>
      </c>
      <c r="B19" s="3"/>
      <c r="C19" s="3"/>
      <c r="D19" s="5">
        <f>D8-D10</f>
        <v>15935</v>
      </c>
    </row>
    <row r="20" spans="1:6" x14ac:dyDescent="0.25">
      <c r="A20" s="6"/>
      <c r="B20" s="6"/>
      <c r="C20" s="6"/>
      <c r="D20" s="7"/>
    </row>
    <row r="21" spans="1:6" x14ac:dyDescent="0.25">
      <c r="A21" s="9" t="s">
        <v>16</v>
      </c>
      <c r="B21" s="3"/>
      <c r="C21" s="3"/>
      <c r="D21" s="5"/>
    </row>
    <row r="22" spans="1:6" x14ac:dyDescent="0.25">
      <c r="A22" s="3" t="s">
        <v>5</v>
      </c>
      <c r="B22" s="3">
        <v>2000</v>
      </c>
      <c r="C22" s="3"/>
      <c r="D22" s="5">
        <v>54826</v>
      </c>
      <c r="E22">
        <v>40178</v>
      </c>
    </row>
    <row r="23" spans="1:6" x14ac:dyDescent="0.25">
      <c r="A23" s="3" t="s">
        <v>3</v>
      </c>
      <c r="B23" s="3">
        <v>0</v>
      </c>
      <c r="C23" s="3"/>
      <c r="D23" s="5">
        <v>0</v>
      </c>
    </row>
    <row r="24" spans="1:6" x14ac:dyDescent="0.25">
      <c r="A24" s="3" t="s">
        <v>3</v>
      </c>
      <c r="B24" s="3">
        <v>0</v>
      </c>
      <c r="C24" s="3"/>
      <c r="D24" s="5">
        <v>0</v>
      </c>
    </row>
    <row r="25" spans="1:6" x14ac:dyDescent="0.25">
      <c r="A25" s="3" t="s">
        <v>4</v>
      </c>
      <c r="B25" s="3">
        <v>260</v>
      </c>
      <c r="C25" s="3"/>
      <c r="D25" s="5">
        <v>9637</v>
      </c>
      <c r="F25">
        <v>9637</v>
      </c>
    </row>
    <row r="26" spans="1:6" x14ac:dyDescent="0.25">
      <c r="A26" s="3" t="s">
        <v>6</v>
      </c>
      <c r="B26" s="3"/>
      <c r="C26" s="3"/>
      <c r="D26" s="5">
        <f>SUM(D22:D25)</f>
        <v>64463</v>
      </c>
    </row>
    <row r="27" spans="1:6" x14ac:dyDescent="0.25">
      <c r="A27" s="3"/>
      <c r="B27" s="3"/>
      <c r="C27" s="3"/>
      <c r="D27" s="5"/>
    </row>
    <row r="28" spans="1:6" x14ac:dyDescent="0.25">
      <c r="A28" s="3" t="s">
        <v>7</v>
      </c>
      <c r="B28" s="3">
        <v>2260</v>
      </c>
      <c r="C28" s="3">
        <v>43.8</v>
      </c>
      <c r="D28" s="5">
        <f>C28*B28</f>
        <v>98988</v>
      </c>
    </row>
    <row r="29" spans="1:6" x14ac:dyDescent="0.25">
      <c r="A29" s="3" t="s">
        <v>2</v>
      </c>
      <c r="B29" s="3"/>
      <c r="C29" s="3"/>
      <c r="D29" s="5">
        <v>75301</v>
      </c>
    </row>
    <row r="30" spans="1:6" x14ac:dyDescent="0.25">
      <c r="A30" s="3" t="s">
        <v>17</v>
      </c>
      <c r="B30" s="3"/>
      <c r="C30" s="3"/>
      <c r="D30" s="5">
        <f>(D23+D24+D25)</f>
        <v>9637</v>
      </c>
    </row>
    <row r="31" spans="1:6" x14ac:dyDescent="0.25">
      <c r="A31" s="3" t="s">
        <v>15</v>
      </c>
      <c r="B31" s="3"/>
      <c r="C31" s="3"/>
      <c r="D31" s="5">
        <f>D28-D29-D30</f>
        <v>14050</v>
      </c>
    </row>
    <row r="32" spans="1:6" x14ac:dyDescent="0.25">
      <c r="A32" s="3"/>
      <c r="B32" s="3"/>
      <c r="C32" s="3"/>
      <c r="D32" s="5"/>
    </row>
    <row r="33" spans="1:6" x14ac:dyDescent="0.25">
      <c r="A33" s="3" t="s">
        <v>10</v>
      </c>
      <c r="B33" s="3"/>
      <c r="C33" s="3"/>
      <c r="D33" s="5">
        <v>2138</v>
      </c>
    </row>
    <row r="34" spans="1:6" x14ac:dyDescent="0.25">
      <c r="A34" s="3" t="s">
        <v>11</v>
      </c>
      <c r="B34" s="3"/>
      <c r="C34" s="3"/>
      <c r="D34" s="11">
        <f>D33/D26</f>
        <v>3.3166312458309415E-2</v>
      </c>
    </row>
    <row r="35" spans="1:6" x14ac:dyDescent="0.25">
      <c r="A35" s="3" t="s">
        <v>12</v>
      </c>
      <c r="B35" s="3"/>
      <c r="C35" s="3"/>
      <c r="D35" s="11">
        <f>D33/D29</f>
        <v>2.839271722819086E-2</v>
      </c>
    </row>
    <row r="36" spans="1:6" x14ac:dyDescent="0.25">
      <c r="A36" s="3"/>
      <c r="B36" s="3"/>
      <c r="C36" s="3"/>
      <c r="D36" s="5"/>
    </row>
    <row r="37" spans="1:6" x14ac:dyDescent="0.25">
      <c r="A37" s="3" t="s">
        <v>13</v>
      </c>
      <c r="B37" s="3"/>
      <c r="C37" s="3"/>
      <c r="D37" s="11">
        <f>D31/D29</f>
        <v>0.18658450750986041</v>
      </c>
    </row>
    <row r="38" spans="1:6" x14ac:dyDescent="0.25">
      <c r="A38" s="3" t="s">
        <v>14</v>
      </c>
      <c r="B38" s="3"/>
      <c r="C38" s="3"/>
      <c r="D38" s="5">
        <f>D28-D26</f>
        <v>34525</v>
      </c>
    </row>
    <row r="39" spans="1:6" x14ac:dyDescent="0.25">
      <c r="A39" s="6"/>
      <c r="B39" s="6"/>
      <c r="C39" s="6"/>
      <c r="D39" s="7"/>
    </row>
    <row r="40" spans="1:6" x14ac:dyDescent="0.25">
      <c r="A40" s="10" t="s">
        <v>18</v>
      </c>
      <c r="B40" s="3"/>
      <c r="C40" s="3"/>
      <c r="D40" s="5"/>
    </row>
    <row r="41" spans="1:6" x14ac:dyDescent="0.25">
      <c r="A41" s="3" t="s">
        <v>5</v>
      </c>
      <c r="B41" s="3">
        <v>2176</v>
      </c>
      <c r="C41" s="3"/>
      <c r="D41" s="5">
        <v>80336</v>
      </c>
      <c r="E41">
        <v>77419</v>
      </c>
    </row>
    <row r="42" spans="1:6" x14ac:dyDescent="0.25">
      <c r="A42" s="3" t="s">
        <v>3</v>
      </c>
      <c r="B42" s="3">
        <v>71</v>
      </c>
      <c r="C42" s="3"/>
      <c r="D42" s="5">
        <v>3674</v>
      </c>
      <c r="F42">
        <v>3674</v>
      </c>
    </row>
    <row r="43" spans="1:6" x14ac:dyDescent="0.25">
      <c r="A43" s="3" t="s">
        <v>3</v>
      </c>
      <c r="B43" s="3">
        <v>56</v>
      </c>
      <c r="C43" s="3"/>
      <c r="D43" s="5">
        <v>2963</v>
      </c>
      <c r="F43">
        <v>2963</v>
      </c>
    </row>
    <row r="44" spans="1:6" x14ac:dyDescent="0.25">
      <c r="A44" s="3" t="s">
        <v>4</v>
      </c>
      <c r="B44" s="3">
        <v>0</v>
      </c>
      <c r="C44" s="3"/>
      <c r="D44" s="5">
        <v>0</v>
      </c>
    </row>
    <row r="45" spans="1:6" x14ac:dyDescent="0.25">
      <c r="A45" s="3" t="s">
        <v>6</v>
      </c>
      <c r="B45" s="3"/>
      <c r="C45" s="3"/>
      <c r="D45" s="5">
        <f>SUM(D41:D44)</f>
        <v>86973</v>
      </c>
    </row>
    <row r="46" spans="1:6" x14ac:dyDescent="0.25">
      <c r="A46" s="3"/>
      <c r="B46" s="3"/>
      <c r="C46" s="3"/>
      <c r="D46" s="5"/>
    </row>
    <row r="47" spans="1:6" x14ac:dyDescent="0.25">
      <c r="A47" s="3" t="s">
        <v>7</v>
      </c>
      <c r="B47" s="3">
        <v>2303</v>
      </c>
      <c r="C47" s="3">
        <v>52.04</v>
      </c>
      <c r="D47" s="5">
        <f>2303*52</f>
        <v>119756</v>
      </c>
    </row>
    <row r="48" spans="1:6" x14ac:dyDescent="0.25">
      <c r="A48" s="3" t="s">
        <v>2</v>
      </c>
      <c r="B48" s="3"/>
      <c r="C48" s="3"/>
      <c r="D48" s="5">
        <v>105841</v>
      </c>
    </row>
    <row r="49" spans="1:6" x14ac:dyDescent="0.25">
      <c r="A49" s="3" t="s">
        <v>17</v>
      </c>
      <c r="B49" s="3"/>
      <c r="C49" s="3"/>
      <c r="D49" s="5">
        <f>D42+D43</f>
        <v>6637</v>
      </c>
    </row>
    <row r="50" spans="1:6" x14ac:dyDescent="0.25">
      <c r="A50" s="3" t="s">
        <v>15</v>
      </c>
      <c r="B50" s="3"/>
      <c r="C50" s="3"/>
      <c r="D50" s="5">
        <f>D47-D48-D49</f>
        <v>7278</v>
      </c>
    </row>
    <row r="51" spans="1:6" x14ac:dyDescent="0.25">
      <c r="A51" s="3"/>
      <c r="B51" s="3"/>
      <c r="C51" s="3"/>
      <c r="D51" s="5"/>
    </row>
    <row r="52" spans="1:6" x14ac:dyDescent="0.25">
      <c r="A52" s="3" t="s">
        <v>10</v>
      </c>
      <c r="B52" s="3"/>
      <c r="C52" s="3"/>
      <c r="D52" s="5">
        <v>6665</v>
      </c>
    </row>
    <row r="53" spans="1:6" x14ac:dyDescent="0.25">
      <c r="A53" s="3" t="s">
        <v>11</v>
      </c>
      <c r="B53" s="3"/>
      <c r="C53" s="3"/>
      <c r="D53" s="11">
        <f>D52/D45</f>
        <v>7.6632978050659398E-2</v>
      </c>
    </row>
    <row r="54" spans="1:6" x14ac:dyDescent="0.25">
      <c r="A54" s="3" t="s">
        <v>12</v>
      </c>
      <c r="B54" s="3"/>
      <c r="C54" s="3"/>
      <c r="D54" s="11">
        <f>D52/D48</f>
        <v>6.2971816214888371E-2</v>
      </c>
    </row>
    <row r="55" spans="1:6" x14ac:dyDescent="0.25">
      <c r="A55" s="3"/>
      <c r="B55" s="3"/>
      <c r="C55" s="3"/>
      <c r="D55" s="5"/>
    </row>
    <row r="56" spans="1:6" x14ac:dyDescent="0.25">
      <c r="A56" s="3" t="s">
        <v>13</v>
      </c>
      <c r="B56" s="3"/>
      <c r="C56" s="3"/>
      <c r="D56" s="11">
        <f>D50/D48</f>
        <v>6.876352264245425E-2</v>
      </c>
    </row>
    <row r="57" spans="1:6" x14ac:dyDescent="0.25">
      <c r="A57" s="3" t="s">
        <v>14</v>
      </c>
      <c r="B57" s="3"/>
      <c r="C57" s="3"/>
      <c r="D57" s="5">
        <f>D47-D45</f>
        <v>32783</v>
      </c>
    </row>
    <row r="58" spans="1:6" x14ac:dyDescent="0.25">
      <c r="A58" s="6"/>
      <c r="B58" s="6"/>
      <c r="C58" s="6"/>
      <c r="D58" s="7"/>
    </row>
    <row r="59" spans="1:6" x14ac:dyDescent="0.25">
      <c r="A59" s="10" t="s">
        <v>19</v>
      </c>
      <c r="B59" s="3"/>
      <c r="C59" s="3"/>
      <c r="D59" s="5"/>
    </row>
    <row r="60" spans="1:6" x14ac:dyDescent="0.25">
      <c r="A60" s="3" t="s">
        <v>5</v>
      </c>
      <c r="B60" s="3"/>
      <c r="C60" s="3"/>
      <c r="D60" s="5">
        <v>21384</v>
      </c>
    </row>
    <row r="61" spans="1:6" x14ac:dyDescent="0.25">
      <c r="A61" s="3" t="s">
        <v>3</v>
      </c>
      <c r="B61" s="3">
        <v>43</v>
      </c>
      <c r="C61" s="3"/>
      <c r="D61" s="5">
        <v>508</v>
      </c>
      <c r="F61">
        <v>508</v>
      </c>
    </row>
    <row r="62" spans="1:6" x14ac:dyDescent="0.25">
      <c r="A62" s="3" t="s">
        <v>3</v>
      </c>
      <c r="B62" s="3">
        <v>62</v>
      </c>
      <c r="C62" s="3"/>
      <c r="D62" s="5">
        <v>718</v>
      </c>
      <c r="F62">
        <v>718</v>
      </c>
    </row>
    <row r="63" spans="1:6" x14ac:dyDescent="0.25">
      <c r="A63" s="3" t="s">
        <v>4</v>
      </c>
      <c r="B63" s="3"/>
      <c r="C63" s="3"/>
      <c r="D63" s="5"/>
    </row>
    <row r="64" spans="1:6" x14ac:dyDescent="0.25">
      <c r="A64" s="3" t="s">
        <v>6</v>
      </c>
      <c r="B64" s="3"/>
      <c r="C64" s="3"/>
      <c r="D64" s="5">
        <f>SUM(D60:D63)</f>
        <v>22610</v>
      </c>
    </row>
    <row r="65" spans="1:4" x14ac:dyDescent="0.25">
      <c r="A65" s="3"/>
      <c r="B65" s="3"/>
      <c r="C65" s="3"/>
      <c r="D65" s="5"/>
    </row>
    <row r="66" spans="1:4" x14ac:dyDescent="0.25">
      <c r="A66" s="3" t="s">
        <v>7</v>
      </c>
      <c r="B66" s="3">
        <v>2607</v>
      </c>
      <c r="C66" s="3">
        <v>11.44</v>
      </c>
      <c r="D66" s="5">
        <f>B66*C66</f>
        <v>29824.079999999998</v>
      </c>
    </row>
    <row r="67" spans="1:4" x14ac:dyDescent="0.25">
      <c r="A67" s="3" t="s">
        <v>2</v>
      </c>
      <c r="B67" s="3"/>
      <c r="C67" s="3"/>
      <c r="D67" s="5">
        <v>29924</v>
      </c>
    </row>
    <row r="68" spans="1:4" x14ac:dyDescent="0.25">
      <c r="A68" s="3" t="s">
        <v>17</v>
      </c>
      <c r="B68" s="3"/>
      <c r="C68" s="3"/>
      <c r="D68" s="5">
        <f>D61+D62</f>
        <v>1226</v>
      </c>
    </row>
    <row r="69" spans="1:4" x14ac:dyDescent="0.25">
      <c r="A69" s="3" t="s">
        <v>15</v>
      </c>
      <c r="B69" s="3"/>
      <c r="C69" s="3"/>
      <c r="D69" s="5">
        <f>+D66-D67-D68</f>
        <v>-1325.9200000000019</v>
      </c>
    </row>
    <row r="70" spans="1:4" x14ac:dyDescent="0.25">
      <c r="A70" s="3"/>
      <c r="B70" s="3"/>
      <c r="C70" s="3"/>
      <c r="D70" s="5"/>
    </row>
    <row r="71" spans="1:4" x14ac:dyDescent="0.25">
      <c r="A71" s="3" t="s">
        <v>10</v>
      </c>
      <c r="B71" s="3"/>
      <c r="C71" s="3"/>
      <c r="D71" s="5">
        <v>1225</v>
      </c>
    </row>
    <row r="72" spans="1:4" x14ac:dyDescent="0.25">
      <c r="A72" s="3" t="s">
        <v>11</v>
      </c>
      <c r="B72" s="3"/>
      <c r="C72" s="3"/>
      <c r="D72" s="11">
        <f>D71/D64</f>
        <v>5.4179566563467493E-2</v>
      </c>
    </row>
    <row r="73" spans="1:4" x14ac:dyDescent="0.25">
      <c r="A73" s="3" t="s">
        <v>12</v>
      </c>
      <c r="B73" s="3"/>
      <c r="C73" s="3"/>
      <c r="D73" s="11">
        <f>D71/D67</f>
        <v>4.0937040502606603E-2</v>
      </c>
    </row>
    <row r="74" spans="1:4" x14ac:dyDescent="0.25">
      <c r="A74" s="3"/>
      <c r="B74" s="3"/>
      <c r="C74" s="3"/>
      <c r="D74" s="5"/>
    </row>
    <row r="75" spans="1:4" x14ac:dyDescent="0.25">
      <c r="A75" s="3" t="s">
        <v>13</v>
      </c>
      <c r="B75" s="3"/>
      <c r="C75" s="3"/>
      <c r="D75" s="11">
        <f>D69/D67</f>
        <v>-4.4309584280176513E-2</v>
      </c>
    </row>
    <row r="76" spans="1:4" x14ac:dyDescent="0.25">
      <c r="A76" s="3" t="s">
        <v>14</v>
      </c>
      <c r="B76" s="3"/>
      <c r="C76" s="3"/>
      <c r="D76" s="5">
        <f>D66-D64</f>
        <v>7214.0799999999981</v>
      </c>
    </row>
    <row r="77" spans="1:4" x14ac:dyDescent="0.25">
      <c r="A77" s="6"/>
      <c r="B77" s="6"/>
      <c r="C77" s="6"/>
      <c r="D77" s="7"/>
    </row>
    <row r="78" spans="1:4" x14ac:dyDescent="0.25">
      <c r="A78" s="10" t="s">
        <v>20</v>
      </c>
      <c r="B78" s="3"/>
      <c r="C78" s="3"/>
      <c r="D78" s="5"/>
    </row>
    <row r="79" spans="1:4" x14ac:dyDescent="0.25">
      <c r="A79" s="3" t="s">
        <v>5</v>
      </c>
      <c r="B79" s="3"/>
      <c r="C79" s="3"/>
      <c r="D79" s="5">
        <v>0</v>
      </c>
    </row>
    <row r="80" spans="1:4" x14ac:dyDescent="0.25">
      <c r="A80" s="3" t="s">
        <v>3</v>
      </c>
      <c r="B80" s="3"/>
      <c r="C80" s="3"/>
      <c r="D80" s="5"/>
    </row>
    <row r="81" spans="1:4" x14ac:dyDescent="0.25">
      <c r="A81" s="3" t="s">
        <v>3</v>
      </c>
      <c r="B81" s="3"/>
      <c r="C81" s="3"/>
      <c r="D81" s="5"/>
    </row>
    <row r="82" spans="1:4" x14ac:dyDescent="0.25">
      <c r="A82" s="3" t="s">
        <v>4</v>
      </c>
      <c r="B82" s="3"/>
      <c r="C82" s="3"/>
      <c r="D82" s="5"/>
    </row>
    <row r="83" spans="1:4" x14ac:dyDescent="0.25">
      <c r="A83" s="3" t="s">
        <v>6</v>
      </c>
      <c r="B83" s="3"/>
      <c r="C83" s="3"/>
      <c r="D83" s="5">
        <f>SUM(D79:D82)</f>
        <v>0</v>
      </c>
    </row>
    <row r="84" spans="1:4" x14ac:dyDescent="0.25">
      <c r="A84" s="3"/>
      <c r="B84" s="3"/>
      <c r="C84" s="3"/>
      <c r="D84" s="5"/>
    </row>
    <row r="85" spans="1:4" x14ac:dyDescent="0.25">
      <c r="A85" s="3" t="s">
        <v>7</v>
      </c>
      <c r="B85" s="3">
        <v>690</v>
      </c>
      <c r="C85" s="3">
        <v>2.83</v>
      </c>
      <c r="D85" s="5">
        <f>B85*C85</f>
        <v>1952.7</v>
      </c>
    </row>
    <row r="86" spans="1:4" x14ac:dyDescent="0.25">
      <c r="A86" s="3" t="s">
        <v>2</v>
      </c>
      <c r="B86" s="3"/>
      <c r="C86" s="3"/>
      <c r="D86" s="5">
        <v>0</v>
      </c>
    </row>
    <row r="87" spans="1:4" x14ac:dyDescent="0.25">
      <c r="A87" s="3" t="s">
        <v>17</v>
      </c>
      <c r="B87" s="3"/>
      <c r="C87" s="3"/>
      <c r="D87" s="5">
        <f>D80+D81</f>
        <v>0</v>
      </c>
    </row>
    <row r="88" spans="1:4" x14ac:dyDescent="0.25">
      <c r="A88" s="3" t="s">
        <v>15</v>
      </c>
      <c r="B88" s="3"/>
      <c r="C88" s="3"/>
      <c r="D88" s="5">
        <f>D85-D86-D87</f>
        <v>1952.7</v>
      </c>
    </row>
    <row r="89" spans="1:4" x14ac:dyDescent="0.25">
      <c r="A89" s="3"/>
      <c r="B89" s="3"/>
      <c r="C89" s="3"/>
      <c r="D89" s="5"/>
    </row>
    <row r="90" spans="1:4" x14ac:dyDescent="0.25">
      <c r="A90" s="3" t="s">
        <v>10</v>
      </c>
      <c r="B90" s="3"/>
      <c r="C90" s="3"/>
      <c r="D90" s="5">
        <v>72</v>
      </c>
    </row>
    <row r="91" spans="1:4" x14ac:dyDescent="0.25">
      <c r="A91" s="3" t="s">
        <v>11</v>
      </c>
      <c r="B91" s="3"/>
      <c r="C91" s="3"/>
      <c r="D91" s="5"/>
    </row>
    <row r="92" spans="1:4" x14ac:dyDescent="0.25">
      <c r="A92" s="3" t="s">
        <v>12</v>
      </c>
      <c r="B92" s="3"/>
      <c r="C92" s="3"/>
      <c r="D92" s="5"/>
    </row>
    <row r="93" spans="1:4" x14ac:dyDescent="0.25">
      <c r="A93" s="3"/>
      <c r="B93" s="3"/>
      <c r="C93" s="3"/>
      <c r="D93" s="5"/>
    </row>
    <row r="94" spans="1:4" x14ac:dyDescent="0.25">
      <c r="A94" s="3" t="s">
        <v>13</v>
      </c>
      <c r="B94" s="3"/>
      <c r="C94" s="3"/>
      <c r="D94" s="5"/>
    </row>
    <row r="95" spans="1:4" x14ac:dyDescent="0.25">
      <c r="A95" s="3" t="s">
        <v>14</v>
      </c>
      <c r="B95" s="3"/>
      <c r="C95" s="3"/>
      <c r="D95" s="5"/>
    </row>
    <row r="96" spans="1:4" x14ac:dyDescent="0.25">
      <c r="A96" s="6"/>
      <c r="B96" s="6"/>
      <c r="C96" s="6"/>
      <c r="D96" s="7"/>
    </row>
    <row r="97" spans="1:6" x14ac:dyDescent="0.25">
      <c r="A97" s="10" t="s">
        <v>21</v>
      </c>
      <c r="B97" s="3"/>
      <c r="C97" s="3"/>
      <c r="D97" s="5"/>
    </row>
    <row r="98" spans="1:6" x14ac:dyDescent="0.25">
      <c r="A98" s="3" t="s">
        <v>5</v>
      </c>
      <c r="B98" s="3"/>
      <c r="C98" s="3"/>
      <c r="D98" s="5">
        <v>6075</v>
      </c>
      <c r="E98">
        <v>7104</v>
      </c>
    </row>
    <row r="99" spans="1:6" x14ac:dyDescent="0.25">
      <c r="A99" s="3" t="s">
        <v>3</v>
      </c>
      <c r="B99" s="3">
        <v>28</v>
      </c>
      <c r="C99" s="3"/>
      <c r="D99" s="5">
        <v>162</v>
      </c>
      <c r="F99">
        <v>162</v>
      </c>
    </row>
    <row r="100" spans="1:6" x14ac:dyDescent="0.25">
      <c r="A100" s="3" t="s">
        <v>3</v>
      </c>
      <c r="B100" s="3">
        <v>23</v>
      </c>
      <c r="C100" s="3"/>
      <c r="D100" s="5">
        <v>130</v>
      </c>
      <c r="F100">
        <v>130</v>
      </c>
    </row>
    <row r="101" spans="1:6" x14ac:dyDescent="0.25">
      <c r="A101" s="3" t="s">
        <v>4</v>
      </c>
      <c r="B101" s="3"/>
      <c r="C101" s="3"/>
      <c r="D101" s="5"/>
    </row>
    <row r="102" spans="1:6" x14ac:dyDescent="0.25">
      <c r="A102" s="3" t="s">
        <v>6</v>
      </c>
      <c r="B102" s="3"/>
      <c r="C102" s="3"/>
      <c r="D102" s="5">
        <f>SUM(D98:D101)</f>
        <v>6367</v>
      </c>
    </row>
    <row r="103" spans="1:6" x14ac:dyDescent="0.25">
      <c r="A103" s="3"/>
      <c r="B103" s="3"/>
      <c r="C103" s="3"/>
      <c r="D103" s="5"/>
    </row>
    <row r="104" spans="1:6" x14ac:dyDescent="0.25">
      <c r="A104" s="3" t="s">
        <v>7</v>
      </c>
      <c r="B104" s="3">
        <v>1101</v>
      </c>
      <c r="C104" s="3">
        <v>5.16</v>
      </c>
      <c r="D104" s="5">
        <f>B104*C104</f>
        <v>5681.16</v>
      </c>
    </row>
    <row r="105" spans="1:6" x14ac:dyDescent="0.25">
      <c r="A105" s="3" t="s">
        <v>2</v>
      </c>
      <c r="B105" s="3"/>
      <c r="C105" s="3"/>
      <c r="D105" s="5">
        <v>5933</v>
      </c>
    </row>
    <row r="106" spans="1:6" x14ac:dyDescent="0.25">
      <c r="A106" s="3" t="s">
        <v>17</v>
      </c>
      <c r="B106" s="3"/>
      <c r="C106" s="3"/>
      <c r="D106" s="5">
        <f>D99+D100</f>
        <v>292</v>
      </c>
    </row>
    <row r="107" spans="1:6" x14ac:dyDescent="0.25">
      <c r="A107" s="3" t="s">
        <v>15</v>
      </c>
      <c r="B107" s="3"/>
      <c r="C107" s="3"/>
      <c r="D107" s="5">
        <f>D104-D105-D106</f>
        <v>-543.84000000000015</v>
      </c>
    </row>
    <row r="108" spans="1:6" x14ac:dyDescent="0.25">
      <c r="A108" s="3"/>
      <c r="B108" s="3"/>
      <c r="C108" s="3"/>
      <c r="D108" s="5"/>
    </row>
    <row r="109" spans="1:6" x14ac:dyDescent="0.25">
      <c r="A109" s="3" t="s">
        <v>10</v>
      </c>
      <c r="B109" s="3"/>
      <c r="C109" s="3"/>
      <c r="D109" s="5">
        <v>289</v>
      </c>
    </row>
    <row r="110" spans="1:6" x14ac:dyDescent="0.25">
      <c r="A110" s="3" t="s">
        <v>11</v>
      </c>
      <c r="B110" s="3"/>
      <c r="C110" s="3"/>
      <c r="D110" s="11"/>
    </row>
    <row r="111" spans="1:6" x14ac:dyDescent="0.25">
      <c r="A111" s="3" t="s">
        <v>12</v>
      </c>
      <c r="B111" s="3"/>
      <c r="C111" s="3"/>
      <c r="D111" s="11">
        <f>D109/D105</f>
        <v>4.8710601719197708E-2</v>
      </c>
    </row>
    <row r="112" spans="1:6" x14ac:dyDescent="0.25">
      <c r="A112" s="3"/>
      <c r="B112" s="3"/>
      <c r="C112" s="3"/>
      <c r="D112" s="5"/>
    </row>
    <row r="113" spans="1:6" x14ac:dyDescent="0.25">
      <c r="A113" s="3" t="s">
        <v>13</v>
      </c>
      <c r="B113" s="3"/>
      <c r="C113" s="3"/>
      <c r="D113" s="11">
        <f>D107/D105</f>
        <v>-9.1663576605427302E-2</v>
      </c>
    </row>
    <row r="114" spans="1:6" x14ac:dyDescent="0.25">
      <c r="A114" s="3" t="s">
        <v>34</v>
      </c>
      <c r="B114" s="3"/>
      <c r="C114" s="3"/>
      <c r="D114" s="5">
        <f>D104-D102</f>
        <v>-685.84000000000015</v>
      </c>
    </row>
    <row r="115" spans="1:6" x14ac:dyDescent="0.25">
      <c r="A115" s="6"/>
      <c r="B115" s="6"/>
      <c r="C115" s="6"/>
      <c r="D115" s="7"/>
    </row>
    <row r="116" spans="1:6" x14ac:dyDescent="0.25">
      <c r="A116" s="10" t="s">
        <v>22</v>
      </c>
      <c r="B116" s="3"/>
      <c r="C116" s="3"/>
      <c r="D116" s="5"/>
    </row>
    <row r="117" spans="1:6" x14ac:dyDescent="0.25">
      <c r="A117" s="3" t="s">
        <v>5</v>
      </c>
      <c r="B117" s="3"/>
      <c r="C117" s="3"/>
      <c r="D117" s="5">
        <v>24560</v>
      </c>
      <c r="E117">
        <v>24458</v>
      </c>
    </row>
    <row r="118" spans="1:6" x14ac:dyDescent="0.25">
      <c r="A118" s="3" t="s">
        <v>3</v>
      </c>
      <c r="B118" s="3"/>
      <c r="C118" s="3"/>
      <c r="D118" s="5">
        <v>0</v>
      </c>
    </row>
    <row r="119" spans="1:6" x14ac:dyDescent="0.25">
      <c r="A119" s="3" t="s">
        <v>3</v>
      </c>
      <c r="B119" s="3"/>
      <c r="C119" s="3"/>
      <c r="D119" s="5">
        <v>0</v>
      </c>
    </row>
    <row r="120" spans="1:6" x14ac:dyDescent="0.25">
      <c r="A120" s="3" t="s">
        <v>4</v>
      </c>
      <c r="B120" s="3"/>
      <c r="C120" s="3"/>
      <c r="D120" s="5">
        <v>1192</v>
      </c>
      <c r="F120">
        <v>1192</v>
      </c>
    </row>
    <row r="121" spans="1:6" x14ac:dyDescent="0.25">
      <c r="A121" s="3" t="s">
        <v>6</v>
      </c>
      <c r="B121" s="3"/>
      <c r="C121" s="3"/>
      <c r="D121" s="5">
        <f>SUM(D117:D120)</f>
        <v>25752</v>
      </c>
    </row>
    <row r="122" spans="1:6" x14ac:dyDescent="0.25">
      <c r="A122" s="3"/>
      <c r="B122" s="3"/>
      <c r="C122" s="3"/>
      <c r="D122" s="5"/>
    </row>
    <row r="123" spans="1:6" x14ac:dyDescent="0.25">
      <c r="A123" s="3" t="s">
        <v>7</v>
      </c>
      <c r="B123" s="3">
        <v>556111</v>
      </c>
      <c r="C123" s="3">
        <v>1.4999999999999999E-2</v>
      </c>
      <c r="D123" s="5">
        <f>B123*C123</f>
        <v>8341.6649999999991</v>
      </c>
    </row>
    <row r="124" spans="1:6" x14ac:dyDescent="0.25">
      <c r="A124" s="3" t="s">
        <v>2</v>
      </c>
      <c r="B124" s="3"/>
      <c r="C124" s="3"/>
      <c r="D124" s="5">
        <v>7150</v>
      </c>
    </row>
    <row r="125" spans="1:6" x14ac:dyDescent="0.25">
      <c r="A125" s="3" t="s">
        <v>17</v>
      </c>
      <c r="B125" s="3"/>
      <c r="C125" s="3"/>
      <c r="D125" s="5">
        <v>1192</v>
      </c>
    </row>
    <row r="126" spans="1:6" x14ac:dyDescent="0.25">
      <c r="A126" s="3" t="s">
        <v>15</v>
      </c>
      <c r="B126" s="3"/>
      <c r="C126" s="3"/>
      <c r="D126" s="5">
        <f>D123-D124-D125</f>
        <v>-0.33500000000094587</v>
      </c>
    </row>
    <row r="127" spans="1:6" x14ac:dyDescent="0.25">
      <c r="A127" s="3"/>
      <c r="B127" s="3"/>
      <c r="C127" s="3"/>
      <c r="D127" s="5"/>
    </row>
    <row r="128" spans="1:6" x14ac:dyDescent="0.25">
      <c r="A128" s="3" t="s">
        <v>10</v>
      </c>
      <c r="B128" s="3"/>
      <c r="C128" s="3"/>
      <c r="D128" s="5">
        <v>0</v>
      </c>
    </row>
    <row r="129" spans="1:6" x14ac:dyDescent="0.25">
      <c r="A129" s="3" t="s">
        <v>11</v>
      </c>
      <c r="B129" s="3"/>
      <c r="C129" s="3"/>
      <c r="D129" s="5">
        <v>0</v>
      </c>
    </row>
    <row r="130" spans="1:6" x14ac:dyDescent="0.25">
      <c r="A130" s="3" t="s">
        <v>12</v>
      </c>
      <c r="B130" s="3"/>
      <c r="C130" s="3"/>
      <c r="D130" s="5">
        <v>0</v>
      </c>
    </row>
    <row r="131" spans="1:6" x14ac:dyDescent="0.25">
      <c r="A131" s="3"/>
      <c r="B131" s="3"/>
      <c r="C131" s="3"/>
      <c r="D131" s="5"/>
    </row>
    <row r="132" spans="1:6" x14ac:dyDescent="0.25">
      <c r="A132" s="3" t="s">
        <v>13</v>
      </c>
      <c r="B132" s="3"/>
      <c r="C132" s="3"/>
      <c r="D132" s="5"/>
    </row>
    <row r="133" spans="1:6" x14ac:dyDescent="0.25">
      <c r="A133" s="3" t="s">
        <v>34</v>
      </c>
      <c r="B133" s="3"/>
      <c r="C133" s="3"/>
      <c r="D133" s="5">
        <f>D123-D121</f>
        <v>-17410.334999999999</v>
      </c>
    </row>
    <row r="134" spans="1:6" x14ac:dyDescent="0.25">
      <c r="A134" s="6"/>
      <c r="B134" s="6"/>
      <c r="C134" s="6"/>
      <c r="D134" s="7"/>
    </row>
    <row r="135" spans="1:6" x14ac:dyDescent="0.25">
      <c r="A135" s="10" t="s">
        <v>23</v>
      </c>
      <c r="B135" s="3"/>
      <c r="C135" s="3"/>
      <c r="D135" s="5"/>
    </row>
    <row r="136" spans="1:6" x14ac:dyDescent="0.25">
      <c r="A136" s="3" t="s">
        <v>5</v>
      </c>
      <c r="B136" s="3"/>
      <c r="C136" s="3"/>
      <c r="D136" s="5">
        <v>7092</v>
      </c>
      <c r="E136">
        <v>9160</v>
      </c>
    </row>
    <row r="137" spans="1:6" x14ac:dyDescent="0.25">
      <c r="A137" s="3" t="s">
        <v>3</v>
      </c>
      <c r="B137" s="3"/>
      <c r="C137" s="3"/>
      <c r="D137" s="5">
        <v>82</v>
      </c>
      <c r="F137">
        <v>82</v>
      </c>
    </row>
    <row r="138" spans="1:6" x14ac:dyDescent="0.25">
      <c r="A138" s="3" t="s">
        <v>3</v>
      </c>
      <c r="B138" s="3">
        <v>47</v>
      </c>
      <c r="C138" s="3"/>
      <c r="D138" s="5">
        <v>159</v>
      </c>
      <c r="F138">
        <v>159</v>
      </c>
    </row>
    <row r="139" spans="1:6" x14ac:dyDescent="0.25">
      <c r="A139" s="3" t="s">
        <v>4</v>
      </c>
      <c r="B139" s="3"/>
      <c r="C139" s="3"/>
      <c r="D139" s="5"/>
    </row>
    <row r="140" spans="1:6" x14ac:dyDescent="0.25">
      <c r="A140" s="3" t="s">
        <v>6</v>
      </c>
      <c r="B140" s="3"/>
      <c r="C140" s="3"/>
      <c r="D140" s="5">
        <f>SUM(D136:D139)</f>
        <v>7333</v>
      </c>
    </row>
    <row r="141" spans="1:6" x14ac:dyDescent="0.25">
      <c r="A141" s="3"/>
      <c r="B141" s="3"/>
      <c r="C141" s="3"/>
      <c r="D141" s="5"/>
    </row>
    <row r="142" spans="1:6" x14ac:dyDescent="0.25">
      <c r="A142" s="3" t="s">
        <v>7</v>
      </c>
      <c r="B142" s="3">
        <v>1835</v>
      </c>
      <c r="C142" s="3">
        <v>3.38</v>
      </c>
      <c r="D142" s="5">
        <f>B142*C142</f>
        <v>6202.3</v>
      </c>
    </row>
    <row r="143" spans="1:6" x14ac:dyDescent="0.25">
      <c r="A143" s="3" t="s">
        <v>2</v>
      </c>
      <c r="B143" s="3"/>
      <c r="C143" s="3"/>
      <c r="D143" s="5">
        <v>6022</v>
      </c>
    </row>
    <row r="144" spans="1:6" x14ac:dyDescent="0.25">
      <c r="A144" s="3" t="s">
        <v>17</v>
      </c>
      <c r="B144" s="3"/>
      <c r="C144" s="3"/>
      <c r="D144" s="5">
        <f>D137+D138</f>
        <v>241</v>
      </c>
    </row>
    <row r="145" spans="1:6" x14ac:dyDescent="0.25">
      <c r="A145" s="3" t="s">
        <v>15</v>
      </c>
      <c r="B145" s="3"/>
      <c r="C145" s="3"/>
      <c r="D145" s="5">
        <f>D142-D143-D144</f>
        <v>-60.699999999999818</v>
      </c>
    </row>
    <row r="146" spans="1:6" x14ac:dyDescent="0.25">
      <c r="A146" s="3"/>
      <c r="B146" s="3"/>
      <c r="C146" s="3"/>
      <c r="D146" s="5"/>
    </row>
    <row r="147" spans="1:6" x14ac:dyDescent="0.25">
      <c r="A147" s="3" t="s">
        <v>10</v>
      </c>
      <c r="B147" s="3"/>
      <c r="C147" s="3"/>
      <c r="D147" s="5">
        <v>240</v>
      </c>
    </row>
    <row r="148" spans="1:6" x14ac:dyDescent="0.25">
      <c r="A148" s="3" t="s">
        <v>11</v>
      </c>
      <c r="B148" s="3"/>
      <c r="C148" s="3"/>
      <c r="D148" s="5"/>
    </row>
    <row r="149" spans="1:6" x14ac:dyDescent="0.25">
      <c r="A149" s="3" t="s">
        <v>12</v>
      </c>
      <c r="B149" s="3"/>
      <c r="C149" s="3"/>
      <c r="D149" s="5"/>
    </row>
    <row r="150" spans="1:6" x14ac:dyDescent="0.25">
      <c r="A150" s="3"/>
      <c r="B150" s="3"/>
      <c r="C150" s="3"/>
      <c r="D150" s="5"/>
    </row>
    <row r="151" spans="1:6" x14ac:dyDescent="0.25">
      <c r="A151" s="3" t="s">
        <v>13</v>
      </c>
      <c r="B151" s="3"/>
      <c r="C151" s="3"/>
      <c r="D151" s="5"/>
    </row>
    <row r="152" spans="1:6" x14ac:dyDescent="0.25">
      <c r="A152" s="3" t="s">
        <v>34</v>
      </c>
      <c r="B152" s="3"/>
      <c r="C152" s="3"/>
      <c r="D152" s="5">
        <f>D142-D140</f>
        <v>-1130.6999999999998</v>
      </c>
    </row>
    <row r="153" spans="1:6" x14ac:dyDescent="0.25">
      <c r="A153" s="6"/>
      <c r="B153" s="6"/>
      <c r="C153" s="6"/>
      <c r="D153" s="7"/>
    </row>
    <row r="154" spans="1:6" x14ac:dyDescent="0.25">
      <c r="A154" s="10" t="s">
        <v>24</v>
      </c>
      <c r="B154" s="3"/>
      <c r="C154" s="3"/>
      <c r="D154" s="5"/>
    </row>
    <row r="155" spans="1:6" x14ac:dyDescent="0.25">
      <c r="A155" s="3" t="s">
        <v>5</v>
      </c>
      <c r="B155" s="3"/>
      <c r="C155" s="3"/>
      <c r="D155" s="5">
        <v>6819</v>
      </c>
    </row>
    <row r="156" spans="1:6" x14ac:dyDescent="0.25">
      <c r="A156" s="3" t="s">
        <v>3</v>
      </c>
      <c r="B156" s="3">
        <v>47</v>
      </c>
      <c r="C156" s="3"/>
      <c r="D156" s="5">
        <v>127</v>
      </c>
      <c r="F156">
        <v>127</v>
      </c>
    </row>
    <row r="157" spans="1:6" x14ac:dyDescent="0.25">
      <c r="A157" s="3" t="s">
        <v>3</v>
      </c>
      <c r="B157" s="3">
        <v>34</v>
      </c>
      <c r="C157" s="3"/>
      <c r="D157" s="5">
        <v>101</v>
      </c>
      <c r="F157">
        <v>101</v>
      </c>
    </row>
    <row r="158" spans="1:6" x14ac:dyDescent="0.25">
      <c r="A158" s="3" t="s">
        <v>4</v>
      </c>
      <c r="B158" s="3"/>
      <c r="C158" s="3"/>
      <c r="D158" s="5"/>
    </row>
    <row r="159" spans="1:6" x14ac:dyDescent="0.25">
      <c r="A159" s="3" t="s">
        <v>6</v>
      </c>
      <c r="B159" s="3"/>
      <c r="C159" s="3"/>
      <c r="D159" s="5">
        <f>SUM(D155:D158)</f>
        <v>7047</v>
      </c>
    </row>
    <row r="160" spans="1:6" x14ac:dyDescent="0.25">
      <c r="A160" s="3"/>
      <c r="B160" s="3"/>
      <c r="C160" s="3"/>
      <c r="D160" s="5"/>
    </row>
    <row r="161" spans="1:4" x14ac:dyDescent="0.25">
      <c r="A161" s="3" t="s">
        <v>7</v>
      </c>
      <c r="B161" s="3">
        <v>2610</v>
      </c>
      <c r="C161" s="3">
        <v>3.11</v>
      </c>
      <c r="D161" s="5">
        <f>B161*C161</f>
        <v>8117.0999999999995</v>
      </c>
    </row>
    <row r="162" spans="1:4" x14ac:dyDescent="0.25">
      <c r="A162" s="3" t="s">
        <v>2</v>
      </c>
      <c r="B162" s="3"/>
      <c r="C162" s="3"/>
      <c r="D162" s="5">
        <v>6424</v>
      </c>
    </row>
    <row r="163" spans="1:4" x14ac:dyDescent="0.25">
      <c r="A163" s="3" t="s">
        <v>17</v>
      </c>
      <c r="B163" s="3"/>
      <c r="C163" s="3"/>
      <c r="D163" s="5">
        <f>+D156+D157</f>
        <v>228</v>
      </c>
    </row>
    <row r="164" spans="1:4" x14ac:dyDescent="0.25">
      <c r="A164" s="3" t="s">
        <v>15</v>
      </c>
      <c r="B164" s="3"/>
      <c r="C164" s="3"/>
      <c r="D164" s="5"/>
    </row>
    <row r="165" spans="1:4" x14ac:dyDescent="0.25">
      <c r="A165" s="3"/>
      <c r="B165" s="3"/>
      <c r="C165" s="3"/>
      <c r="D165" s="5"/>
    </row>
    <row r="166" spans="1:4" x14ac:dyDescent="0.25">
      <c r="A166" s="3" t="s">
        <v>10</v>
      </c>
      <c r="B166" s="3"/>
      <c r="C166" s="3"/>
      <c r="D166" s="5">
        <v>229</v>
      </c>
    </row>
    <row r="167" spans="1:4" x14ac:dyDescent="0.25">
      <c r="A167" s="3" t="s">
        <v>11</v>
      </c>
      <c r="B167" s="3"/>
      <c r="C167" s="3"/>
      <c r="D167" s="5"/>
    </row>
    <row r="168" spans="1:4" x14ac:dyDescent="0.25">
      <c r="A168" s="3" t="s">
        <v>12</v>
      </c>
      <c r="B168" s="3"/>
      <c r="C168" s="3"/>
      <c r="D168" s="5"/>
    </row>
    <row r="169" spans="1:4" x14ac:dyDescent="0.25">
      <c r="A169" s="3"/>
      <c r="B169" s="3"/>
      <c r="C169" s="3"/>
      <c r="D169" s="5"/>
    </row>
    <row r="170" spans="1:4" x14ac:dyDescent="0.25">
      <c r="A170" s="3" t="s">
        <v>13</v>
      </c>
      <c r="B170" s="3"/>
      <c r="C170" s="3"/>
      <c r="D170" s="5"/>
    </row>
    <row r="171" spans="1:4" x14ac:dyDescent="0.25">
      <c r="A171" s="3" t="s">
        <v>34</v>
      </c>
      <c r="B171" s="3"/>
      <c r="C171" s="3"/>
      <c r="D171" s="5">
        <f>D161-D159</f>
        <v>1070.0999999999995</v>
      </c>
    </row>
    <row r="172" spans="1:4" x14ac:dyDescent="0.25">
      <c r="A172" s="6"/>
      <c r="B172" s="6"/>
      <c r="C172" s="6"/>
      <c r="D172" s="7"/>
    </row>
    <row r="173" spans="1:4" x14ac:dyDescent="0.25">
      <c r="A173" s="10" t="s">
        <v>25</v>
      </c>
      <c r="B173" s="3"/>
      <c r="C173" s="3"/>
      <c r="D173" s="5"/>
    </row>
    <row r="174" spans="1:4" x14ac:dyDescent="0.25">
      <c r="A174" s="3" t="s">
        <v>5</v>
      </c>
      <c r="B174" s="3"/>
      <c r="C174" s="3"/>
      <c r="D174" s="5">
        <v>0</v>
      </c>
    </row>
    <row r="175" spans="1:4" x14ac:dyDescent="0.25">
      <c r="A175" s="3" t="s">
        <v>3</v>
      </c>
      <c r="B175" s="3"/>
      <c r="C175" s="3"/>
      <c r="D175" s="5">
        <v>0</v>
      </c>
    </row>
    <row r="176" spans="1:4" x14ac:dyDescent="0.25">
      <c r="A176" s="3" t="s">
        <v>3</v>
      </c>
      <c r="B176" s="3"/>
      <c r="C176" s="3"/>
      <c r="D176" s="5">
        <v>0</v>
      </c>
    </row>
    <row r="177" spans="1:6" x14ac:dyDescent="0.25">
      <c r="A177" s="3" t="s">
        <v>4</v>
      </c>
      <c r="B177" s="3"/>
      <c r="C177" s="3"/>
      <c r="D177" s="5">
        <v>15444</v>
      </c>
      <c r="F177">
        <v>15444</v>
      </c>
    </row>
    <row r="178" spans="1:6" x14ac:dyDescent="0.25">
      <c r="A178" s="3" t="s">
        <v>6</v>
      </c>
      <c r="B178" s="3"/>
      <c r="C178" s="3"/>
      <c r="D178" s="5">
        <f>SUM(D174:D177)</f>
        <v>15444</v>
      </c>
    </row>
    <row r="179" spans="1:6" x14ac:dyDescent="0.25">
      <c r="A179" s="3"/>
      <c r="B179" s="3"/>
      <c r="C179" s="3"/>
      <c r="D179" s="5"/>
    </row>
    <row r="180" spans="1:6" x14ac:dyDescent="0.25">
      <c r="A180" s="3" t="s">
        <v>7</v>
      </c>
      <c r="B180" s="3">
        <v>600</v>
      </c>
      <c r="C180" s="3">
        <v>25.37</v>
      </c>
      <c r="D180" s="5">
        <f>B180*C180</f>
        <v>15222</v>
      </c>
    </row>
    <row r="181" spans="1:6" x14ac:dyDescent="0.25">
      <c r="A181" s="3" t="s">
        <v>2</v>
      </c>
      <c r="B181" s="3"/>
      <c r="C181" s="3"/>
      <c r="D181" s="5">
        <v>0</v>
      </c>
    </row>
    <row r="182" spans="1:6" x14ac:dyDescent="0.25">
      <c r="A182" s="3" t="s">
        <v>17</v>
      </c>
      <c r="B182" s="3"/>
      <c r="C182" s="3"/>
      <c r="D182" s="5">
        <v>15444</v>
      </c>
    </row>
    <row r="183" spans="1:6" x14ac:dyDescent="0.25">
      <c r="A183" s="3" t="s">
        <v>15</v>
      </c>
      <c r="B183" s="3"/>
      <c r="C183" s="3"/>
      <c r="D183" s="5">
        <f>D180-D181-D182</f>
        <v>-222</v>
      </c>
    </row>
    <row r="184" spans="1:6" x14ac:dyDescent="0.25">
      <c r="A184" s="3"/>
      <c r="B184" s="3"/>
      <c r="C184" s="3"/>
      <c r="D184" s="5"/>
    </row>
    <row r="185" spans="1:6" x14ac:dyDescent="0.25">
      <c r="A185" s="3" t="s">
        <v>10</v>
      </c>
      <c r="B185" s="3"/>
      <c r="C185" s="3"/>
      <c r="D185" s="5"/>
    </row>
    <row r="186" spans="1:6" x14ac:dyDescent="0.25">
      <c r="A186" s="3" t="s">
        <v>11</v>
      </c>
      <c r="B186" s="3"/>
      <c r="C186" s="3"/>
      <c r="D186" s="5"/>
    </row>
    <row r="187" spans="1:6" x14ac:dyDescent="0.25">
      <c r="A187" s="3" t="s">
        <v>12</v>
      </c>
      <c r="B187" s="3"/>
      <c r="C187" s="3"/>
      <c r="D187" s="5"/>
    </row>
    <row r="188" spans="1:6" x14ac:dyDescent="0.25">
      <c r="A188" s="3"/>
      <c r="B188" s="3"/>
      <c r="C188" s="3"/>
      <c r="D188" s="5"/>
    </row>
    <row r="189" spans="1:6" x14ac:dyDescent="0.25">
      <c r="A189" s="3" t="s">
        <v>13</v>
      </c>
      <c r="B189" s="3"/>
      <c r="C189" s="3"/>
      <c r="D189" s="5"/>
    </row>
    <row r="190" spans="1:6" x14ac:dyDescent="0.25">
      <c r="A190" s="3" t="s">
        <v>34</v>
      </c>
      <c r="B190" s="3"/>
      <c r="C190" s="3"/>
      <c r="D190" s="5">
        <f>D180-D178</f>
        <v>-222</v>
      </c>
    </row>
    <row r="191" spans="1:6" x14ac:dyDescent="0.25">
      <c r="A191" s="6"/>
      <c r="B191" s="6"/>
      <c r="C191" s="6"/>
      <c r="D191" s="7"/>
    </row>
    <row r="192" spans="1:6" x14ac:dyDescent="0.25">
      <c r="A192" s="10" t="s">
        <v>26</v>
      </c>
      <c r="B192" s="3"/>
      <c r="C192" s="3"/>
      <c r="D192" s="5"/>
    </row>
    <row r="193" spans="1:4" x14ac:dyDescent="0.25">
      <c r="A193" s="3" t="s">
        <v>5</v>
      </c>
      <c r="B193" s="3"/>
      <c r="C193" s="3"/>
      <c r="D193" s="5">
        <v>15387</v>
      </c>
    </row>
    <row r="194" spans="1:4" x14ac:dyDescent="0.25">
      <c r="A194" s="3" t="s">
        <v>3</v>
      </c>
      <c r="B194" s="3"/>
      <c r="C194" s="3"/>
      <c r="D194" s="5">
        <v>0</v>
      </c>
    </row>
    <row r="195" spans="1:4" x14ac:dyDescent="0.25">
      <c r="A195" s="3" t="s">
        <v>3</v>
      </c>
      <c r="B195" s="3"/>
      <c r="C195" s="3"/>
      <c r="D195" s="5">
        <v>0</v>
      </c>
    </row>
    <row r="196" spans="1:4" x14ac:dyDescent="0.25">
      <c r="A196" s="3" t="s">
        <v>4</v>
      </c>
      <c r="B196" s="3"/>
      <c r="C196" s="3"/>
      <c r="D196" s="5">
        <v>0</v>
      </c>
    </row>
    <row r="197" spans="1:4" x14ac:dyDescent="0.25">
      <c r="A197" s="3" t="s">
        <v>6</v>
      </c>
      <c r="B197" s="3"/>
      <c r="C197" s="3"/>
      <c r="D197" s="5">
        <f>SUM(D193:D196)</f>
        <v>15387</v>
      </c>
    </row>
    <row r="198" spans="1:4" x14ac:dyDescent="0.25">
      <c r="A198" s="3"/>
      <c r="B198" s="3"/>
      <c r="C198" s="3"/>
      <c r="D198" s="5"/>
    </row>
    <row r="199" spans="1:4" x14ac:dyDescent="0.25">
      <c r="A199" s="3" t="s">
        <v>7</v>
      </c>
      <c r="B199" s="3">
        <v>690</v>
      </c>
      <c r="C199" s="3">
        <v>26.88</v>
      </c>
      <c r="D199" s="5">
        <f>B199*C199</f>
        <v>18547.2</v>
      </c>
    </row>
    <row r="200" spans="1:4" x14ac:dyDescent="0.25">
      <c r="A200" s="3" t="s">
        <v>2</v>
      </c>
      <c r="B200" s="3"/>
      <c r="C200" s="3"/>
      <c r="D200" s="5">
        <v>17388</v>
      </c>
    </row>
    <row r="201" spans="1:4" x14ac:dyDescent="0.25">
      <c r="A201" s="3" t="s">
        <v>17</v>
      </c>
      <c r="B201" s="3"/>
      <c r="C201" s="3"/>
      <c r="D201" s="5">
        <v>0</v>
      </c>
    </row>
    <row r="202" spans="1:4" x14ac:dyDescent="0.25">
      <c r="A202" s="3" t="s">
        <v>15</v>
      </c>
      <c r="B202" s="3"/>
      <c r="C202" s="3"/>
      <c r="D202" s="5">
        <f>D199-D200-D201</f>
        <v>1159.2000000000007</v>
      </c>
    </row>
    <row r="203" spans="1:4" x14ac:dyDescent="0.25">
      <c r="A203" s="3"/>
      <c r="B203" s="3"/>
      <c r="C203" s="3"/>
      <c r="D203" s="5"/>
    </row>
    <row r="204" spans="1:4" x14ac:dyDescent="0.25">
      <c r="A204" s="3" t="s">
        <v>10</v>
      </c>
      <c r="B204" s="3"/>
      <c r="C204" s="3"/>
      <c r="D204" s="5">
        <v>655</v>
      </c>
    </row>
    <row r="205" spans="1:4" x14ac:dyDescent="0.25">
      <c r="A205" s="3" t="s">
        <v>11</v>
      </c>
      <c r="B205" s="3"/>
      <c r="C205" s="3"/>
      <c r="D205" s="5"/>
    </row>
    <row r="206" spans="1:4" x14ac:dyDescent="0.25">
      <c r="A206" s="3" t="s">
        <v>12</v>
      </c>
      <c r="B206" s="3"/>
      <c r="C206" s="3"/>
      <c r="D206" s="5"/>
    </row>
    <row r="207" spans="1:4" x14ac:dyDescent="0.25">
      <c r="A207" s="3"/>
      <c r="B207" s="3"/>
      <c r="C207" s="3"/>
      <c r="D207" s="5"/>
    </row>
    <row r="208" spans="1:4" x14ac:dyDescent="0.25">
      <c r="A208" s="3" t="s">
        <v>13</v>
      </c>
      <c r="B208" s="3"/>
      <c r="C208" s="3"/>
      <c r="D208" s="5"/>
    </row>
    <row r="209" spans="1:6" x14ac:dyDescent="0.25">
      <c r="A209" s="3" t="s">
        <v>34</v>
      </c>
      <c r="B209" s="3"/>
      <c r="C209" s="3"/>
      <c r="D209" s="5">
        <f>D199-D197</f>
        <v>3160.2000000000007</v>
      </c>
    </row>
    <row r="210" spans="1:6" x14ac:dyDescent="0.25">
      <c r="A210" s="6"/>
      <c r="B210" s="6"/>
      <c r="C210" s="6"/>
      <c r="D210" s="7"/>
    </row>
    <row r="211" spans="1:6" x14ac:dyDescent="0.25">
      <c r="A211" s="10" t="s">
        <v>27</v>
      </c>
      <c r="B211" s="3"/>
      <c r="C211" s="3"/>
      <c r="D211" s="5"/>
    </row>
    <row r="212" spans="1:6" x14ac:dyDescent="0.25">
      <c r="A212" s="3" t="s">
        <v>5</v>
      </c>
      <c r="B212" s="3"/>
      <c r="C212" s="3"/>
      <c r="D212" s="5">
        <v>63911</v>
      </c>
      <c r="E212">
        <v>62816</v>
      </c>
    </row>
    <row r="213" spans="1:6" x14ac:dyDescent="0.25">
      <c r="A213" s="3" t="s">
        <v>3</v>
      </c>
      <c r="B213" s="3">
        <v>10</v>
      </c>
      <c r="C213" s="3"/>
      <c r="D213" s="5">
        <v>741</v>
      </c>
      <c r="F213">
        <v>741</v>
      </c>
    </row>
    <row r="214" spans="1:6" x14ac:dyDescent="0.25">
      <c r="A214" s="3" t="s">
        <v>3</v>
      </c>
      <c r="B214" s="3">
        <v>11</v>
      </c>
      <c r="C214" s="3"/>
      <c r="D214" s="5">
        <v>931</v>
      </c>
      <c r="F214">
        <v>931</v>
      </c>
    </row>
    <row r="215" spans="1:6" x14ac:dyDescent="0.25">
      <c r="A215" s="3" t="s">
        <v>4</v>
      </c>
      <c r="B215" s="3"/>
      <c r="C215" s="3"/>
      <c r="D215" s="5"/>
    </row>
    <row r="216" spans="1:6" x14ac:dyDescent="0.25">
      <c r="A216" s="3" t="s">
        <v>6</v>
      </c>
      <c r="B216" s="3"/>
      <c r="C216" s="3"/>
      <c r="D216" s="5">
        <f>SUM(D212:D215)</f>
        <v>65583</v>
      </c>
    </row>
    <row r="217" spans="1:6" x14ac:dyDescent="0.25">
      <c r="A217" s="3"/>
      <c r="B217" s="3"/>
      <c r="C217" s="3"/>
      <c r="D217" s="5"/>
    </row>
    <row r="218" spans="1:6" x14ac:dyDescent="0.25">
      <c r="A218" s="3" t="s">
        <v>7</v>
      </c>
      <c r="B218" s="3">
        <v>1481</v>
      </c>
      <c r="C218" s="3">
        <v>82.24</v>
      </c>
      <c r="D218" s="5">
        <f>B218*C218</f>
        <v>121797.43999999999</v>
      </c>
    </row>
    <row r="219" spans="1:6" x14ac:dyDescent="0.25">
      <c r="A219" s="3" t="s">
        <v>2</v>
      </c>
      <c r="B219" s="3"/>
      <c r="C219" s="3"/>
      <c r="D219" s="5">
        <v>97324</v>
      </c>
    </row>
    <row r="220" spans="1:6" x14ac:dyDescent="0.25">
      <c r="A220" s="3" t="s">
        <v>17</v>
      </c>
      <c r="B220" s="3"/>
      <c r="C220" s="3"/>
      <c r="D220" s="5">
        <f>D213+D214+D215</f>
        <v>1672</v>
      </c>
    </row>
    <row r="221" spans="1:6" x14ac:dyDescent="0.25">
      <c r="A221" s="3" t="s">
        <v>15</v>
      </c>
      <c r="B221" s="3"/>
      <c r="C221" s="3"/>
      <c r="D221" s="5">
        <f>D218-D219-D220</f>
        <v>22801.439999999988</v>
      </c>
    </row>
    <row r="222" spans="1:6" x14ac:dyDescent="0.25">
      <c r="A222" s="3"/>
      <c r="B222" s="3"/>
      <c r="C222" s="3"/>
      <c r="D222" s="5"/>
    </row>
    <row r="223" spans="1:6" x14ac:dyDescent="0.25">
      <c r="A223" s="3" t="s">
        <v>10</v>
      </c>
      <c r="B223" s="3"/>
      <c r="C223" s="3"/>
      <c r="D223" s="5">
        <v>1630</v>
      </c>
    </row>
    <row r="224" spans="1:6" x14ac:dyDescent="0.25">
      <c r="A224" s="3" t="s">
        <v>11</v>
      </c>
      <c r="B224" s="3"/>
      <c r="C224" s="3"/>
      <c r="D224" s="5"/>
    </row>
    <row r="225" spans="1:5" x14ac:dyDescent="0.25">
      <c r="A225" s="3" t="s">
        <v>12</v>
      </c>
      <c r="B225" s="3"/>
      <c r="C225" s="3"/>
      <c r="D225" s="5"/>
    </row>
    <row r="226" spans="1:5" x14ac:dyDescent="0.25">
      <c r="A226" s="3"/>
      <c r="B226" s="3"/>
      <c r="C226" s="3"/>
      <c r="D226" s="5"/>
    </row>
    <row r="227" spans="1:5" x14ac:dyDescent="0.25">
      <c r="A227" s="3" t="s">
        <v>13</v>
      </c>
      <c r="B227" s="3"/>
      <c r="C227" s="3"/>
      <c r="D227" s="5"/>
    </row>
    <row r="228" spans="1:5" x14ac:dyDescent="0.25">
      <c r="A228" s="3" t="s">
        <v>34</v>
      </c>
      <c r="B228" s="3"/>
      <c r="C228" s="3"/>
      <c r="D228" s="5">
        <f>D218-D216</f>
        <v>56214.439999999988</v>
      </c>
    </row>
    <row r="229" spans="1:5" x14ac:dyDescent="0.25">
      <c r="A229" s="6"/>
      <c r="B229" s="6"/>
      <c r="C229" s="6"/>
      <c r="D229" s="7"/>
    </row>
    <row r="230" spans="1:5" x14ac:dyDescent="0.25">
      <c r="A230" s="10" t="s">
        <v>28</v>
      </c>
      <c r="B230" s="3"/>
      <c r="C230" s="3"/>
      <c r="D230" s="5"/>
    </row>
    <row r="231" spans="1:5" x14ac:dyDescent="0.25">
      <c r="A231" s="3" t="s">
        <v>5</v>
      </c>
      <c r="B231" s="3"/>
      <c r="C231" s="3"/>
      <c r="D231" s="5">
        <v>38303</v>
      </c>
      <c r="E231">
        <v>32355</v>
      </c>
    </row>
    <row r="232" spans="1:5" x14ac:dyDescent="0.25">
      <c r="A232" s="3" t="s">
        <v>3</v>
      </c>
      <c r="B232" s="3"/>
      <c r="C232" s="3"/>
      <c r="D232" s="5">
        <v>0</v>
      </c>
    </row>
    <row r="233" spans="1:5" x14ac:dyDescent="0.25">
      <c r="A233" s="3" t="s">
        <v>3</v>
      </c>
      <c r="B233" s="3"/>
      <c r="C233" s="3"/>
      <c r="D233" s="5">
        <v>0</v>
      </c>
    </row>
    <row r="234" spans="1:5" x14ac:dyDescent="0.25">
      <c r="A234" s="3" t="s">
        <v>4</v>
      </c>
      <c r="B234" s="3"/>
      <c r="C234" s="3"/>
      <c r="D234" s="5">
        <v>0</v>
      </c>
    </row>
    <row r="235" spans="1:5" x14ac:dyDescent="0.25">
      <c r="A235" s="3" t="s">
        <v>6</v>
      </c>
      <c r="B235" s="3"/>
      <c r="C235" s="3"/>
      <c r="D235" s="5">
        <f>SUM(D231:D234)</f>
        <v>38303</v>
      </c>
    </row>
    <row r="236" spans="1:5" x14ac:dyDescent="0.25">
      <c r="A236" s="3"/>
      <c r="B236" s="3"/>
      <c r="C236" s="3"/>
      <c r="D236" s="5"/>
    </row>
    <row r="237" spans="1:5" x14ac:dyDescent="0.25">
      <c r="A237" s="3" t="s">
        <v>7</v>
      </c>
      <c r="B237" s="3">
        <v>8545</v>
      </c>
      <c r="C237" s="3">
        <v>2.91</v>
      </c>
      <c r="D237" s="5">
        <f>B237*C237</f>
        <v>24865.95</v>
      </c>
    </row>
    <row r="238" spans="1:5" x14ac:dyDescent="0.25">
      <c r="A238" s="3" t="s">
        <v>2</v>
      </c>
      <c r="B238" s="3"/>
      <c r="C238" s="3"/>
      <c r="D238" s="5">
        <v>27771</v>
      </c>
    </row>
    <row r="239" spans="1:5" x14ac:dyDescent="0.25">
      <c r="A239" s="3" t="s">
        <v>17</v>
      </c>
      <c r="B239" s="3"/>
      <c r="C239" s="3"/>
      <c r="D239" s="5">
        <v>0</v>
      </c>
    </row>
    <row r="240" spans="1:5" x14ac:dyDescent="0.25">
      <c r="A240" s="3" t="s">
        <v>15</v>
      </c>
      <c r="B240" s="3"/>
      <c r="C240" s="3"/>
      <c r="D240" s="5">
        <f>D237-D238</f>
        <v>-2905.0499999999993</v>
      </c>
    </row>
    <row r="241" spans="1:4" x14ac:dyDescent="0.25">
      <c r="A241" s="3"/>
      <c r="B241" s="3"/>
      <c r="C241" s="3"/>
      <c r="D241" s="5"/>
    </row>
    <row r="242" spans="1:4" x14ac:dyDescent="0.25">
      <c r="A242" s="3" t="s">
        <v>10</v>
      </c>
      <c r="B242" s="3"/>
      <c r="C242" s="3"/>
      <c r="D242" s="5">
        <v>2393</v>
      </c>
    </row>
    <row r="243" spans="1:4" x14ac:dyDescent="0.25">
      <c r="A243" s="3" t="s">
        <v>11</v>
      </c>
      <c r="B243" s="3"/>
      <c r="C243" s="3"/>
      <c r="D243" s="5"/>
    </row>
    <row r="244" spans="1:4" x14ac:dyDescent="0.25">
      <c r="A244" s="3" t="s">
        <v>12</v>
      </c>
      <c r="B244" s="3"/>
      <c r="C244" s="3"/>
      <c r="D244" s="5"/>
    </row>
    <row r="245" spans="1:4" x14ac:dyDescent="0.25">
      <c r="A245" s="3"/>
      <c r="B245" s="3"/>
      <c r="C245" s="3"/>
      <c r="D245" s="5"/>
    </row>
    <row r="246" spans="1:4" x14ac:dyDescent="0.25">
      <c r="A246" s="3" t="s">
        <v>13</v>
      </c>
      <c r="B246" s="3"/>
      <c r="C246" s="3"/>
      <c r="D246" s="5"/>
    </row>
    <row r="247" spans="1:4" x14ac:dyDescent="0.25">
      <c r="A247" s="3" t="s">
        <v>34</v>
      </c>
      <c r="B247" s="3"/>
      <c r="C247" s="3"/>
      <c r="D247" s="5">
        <f>D237-D235</f>
        <v>-13437.05</v>
      </c>
    </row>
    <row r="248" spans="1:4" x14ac:dyDescent="0.25">
      <c r="A248" s="6"/>
      <c r="B248" s="6"/>
      <c r="C248" s="6"/>
      <c r="D248" s="7"/>
    </row>
    <row r="249" spans="1:4" x14ac:dyDescent="0.25">
      <c r="A249" s="10" t="s">
        <v>29</v>
      </c>
      <c r="B249" s="3"/>
      <c r="C249" s="3"/>
      <c r="D249" s="5"/>
    </row>
    <row r="250" spans="1:4" x14ac:dyDescent="0.25">
      <c r="A250" s="3" t="s">
        <v>5</v>
      </c>
      <c r="B250" s="3"/>
      <c r="C250" s="3"/>
      <c r="D250" s="5">
        <v>0</v>
      </c>
    </row>
    <row r="251" spans="1:4" x14ac:dyDescent="0.25">
      <c r="A251" s="3" t="s">
        <v>3</v>
      </c>
      <c r="B251" s="3"/>
      <c r="C251" s="3"/>
      <c r="D251" s="5"/>
    </row>
    <row r="252" spans="1:4" x14ac:dyDescent="0.25">
      <c r="A252" s="3" t="s">
        <v>3</v>
      </c>
      <c r="B252" s="3"/>
      <c r="C252" s="3"/>
      <c r="D252" s="5"/>
    </row>
    <row r="253" spans="1:4" x14ac:dyDescent="0.25">
      <c r="A253" s="3" t="s">
        <v>4</v>
      </c>
      <c r="B253" s="3"/>
      <c r="C253" s="3"/>
      <c r="D253" s="5"/>
    </row>
    <row r="254" spans="1:4" x14ac:dyDescent="0.25">
      <c r="A254" s="3" t="s">
        <v>6</v>
      </c>
      <c r="B254" s="3"/>
      <c r="C254" s="3"/>
      <c r="D254" s="5">
        <f>SUM(D250:D253)</f>
        <v>0</v>
      </c>
    </row>
    <row r="255" spans="1:4" x14ac:dyDescent="0.25">
      <c r="A255" s="3"/>
      <c r="B255" s="3"/>
      <c r="C255" s="3"/>
      <c r="D255" s="5"/>
    </row>
    <row r="256" spans="1:4" x14ac:dyDescent="0.25">
      <c r="A256" s="3" t="s">
        <v>7</v>
      </c>
      <c r="B256" s="3">
        <v>367</v>
      </c>
      <c r="C256" s="3">
        <v>3.42</v>
      </c>
      <c r="D256" s="5">
        <f>B256*C256</f>
        <v>1255.1399999999999</v>
      </c>
    </row>
    <row r="257" spans="1:6" x14ac:dyDescent="0.25">
      <c r="A257" s="3" t="s">
        <v>2</v>
      </c>
      <c r="B257" s="3"/>
      <c r="C257" s="3"/>
      <c r="D257" s="5"/>
    </row>
    <row r="258" spans="1:6" x14ac:dyDescent="0.25">
      <c r="A258" s="3" t="s">
        <v>17</v>
      </c>
      <c r="B258" s="3"/>
      <c r="C258" s="3"/>
      <c r="D258" s="5"/>
    </row>
    <row r="259" spans="1:6" x14ac:dyDescent="0.25">
      <c r="A259" s="3" t="s">
        <v>15</v>
      </c>
      <c r="B259" s="3"/>
      <c r="C259" s="3"/>
      <c r="D259" s="5"/>
    </row>
    <row r="260" spans="1:6" x14ac:dyDescent="0.25">
      <c r="A260" s="3"/>
      <c r="B260" s="3"/>
      <c r="C260" s="3"/>
      <c r="D260" s="5"/>
    </row>
    <row r="261" spans="1:6" x14ac:dyDescent="0.25">
      <c r="A261" s="3" t="s">
        <v>10</v>
      </c>
      <c r="B261" s="3"/>
      <c r="C261" s="3"/>
      <c r="D261" s="5"/>
    </row>
    <row r="262" spans="1:6" x14ac:dyDescent="0.25">
      <c r="A262" s="3" t="s">
        <v>11</v>
      </c>
      <c r="B262" s="3"/>
      <c r="C262" s="3"/>
      <c r="D262" s="5"/>
    </row>
    <row r="263" spans="1:6" x14ac:dyDescent="0.25">
      <c r="A263" s="3" t="s">
        <v>12</v>
      </c>
      <c r="B263" s="3"/>
      <c r="C263" s="3"/>
      <c r="D263" s="5"/>
    </row>
    <row r="264" spans="1:6" x14ac:dyDescent="0.25">
      <c r="A264" s="3"/>
      <c r="B264" s="3"/>
      <c r="C264" s="3"/>
      <c r="D264" s="5"/>
    </row>
    <row r="265" spans="1:6" x14ac:dyDescent="0.25">
      <c r="A265" s="3" t="s">
        <v>13</v>
      </c>
      <c r="B265" s="3"/>
      <c r="C265" s="3"/>
      <c r="D265" s="5"/>
    </row>
    <row r="266" spans="1:6" x14ac:dyDescent="0.25">
      <c r="A266" s="3" t="s">
        <v>14</v>
      </c>
      <c r="B266" s="3"/>
      <c r="C266" s="3"/>
      <c r="D266" s="5"/>
    </row>
    <row r="267" spans="1:6" x14ac:dyDescent="0.25">
      <c r="A267" s="6"/>
      <c r="B267" s="6"/>
      <c r="C267" s="6"/>
      <c r="D267" s="7"/>
    </row>
    <row r="268" spans="1:6" x14ac:dyDescent="0.25">
      <c r="A268" s="3" t="s">
        <v>32</v>
      </c>
      <c r="B268" s="3"/>
      <c r="C268" s="3"/>
      <c r="D268" s="5"/>
    </row>
    <row r="269" spans="1:6" x14ac:dyDescent="0.25">
      <c r="A269" s="3" t="s">
        <v>5</v>
      </c>
      <c r="B269" s="3"/>
      <c r="C269" s="3"/>
      <c r="D269" s="5">
        <v>21110</v>
      </c>
      <c r="E269">
        <v>21211</v>
      </c>
    </row>
    <row r="270" spans="1:6" x14ac:dyDescent="0.25">
      <c r="A270" s="3" t="s">
        <v>3</v>
      </c>
      <c r="B270" s="3">
        <v>22</v>
      </c>
      <c r="C270" s="3"/>
      <c r="D270" s="5">
        <v>498</v>
      </c>
      <c r="F270">
        <v>498</v>
      </c>
    </row>
    <row r="271" spans="1:6" x14ac:dyDescent="0.25">
      <c r="A271" s="3" t="s">
        <v>3</v>
      </c>
      <c r="B271" s="3">
        <v>29</v>
      </c>
      <c r="C271" s="3"/>
      <c r="D271" s="5">
        <v>625</v>
      </c>
      <c r="F271">
        <v>625</v>
      </c>
    </row>
    <row r="272" spans="1:6" x14ac:dyDescent="0.25">
      <c r="A272" s="3" t="s">
        <v>4</v>
      </c>
      <c r="B272" s="3"/>
      <c r="C272" s="3"/>
      <c r="D272" s="5"/>
    </row>
    <row r="273" spans="1:4" x14ac:dyDescent="0.25">
      <c r="A273" s="3" t="s">
        <v>6</v>
      </c>
      <c r="B273" s="3"/>
      <c r="C273" s="3"/>
      <c r="D273" s="5">
        <f>SUM(D269:D272)</f>
        <v>22233</v>
      </c>
    </row>
    <row r="274" spans="1:4" x14ac:dyDescent="0.25">
      <c r="A274" s="3"/>
      <c r="B274" s="3"/>
      <c r="C274" s="3"/>
      <c r="D274" s="5"/>
    </row>
    <row r="275" spans="1:4" x14ac:dyDescent="0.25">
      <c r="A275" s="3" t="s">
        <v>7</v>
      </c>
      <c r="B275" s="3">
        <v>851</v>
      </c>
      <c r="C275" s="3">
        <v>22</v>
      </c>
      <c r="D275" s="5">
        <f>B275*C275</f>
        <v>18722</v>
      </c>
    </row>
    <row r="276" spans="1:4" x14ac:dyDescent="0.25">
      <c r="A276" s="3" t="s">
        <v>2</v>
      </c>
      <c r="B276" s="3"/>
      <c r="C276" s="3"/>
      <c r="D276" s="5">
        <v>16984</v>
      </c>
    </row>
    <row r="277" spans="1:4" x14ac:dyDescent="0.25">
      <c r="A277" s="3" t="s">
        <v>17</v>
      </c>
      <c r="B277" s="3"/>
      <c r="C277" s="3"/>
      <c r="D277" s="5">
        <f>D270+D271+D272</f>
        <v>1123</v>
      </c>
    </row>
    <row r="278" spans="1:4" x14ac:dyDescent="0.25">
      <c r="A278" s="3" t="s">
        <v>15</v>
      </c>
      <c r="B278" s="3"/>
      <c r="C278" s="3"/>
      <c r="D278" s="5">
        <f>D275-D276-D277</f>
        <v>615</v>
      </c>
    </row>
    <row r="279" spans="1:4" x14ac:dyDescent="0.25">
      <c r="A279" s="3"/>
      <c r="B279" s="3"/>
      <c r="C279" s="3"/>
      <c r="D279" s="5"/>
    </row>
    <row r="280" spans="1:4" x14ac:dyDescent="0.25">
      <c r="A280" s="3" t="s">
        <v>10</v>
      </c>
      <c r="B280" s="3"/>
      <c r="C280" s="3"/>
      <c r="D280" s="5">
        <v>1128</v>
      </c>
    </row>
    <row r="281" spans="1:4" x14ac:dyDescent="0.25">
      <c r="A281" s="3" t="s">
        <v>11</v>
      </c>
      <c r="B281" s="3"/>
      <c r="C281" s="3"/>
      <c r="D281" s="5"/>
    </row>
    <row r="282" spans="1:4" x14ac:dyDescent="0.25">
      <c r="A282" s="3" t="s">
        <v>12</v>
      </c>
      <c r="B282" s="3"/>
      <c r="C282" s="3"/>
      <c r="D282" s="5"/>
    </row>
    <row r="283" spans="1:4" x14ac:dyDescent="0.25">
      <c r="A283" s="3"/>
      <c r="B283" s="3"/>
      <c r="C283" s="3"/>
      <c r="D283" s="5"/>
    </row>
    <row r="284" spans="1:4" x14ac:dyDescent="0.25">
      <c r="A284" s="3" t="s">
        <v>13</v>
      </c>
      <c r="B284" s="3"/>
      <c r="C284" s="3"/>
      <c r="D284" s="5"/>
    </row>
    <row r="285" spans="1:4" x14ac:dyDescent="0.25">
      <c r="A285" s="3" t="s">
        <v>34</v>
      </c>
      <c r="B285" s="3"/>
      <c r="C285" s="3"/>
      <c r="D285" s="5">
        <f>D275-D273</f>
        <v>-3511</v>
      </c>
    </row>
    <row r="286" spans="1:4" x14ac:dyDescent="0.25">
      <c r="A286" s="6"/>
      <c r="B286" s="6"/>
      <c r="C286" s="6"/>
      <c r="D286" s="7"/>
    </row>
    <row r="287" spans="1:4" x14ac:dyDescent="0.25">
      <c r="A287" s="10" t="s">
        <v>31</v>
      </c>
      <c r="B287" s="3"/>
      <c r="C287" s="3"/>
      <c r="D287" s="5"/>
    </row>
    <row r="288" spans="1:4" x14ac:dyDescent="0.25">
      <c r="A288" s="3" t="s">
        <v>5</v>
      </c>
      <c r="B288" s="3"/>
      <c r="C288" s="3"/>
      <c r="D288" s="5">
        <v>27548</v>
      </c>
    </row>
    <row r="289" spans="1:6" x14ac:dyDescent="0.25">
      <c r="A289" s="3" t="s">
        <v>3</v>
      </c>
      <c r="B289" s="3">
        <v>23</v>
      </c>
      <c r="C289" s="3"/>
      <c r="D289" s="5">
        <v>672</v>
      </c>
      <c r="F289">
        <v>672</v>
      </c>
    </row>
    <row r="290" spans="1:6" x14ac:dyDescent="0.25">
      <c r="A290" s="3" t="s">
        <v>3</v>
      </c>
      <c r="B290" s="3">
        <v>23</v>
      </c>
      <c r="C290" s="3"/>
      <c r="D290" s="5">
        <v>618</v>
      </c>
      <c r="F290">
        <v>618</v>
      </c>
    </row>
    <row r="291" spans="1:6" x14ac:dyDescent="0.25">
      <c r="A291" s="3" t="s">
        <v>4</v>
      </c>
      <c r="B291" s="3"/>
      <c r="C291" s="3"/>
      <c r="D291" s="5"/>
    </row>
    <row r="292" spans="1:6" x14ac:dyDescent="0.25">
      <c r="A292" s="3" t="s">
        <v>6</v>
      </c>
      <c r="B292" s="3"/>
      <c r="C292" s="3"/>
      <c r="D292" s="5">
        <f>SUM(D288:D291)</f>
        <v>28838</v>
      </c>
    </row>
    <row r="293" spans="1:6" x14ac:dyDescent="0.25">
      <c r="A293" s="3"/>
      <c r="B293" s="3"/>
      <c r="C293" s="3"/>
      <c r="D293" s="5"/>
    </row>
    <row r="294" spans="1:6" x14ac:dyDescent="0.25">
      <c r="A294" s="3" t="s">
        <v>7</v>
      </c>
      <c r="B294" s="3">
        <v>1119</v>
      </c>
      <c r="C294" s="3">
        <v>27.72</v>
      </c>
      <c r="D294" s="5">
        <f>B294*C294</f>
        <v>31018.68</v>
      </c>
    </row>
    <row r="295" spans="1:6" x14ac:dyDescent="0.25">
      <c r="A295" s="3" t="s">
        <v>2</v>
      </c>
      <c r="B295" s="3"/>
      <c r="C295" s="3"/>
      <c r="D295" s="5">
        <v>28992</v>
      </c>
    </row>
    <row r="296" spans="1:6" x14ac:dyDescent="0.25">
      <c r="A296" s="3" t="s">
        <v>17</v>
      </c>
      <c r="B296" s="3"/>
      <c r="C296" s="3"/>
      <c r="D296" s="5">
        <f>D289+D290+D291</f>
        <v>1290</v>
      </c>
    </row>
    <row r="297" spans="1:6" x14ac:dyDescent="0.25">
      <c r="A297" s="3" t="s">
        <v>15</v>
      </c>
      <c r="B297" s="3"/>
      <c r="C297" s="3"/>
      <c r="D297" s="5">
        <f>D294-D295-D296</f>
        <v>736.68000000000029</v>
      </c>
    </row>
    <row r="298" spans="1:6" x14ac:dyDescent="0.25">
      <c r="A298" s="3"/>
      <c r="B298" s="3"/>
      <c r="C298" s="3"/>
      <c r="D298" s="5"/>
    </row>
    <row r="299" spans="1:6" x14ac:dyDescent="0.25">
      <c r="A299" s="3" t="s">
        <v>10</v>
      </c>
      <c r="B299" s="3"/>
      <c r="C299" s="3"/>
      <c r="D299" s="5">
        <v>1290</v>
      </c>
    </row>
    <row r="300" spans="1:6" x14ac:dyDescent="0.25">
      <c r="A300" s="3" t="s">
        <v>11</v>
      </c>
      <c r="B300" s="3"/>
      <c r="C300" s="3"/>
      <c r="D300" s="5"/>
    </row>
    <row r="301" spans="1:6" x14ac:dyDescent="0.25">
      <c r="A301" s="3" t="s">
        <v>12</v>
      </c>
      <c r="B301" s="3"/>
      <c r="C301" s="3"/>
      <c r="D301" s="5"/>
    </row>
    <row r="302" spans="1:6" x14ac:dyDescent="0.25">
      <c r="A302" s="3"/>
      <c r="B302" s="3"/>
      <c r="C302" s="3"/>
      <c r="D302" s="5"/>
    </row>
    <row r="303" spans="1:6" x14ac:dyDescent="0.25">
      <c r="A303" s="3" t="s">
        <v>13</v>
      </c>
      <c r="B303" s="3"/>
      <c r="C303" s="3"/>
      <c r="D303" s="5"/>
    </row>
    <row r="304" spans="1:6" x14ac:dyDescent="0.25">
      <c r="A304" s="3" t="s">
        <v>34</v>
      </c>
      <c r="B304" s="3"/>
      <c r="C304" s="3"/>
      <c r="D304" s="5">
        <f>D294-D292</f>
        <v>2180.6800000000003</v>
      </c>
    </row>
    <row r="305" spans="1:6" x14ac:dyDescent="0.25">
      <c r="A305" s="6"/>
      <c r="B305" s="6"/>
      <c r="C305" s="6"/>
      <c r="D305" s="7"/>
    </row>
    <row r="306" spans="1:6" x14ac:dyDescent="0.25">
      <c r="A306" s="10" t="s">
        <v>30</v>
      </c>
      <c r="B306" s="3"/>
      <c r="C306" s="3"/>
      <c r="D306" s="5"/>
    </row>
    <row r="307" spans="1:6" x14ac:dyDescent="0.25">
      <c r="A307" s="3" t="s">
        <v>5</v>
      </c>
      <c r="B307" s="3"/>
      <c r="C307" s="3"/>
      <c r="D307" s="5">
        <v>21963</v>
      </c>
      <c r="E307">
        <v>14254</v>
      </c>
    </row>
    <row r="308" spans="1:6" x14ac:dyDescent="0.25">
      <c r="A308" s="3" t="s">
        <v>3</v>
      </c>
      <c r="B308" s="3">
        <v>7</v>
      </c>
      <c r="C308" s="3"/>
      <c r="D308" s="5">
        <v>297</v>
      </c>
      <c r="F308">
        <v>297</v>
      </c>
    </row>
    <row r="309" spans="1:6" x14ac:dyDescent="0.25">
      <c r="A309" s="3" t="s">
        <v>3</v>
      </c>
      <c r="B309" s="3">
        <v>7</v>
      </c>
      <c r="C309" s="3"/>
      <c r="D309" s="5">
        <v>296</v>
      </c>
      <c r="F309">
        <v>296</v>
      </c>
    </row>
    <row r="310" spans="1:6" x14ac:dyDescent="0.25">
      <c r="A310" s="3" t="s">
        <v>4</v>
      </c>
      <c r="B310" s="3">
        <v>300</v>
      </c>
      <c r="C310" s="3"/>
      <c r="D310" s="5">
        <v>7074</v>
      </c>
      <c r="F310">
        <v>7074</v>
      </c>
    </row>
    <row r="311" spans="1:6" x14ac:dyDescent="0.25">
      <c r="A311" s="3" t="s">
        <v>6</v>
      </c>
      <c r="B311" s="3"/>
      <c r="C311" s="3"/>
      <c r="D311" s="5">
        <f>SUM(D307:D310)</f>
        <v>29630</v>
      </c>
    </row>
    <row r="312" spans="1:6" x14ac:dyDescent="0.25">
      <c r="A312" s="3"/>
      <c r="B312" s="3"/>
      <c r="C312" s="3"/>
      <c r="D312" s="5"/>
    </row>
    <row r="313" spans="1:6" x14ac:dyDescent="0.25">
      <c r="A313" s="3" t="s">
        <v>7</v>
      </c>
      <c r="B313" s="3">
        <v>696</v>
      </c>
      <c r="C313" s="3">
        <v>40.76</v>
      </c>
      <c r="D313" s="5">
        <f>B313*C313</f>
        <v>28368.959999999999</v>
      </c>
    </row>
    <row r="314" spans="1:6" x14ac:dyDescent="0.25">
      <c r="A314" s="3" t="s">
        <v>2</v>
      </c>
      <c r="B314" s="3"/>
      <c r="C314" s="3"/>
      <c r="D314" s="5">
        <v>22259</v>
      </c>
    </row>
    <row r="315" spans="1:6" x14ac:dyDescent="0.25">
      <c r="A315" s="3" t="s">
        <v>17</v>
      </c>
      <c r="B315" s="3"/>
      <c r="C315" s="3"/>
      <c r="D315" s="5">
        <f>D308+D309+D310</f>
        <v>7667</v>
      </c>
    </row>
    <row r="316" spans="1:6" x14ac:dyDescent="0.25">
      <c r="A316" s="3" t="s">
        <v>15</v>
      </c>
      <c r="B316" s="3"/>
      <c r="C316" s="3"/>
      <c r="D316" s="5">
        <f>D313-D314-D315</f>
        <v>-1557.0400000000009</v>
      </c>
    </row>
    <row r="317" spans="1:6" x14ac:dyDescent="0.25">
      <c r="A317" s="3"/>
      <c r="B317" s="3"/>
      <c r="C317" s="3"/>
      <c r="D317" s="5"/>
    </row>
    <row r="318" spans="1:6" x14ac:dyDescent="0.25">
      <c r="A318" s="3" t="s">
        <v>10</v>
      </c>
      <c r="B318" s="3"/>
      <c r="C318" s="3"/>
      <c r="D318" s="5">
        <v>593</v>
      </c>
    </row>
    <row r="319" spans="1:6" x14ac:dyDescent="0.25">
      <c r="A319" s="3" t="s">
        <v>11</v>
      </c>
      <c r="B319" s="3"/>
      <c r="C319" s="3"/>
      <c r="D319" s="5"/>
    </row>
    <row r="320" spans="1:6" x14ac:dyDescent="0.25">
      <c r="A320" s="3" t="s">
        <v>12</v>
      </c>
      <c r="B320" s="3"/>
      <c r="C320" s="3"/>
      <c r="D320" s="5"/>
    </row>
    <row r="321" spans="1:6" x14ac:dyDescent="0.25">
      <c r="A321" s="3"/>
      <c r="B321" s="3"/>
      <c r="C321" s="3"/>
      <c r="D321" s="5"/>
    </row>
    <row r="322" spans="1:6" x14ac:dyDescent="0.25">
      <c r="A322" s="3" t="s">
        <v>13</v>
      </c>
      <c r="B322" s="3"/>
      <c r="C322" s="3"/>
      <c r="D322" s="5"/>
    </row>
    <row r="323" spans="1:6" x14ac:dyDescent="0.25">
      <c r="A323" s="3" t="s">
        <v>34</v>
      </c>
      <c r="B323" s="3"/>
      <c r="C323" s="3"/>
      <c r="D323" s="5">
        <f>D313-D311</f>
        <v>-1261.0400000000009</v>
      </c>
    </row>
    <row r="325" spans="1:6" x14ac:dyDescent="0.25">
      <c r="A325" t="s">
        <v>35</v>
      </c>
      <c r="D325" s="12">
        <f>D8+D26+D45+D64+D83+D102+D121+D140+D178+D197+D216+D254+D273+D235+D292+D311+D159</f>
        <v>463898</v>
      </c>
    </row>
    <row r="326" spans="1:6" x14ac:dyDescent="0.25">
      <c r="A326" s="13" t="s">
        <v>36</v>
      </c>
      <c r="B326" s="13"/>
      <c r="C326" s="13"/>
      <c r="D326" s="14">
        <f>+D275+D256+D237+D218+D199+D180+D161+D142+D123+D104+D85+D66+D47+D28+D10+D313+D294</f>
        <v>550660.375</v>
      </c>
    </row>
    <row r="327" spans="1:6" x14ac:dyDescent="0.25">
      <c r="A327" s="13" t="s">
        <v>37</v>
      </c>
      <c r="B327" s="13"/>
      <c r="C327" s="13"/>
      <c r="D327" s="14">
        <f>+D276+D257+D238+D219+D200+D181+D162+D143+D124+D105+D86+D67+D48+D29+D11+D314+D295</f>
        <v>468313</v>
      </c>
    </row>
    <row r="329" spans="1:6" x14ac:dyDescent="0.25">
      <c r="A329" s="13" t="s">
        <v>38</v>
      </c>
      <c r="B329" s="13"/>
      <c r="C329" s="13"/>
      <c r="D329" s="14">
        <f>+D318+D299+D280+D261+D242+D223+D204+D185+D166+D147+D128+D109+D90+D71+D52+D33+D14</f>
        <v>19247</v>
      </c>
    </row>
    <row r="330" spans="1:6" x14ac:dyDescent="0.25">
      <c r="D330" t="s">
        <v>125</v>
      </c>
      <c r="E330" t="s">
        <v>126</v>
      </c>
    </row>
    <row r="331" spans="1:6" x14ac:dyDescent="0.25">
      <c r="A331" s="13" t="s">
        <v>122</v>
      </c>
      <c r="D331">
        <v>417216</v>
      </c>
      <c r="E331" s="12">
        <f>+D4+D22+D41+D60+D79+D98+D117+D136+D155+D174+D193+D212+D231+D269+D288+D307</f>
        <v>417249</v>
      </c>
    </row>
    <row r="332" spans="1:6" x14ac:dyDescent="0.25">
      <c r="A332" t="s">
        <v>123</v>
      </c>
      <c r="D332">
        <v>46653</v>
      </c>
      <c r="E332">
        <v>46653</v>
      </c>
      <c r="F332">
        <f>SUM(F4:F331)</f>
        <v>46649</v>
      </c>
    </row>
    <row r="333" spans="1:6" x14ac:dyDescent="0.25">
      <c r="D333">
        <f>SUM(D331:D332)</f>
        <v>463869</v>
      </c>
      <c r="E333" s="12">
        <f>SUM(E331:E332)</f>
        <v>463902</v>
      </c>
    </row>
    <row r="334" spans="1:6" x14ac:dyDescent="0.25">
      <c r="A334" t="s">
        <v>124</v>
      </c>
      <c r="D334" s="12">
        <f>D333-D325</f>
        <v>-29</v>
      </c>
    </row>
  </sheetData>
  <pageMargins left="0.70866141732283472" right="0.70866141732283472" top="0.74803149606299213" bottom="0.74803149606299213" header="0.31496062992125984" footer="0.31496062992125984"/>
  <pageSetup paperSize="9" orientation="portrait" r:id="rId1"/>
  <headerFooter>
    <oddHeader>&amp;L&amp;P&amp;N</oddHeader>
    <oddFooter>&amp;L&amp;F&amp;C&amp;D&amp;R&amp;A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AFF3-CC15-46E2-B6FF-8B64A18E9A3A}">
  <sheetPr>
    <tabColor rgb="FF7030A0"/>
    <pageSetUpPr fitToPage="1"/>
  </sheetPr>
  <dimension ref="A3:L31"/>
  <sheetViews>
    <sheetView workbookViewId="0">
      <selection sqref="A1:K32"/>
    </sheetView>
  </sheetViews>
  <sheetFormatPr defaultRowHeight="15" x14ac:dyDescent="0.25"/>
  <cols>
    <col min="2" max="2" width="28.5703125" customWidth="1"/>
    <col min="4" max="4" width="10.5703125" bestFit="1" customWidth="1"/>
    <col min="6" max="6" width="10.5703125" bestFit="1" customWidth="1"/>
    <col min="8" max="8" width="9.5703125" bestFit="1" customWidth="1"/>
    <col min="10" max="11" width="10.5703125" bestFit="1" customWidth="1"/>
  </cols>
  <sheetData>
    <row r="3" spans="1:12" x14ac:dyDescent="0.25">
      <c r="C3" s="28" t="s">
        <v>470</v>
      </c>
      <c r="D3" s="28" t="s">
        <v>8</v>
      </c>
      <c r="E3" s="28" t="s">
        <v>471</v>
      </c>
      <c r="F3" s="28" t="s">
        <v>327</v>
      </c>
      <c r="G3" s="28" t="s">
        <v>472</v>
      </c>
      <c r="H3" s="28" t="s">
        <v>8</v>
      </c>
      <c r="I3" s="28" t="s">
        <v>471</v>
      </c>
      <c r="J3" s="28" t="s">
        <v>473</v>
      </c>
      <c r="K3" s="28" t="s">
        <v>474</v>
      </c>
      <c r="L3" s="28"/>
    </row>
    <row r="4" spans="1:12" x14ac:dyDescent="0.25">
      <c r="A4" t="s">
        <v>415</v>
      </c>
      <c r="B4" t="s">
        <v>469</v>
      </c>
      <c r="C4" s="50">
        <v>43067</v>
      </c>
      <c r="D4" s="2">
        <v>1600</v>
      </c>
      <c r="E4">
        <f>F4/D4</f>
        <v>15.66878125</v>
      </c>
      <c r="F4" s="26">
        <v>25070.05</v>
      </c>
      <c r="G4" s="50">
        <v>43637</v>
      </c>
      <c r="H4" s="2">
        <v>1600</v>
      </c>
      <c r="I4">
        <f>J4/H4</f>
        <v>15.681162500000001</v>
      </c>
      <c r="J4" s="26">
        <v>25089.86</v>
      </c>
      <c r="K4" s="26">
        <f>J4-F4</f>
        <v>19.81000000000131</v>
      </c>
    </row>
    <row r="5" spans="1:12" x14ac:dyDescent="0.25">
      <c r="D5" s="2"/>
      <c r="F5" s="26"/>
      <c r="H5" s="2"/>
      <c r="J5" s="26"/>
      <c r="K5" s="26"/>
    </row>
    <row r="6" spans="1:12" x14ac:dyDescent="0.25">
      <c r="A6" t="s">
        <v>347</v>
      </c>
      <c r="B6" t="s">
        <v>343</v>
      </c>
      <c r="C6" s="50">
        <v>41876</v>
      </c>
      <c r="D6" s="2">
        <v>810</v>
      </c>
      <c r="E6">
        <f t="shared" ref="E6" si="0">F6/D6</f>
        <v>12.406975308641975</v>
      </c>
      <c r="F6" s="26">
        <v>10049.65</v>
      </c>
      <c r="G6" s="50">
        <v>43356</v>
      </c>
      <c r="H6" s="2">
        <v>810</v>
      </c>
      <c r="I6">
        <f t="shared" ref="I6" si="1">J6/H6</f>
        <v>11.314666666666666</v>
      </c>
      <c r="J6" s="26">
        <v>9164.8799999999992</v>
      </c>
      <c r="K6" s="26">
        <f>J6-F6</f>
        <v>-884.77000000000044</v>
      </c>
    </row>
    <row r="7" spans="1:12" x14ac:dyDescent="0.25">
      <c r="D7" s="2"/>
      <c r="F7" s="26"/>
      <c r="H7" s="2"/>
      <c r="J7" s="26"/>
      <c r="K7" s="26"/>
    </row>
    <row r="8" spans="1:12" x14ac:dyDescent="0.25">
      <c r="A8" t="s">
        <v>355</v>
      </c>
      <c r="B8" t="s">
        <v>351</v>
      </c>
      <c r="C8" s="50">
        <v>41942</v>
      </c>
      <c r="D8" s="2">
        <v>750</v>
      </c>
      <c r="E8">
        <f>F8/D8</f>
        <v>14.209933333333334</v>
      </c>
      <c r="F8" s="26">
        <v>10657.45</v>
      </c>
      <c r="G8" s="50">
        <v>43637</v>
      </c>
      <c r="H8" s="2">
        <v>750</v>
      </c>
      <c r="I8">
        <f t="shared" ref="I8:I12" si="2">J8/H8</f>
        <v>13.420066666666665</v>
      </c>
      <c r="J8" s="26">
        <v>10065.049999999999</v>
      </c>
      <c r="K8" s="26">
        <f t="shared" ref="K8:K26" si="3">J8-F8</f>
        <v>-592.40000000000146</v>
      </c>
    </row>
    <row r="9" spans="1:12" x14ac:dyDescent="0.25">
      <c r="C9" s="50"/>
      <c r="D9" s="2"/>
      <c r="F9" s="26"/>
      <c r="G9" s="50"/>
      <c r="H9" s="2"/>
      <c r="J9" s="26"/>
      <c r="K9" s="26"/>
    </row>
    <row r="10" spans="1:12" x14ac:dyDescent="0.25">
      <c r="A10" t="s">
        <v>369</v>
      </c>
      <c r="B10" t="s">
        <v>475</v>
      </c>
      <c r="C10" s="50">
        <v>42551</v>
      </c>
      <c r="D10" s="2">
        <v>75</v>
      </c>
      <c r="E10">
        <f t="shared" ref="E10:E29" si="4">F10/D10</f>
        <v>9.3566666666666674</v>
      </c>
      <c r="F10" s="26">
        <v>701.75</v>
      </c>
      <c r="G10" s="50">
        <v>43356</v>
      </c>
      <c r="H10" s="2">
        <v>75</v>
      </c>
      <c r="I10">
        <f t="shared" si="2"/>
        <v>13.995333333333335</v>
      </c>
      <c r="J10" s="26">
        <v>1049.6500000000001</v>
      </c>
      <c r="K10" s="26">
        <f t="shared" si="3"/>
        <v>347.90000000000009</v>
      </c>
    </row>
    <row r="11" spans="1:12" x14ac:dyDescent="0.25">
      <c r="C11" s="50"/>
      <c r="D11" s="2"/>
      <c r="F11" s="26"/>
      <c r="G11" s="50"/>
      <c r="H11" s="2"/>
      <c r="J11" s="26"/>
      <c r="K11" s="26"/>
    </row>
    <row r="12" spans="1:12" x14ac:dyDescent="0.25">
      <c r="A12" t="s">
        <v>394</v>
      </c>
      <c r="B12" t="s">
        <v>396</v>
      </c>
      <c r="C12" s="50">
        <v>43729</v>
      </c>
      <c r="D12" s="2">
        <v>500</v>
      </c>
      <c r="E12">
        <f t="shared" si="4"/>
        <v>21.4099</v>
      </c>
      <c r="F12" s="26">
        <v>10704.95</v>
      </c>
      <c r="G12" s="50">
        <v>43356</v>
      </c>
      <c r="H12" s="2">
        <v>500</v>
      </c>
      <c r="I12">
        <f t="shared" si="2"/>
        <v>25.18308</v>
      </c>
      <c r="J12" s="26">
        <v>12591.54</v>
      </c>
      <c r="K12" s="26">
        <f t="shared" si="3"/>
        <v>1886.5900000000001</v>
      </c>
    </row>
    <row r="13" spans="1:12" x14ac:dyDescent="0.25">
      <c r="C13" s="50"/>
      <c r="D13" s="2"/>
      <c r="F13" s="26"/>
      <c r="G13" s="50"/>
      <c r="H13" s="2"/>
      <c r="J13" s="26"/>
      <c r="K13" s="26"/>
    </row>
    <row r="14" spans="1:12" x14ac:dyDescent="0.25">
      <c r="A14" t="s">
        <v>23</v>
      </c>
      <c r="C14" s="50">
        <v>40359</v>
      </c>
      <c r="D14" s="2">
        <v>1766</v>
      </c>
      <c r="E14">
        <f t="shared" si="4"/>
        <v>4.0156342015855042</v>
      </c>
      <c r="F14" s="26">
        <v>7091.61</v>
      </c>
      <c r="G14" s="50">
        <v>43356</v>
      </c>
      <c r="H14" s="2">
        <v>1766</v>
      </c>
      <c r="I14">
        <v>7.27</v>
      </c>
      <c r="J14" s="26">
        <f>H14*I14</f>
        <v>12838.82</v>
      </c>
      <c r="K14" s="26">
        <f t="shared" si="3"/>
        <v>5747.21</v>
      </c>
    </row>
    <row r="15" spans="1:12" x14ac:dyDescent="0.25">
      <c r="C15" s="50">
        <v>40398</v>
      </c>
      <c r="D15" s="2">
        <v>22</v>
      </c>
      <c r="E15">
        <f t="shared" si="4"/>
        <v>3.709090909090909</v>
      </c>
      <c r="F15" s="26">
        <v>81.599999999999994</v>
      </c>
      <c r="G15" s="50">
        <v>43356</v>
      </c>
      <c r="H15" s="2">
        <v>22</v>
      </c>
      <c r="I15">
        <v>7.27</v>
      </c>
      <c r="J15" s="26">
        <f t="shared" ref="J15:J20" si="5">H15*I15</f>
        <v>159.94</v>
      </c>
      <c r="K15" s="26">
        <f t="shared" si="3"/>
        <v>78.34</v>
      </c>
    </row>
    <row r="16" spans="1:12" x14ac:dyDescent="0.25">
      <c r="C16" s="50">
        <v>40644</v>
      </c>
      <c r="D16" s="2">
        <v>47</v>
      </c>
      <c r="E16">
        <f t="shared" si="4"/>
        <v>3.3817021276595742</v>
      </c>
      <c r="F16" s="26">
        <v>158.94</v>
      </c>
      <c r="G16" s="50">
        <v>43356</v>
      </c>
      <c r="H16" s="2">
        <v>47</v>
      </c>
      <c r="I16">
        <v>7.27</v>
      </c>
      <c r="J16" s="26">
        <f t="shared" si="5"/>
        <v>341.69</v>
      </c>
      <c r="K16" s="26">
        <f t="shared" si="3"/>
        <v>182.75</v>
      </c>
    </row>
    <row r="17" spans="1:11" x14ac:dyDescent="0.25">
      <c r="C17" s="50">
        <v>41003</v>
      </c>
      <c r="D17" s="2">
        <v>28</v>
      </c>
      <c r="E17">
        <f t="shared" si="4"/>
        <v>3.32</v>
      </c>
      <c r="F17" s="26">
        <v>92.96</v>
      </c>
      <c r="G17" s="50">
        <v>43356</v>
      </c>
      <c r="H17" s="2">
        <v>28</v>
      </c>
      <c r="I17">
        <v>7.27</v>
      </c>
      <c r="J17" s="26">
        <f t="shared" si="5"/>
        <v>203.56</v>
      </c>
      <c r="K17" s="26">
        <f t="shared" si="3"/>
        <v>110.60000000000001</v>
      </c>
    </row>
    <row r="18" spans="1:11" x14ac:dyDescent="0.25">
      <c r="C18" s="50">
        <v>41185</v>
      </c>
      <c r="D18" s="2">
        <v>51</v>
      </c>
      <c r="E18">
        <f t="shared" si="4"/>
        <v>4.33</v>
      </c>
      <c r="F18" s="26">
        <v>220.83</v>
      </c>
      <c r="G18" s="50">
        <v>43356</v>
      </c>
      <c r="H18" s="2">
        <v>51</v>
      </c>
      <c r="I18">
        <v>7.27</v>
      </c>
      <c r="J18" s="26">
        <f t="shared" si="5"/>
        <v>370.77</v>
      </c>
      <c r="K18" s="26">
        <f t="shared" si="3"/>
        <v>149.93999999999997</v>
      </c>
    </row>
    <row r="19" spans="1:11" x14ac:dyDescent="0.25">
      <c r="C19" s="50">
        <v>41367</v>
      </c>
      <c r="D19" s="2">
        <v>37</v>
      </c>
      <c r="E19">
        <f t="shared" si="4"/>
        <v>5.67</v>
      </c>
      <c r="F19" s="26">
        <v>209.79</v>
      </c>
      <c r="G19" s="50">
        <v>43356</v>
      </c>
      <c r="H19" s="2">
        <v>37</v>
      </c>
      <c r="I19">
        <v>7.27</v>
      </c>
      <c r="J19" s="26">
        <f t="shared" si="5"/>
        <v>268.99</v>
      </c>
      <c r="K19" s="26">
        <f t="shared" si="3"/>
        <v>59.200000000000017</v>
      </c>
    </row>
    <row r="20" spans="1:11" x14ac:dyDescent="0.25">
      <c r="C20" s="50">
        <v>41656</v>
      </c>
      <c r="D20" s="2">
        <v>2742</v>
      </c>
      <c r="E20">
        <f t="shared" si="4"/>
        <v>5.4704595185995624</v>
      </c>
      <c r="F20" s="26">
        <v>15000</v>
      </c>
      <c r="G20" s="50">
        <v>43356</v>
      </c>
      <c r="H20" s="2">
        <v>2742</v>
      </c>
      <c r="I20">
        <v>7.27</v>
      </c>
      <c r="J20" s="26">
        <f t="shared" si="5"/>
        <v>19934.34</v>
      </c>
      <c r="K20" s="26">
        <f t="shared" si="3"/>
        <v>4934.34</v>
      </c>
    </row>
    <row r="21" spans="1:11" x14ac:dyDescent="0.25">
      <c r="C21" s="208" t="s">
        <v>93</v>
      </c>
      <c r="D21" s="211">
        <f>SUM(D14:D20)</f>
        <v>4693</v>
      </c>
      <c r="E21" s="208"/>
      <c r="F21" s="210">
        <f>SUM(F14:F20)</f>
        <v>22855.73</v>
      </c>
      <c r="G21" s="209"/>
      <c r="H21" s="211"/>
      <c r="I21" s="208"/>
      <c r="J21" s="210">
        <f>SUM(J14:J20)</f>
        <v>34118.11</v>
      </c>
      <c r="K21" s="210">
        <f>J21-F21</f>
        <v>11262.380000000001</v>
      </c>
    </row>
    <row r="22" spans="1:11" x14ac:dyDescent="0.25">
      <c r="C22" s="208"/>
      <c r="D22" s="211"/>
      <c r="E22" s="208"/>
      <c r="F22" s="210"/>
      <c r="G22" s="209"/>
      <c r="H22" s="211"/>
      <c r="I22" s="208"/>
      <c r="J22" s="210"/>
      <c r="K22" s="210"/>
    </row>
    <row r="23" spans="1:11" x14ac:dyDescent="0.25">
      <c r="C23" s="208"/>
      <c r="D23" s="211"/>
      <c r="E23" s="208"/>
      <c r="F23" s="210"/>
      <c r="G23" s="209"/>
      <c r="H23" s="211"/>
      <c r="I23" s="208"/>
      <c r="J23" s="210"/>
      <c r="K23" s="210"/>
    </row>
    <row r="24" spans="1:11" x14ac:dyDescent="0.25">
      <c r="A24" t="s">
        <v>477</v>
      </c>
      <c r="B24" t="s">
        <v>478</v>
      </c>
      <c r="C24" s="50">
        <v>40724</v>
      </c>
      <c r="D24" s="2">
        <v>690</v>
      </c>
      <c r="E24">
        <f t="shared" si="4"/>
        <v>2.1409130434782608</v>
      </c>
      <c r="F24" s="26">
        <v>1477.23</v>
      </c>
      <c r="G24" s="50">
        <v>43356</v>
      </c>
      <c r="H24" s="2">
        <v>690</v>
      </c>
      <c r="I24">
        <v>7.7919999999999998</v>
      </c>
      <c r="J24" s="26">
        <f t="shared" ref="J24:J26" si="6">H24*I24</f>
        <v>5376.48</v>
      </c>
      <c r="K24" s="26">
        <f t="shared" si="3"/>
        <v>3899.2499999999995</v>
      </c>
    </row>
    <row r="25" spans="1:11" x14ac:dyDescent="0.25">
      <c r="C25" s="50">
        <v>41075</v>
      </c>
      <c r="D25" s="2">
        <v>17</v>
      </c>
      <c r="E25">
        <f t="shared" si="4"/>
        <v>2.92</v>
      </c>
      <c r="F25" s="26">
        <v>49.64</v>
      </c>
      <c r="G25" s="50">
        <v>43356</v>
      </c>
      <c r="H25" s="2">
        <v>17</v>
      </c>
      <c r="I25">
        <v>7.7919999999999998</v>
      </c>
      <c r="J25" s="26">
        <f t="shared" si="6"/>
        <v>132.464</v>
      </c>
      <c r="K25" s="26">
        <f t="shared" si="3"/>
        <v>82.823999999999998</v>
      </c>
    </row>
    <row r="26" spans="1:11" x14ac:dyDescent="0.25">
      <c r="C26" s="50">
        <v>41260</v>
      </c>
      <c r="D26" s="2">
        <v>16</v>
      </c>
      <c r="E26">
        <f t="shared" si="4"/>
        <v>3.48</v>
      </c>
      <c r="F26" s="26">
        <v>55.68</v>
      </c>
      <c r="G26" s="50">
        <v>43356</v>
      </c>
      <c r="H26" s="2">
        <v>16</v>
      </c>
      <c r="I26">
        <v>7.7919999999999998</v>
      </c>
      <c r="J26" s="26">
        <f t="shared" si="6"/>
        <v>124.672</v>
      </c>
      <c r="K26" s="26">
        <f t="shared" si="3"/>
        <v>68.99199999999999</v>
      </c>
    </row>
    <row r="27" spans="1:11" x14ac:dyDescent="0.25">
      <c r="C27" s="208" t="s">
        <v>93</v>
      </c>
      <c r="D27" s="211">
        <f>SUM(D24:D26)</f>
        <v>723</v>
      </c>
      <c r="E27" s="208"/>
      <c r="F27" s="210">
        <f>SUM(F24:F26)</f>
        <v>1582.5500000000002</v>
      </c>
      <c r="G27" s="209"/>
      <c r="H27" s="211">
        <f>SUM(H24:H26)</f>
        <v>723</v>
      </c>
      <c r="I27" s="208"/>
      <c r="J27" s="210">
        <f>SUM(J24:J26)</f>
        <v>5633.6159999999991</v>
      </c>
      <c r="K27" s="210">
        <f>SUM(K24:K26)</f>
        <v>4051.0659999999998</v>
      </c>
    </row>
    <row r="28" spans="1:11" x14ac:dyDescent="0.25">
      <c r="C28" s="50"/>
      <c r="D28" s="2"/>
      <c r="F28" s="26"/>
      <c r="G28" s="50"/>
      <c r="H28" s="2"/>
      <c r="J28" s="26"/>
      <c r="K28" s="26"/>
    </row>
    <row r="29" spans="1:11" x14ac:dyDescent="0.25">
      <c r="A29" t="s">
        <v>26</v>
      </c>
      <c r="B29" t="s">
        <v>476</v>
      </c>
      <c r="C29" s="50">
        <v>40724</v>
      </c>
      <c r="D29" s="2">
        <v>690</v>
      </c>
      <c r="E29">
        <f t="shared" si="4"/>
        <v>20.160246376811592</v>
      </c>
      <c r="F29" s="26">
        <v>13910.57</v>
      </c>
      <c r="G29" s="50">
        <v>43356</v>
      </c>
      <c r="H29" s="2">
        <v>690</v>
      </c>
      <c r="I29">
        <f>J29/H29</f>
        <v>16.366463768115942</v>
      </c>
      <c r="J29" s="26">
        <v>11292.86</v>
      </c>
      <c r="K29" s="26">
        <f t="shared" ref="K29" si="7">J29-F29</f>
        <v>-2617.7099999999991</v>
      </c>
    </row>
    <row r="30" spans="1:11" x14ac:dyDescent="0.25">
      <c r="J30" s="26"/>
      <c r="K30" s="26"/>
    </row>
    <row r="31" spans="1:11" x14ac:dyDescent="0.25">
      <c r="J31" s="26" t="s">
        <v>93</v>
      </c>
      <c r="K31" s="26">
        <f>K4+K6+K8+K10+K12+K21+K27+K29</f>
        <v>13472.866000000002</v>
      </c>
    </row>
  </sheetData>
  <pageMargins left="0.7" right="0.7" top="0.75" bottom="0.75" header="0.3" footer="0.3"/>
  <pageSetup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734AE-82D9-4181-AC1C-7491031D4286}">
  <sheetPr>
    <tabColor rgb="FF7030A0"/>
    <pageSetUpPr fitToPage="1"/>
  </sheetPr>
  <dimension ref="A1"/>
  <sheetViews>
    <sheetView workbookViewId="0"/>
  </sheetViews>
  <sheetFormatPr defaultRowHeight="15" x14ac:dyDescent="0.25"/>
  <cols>
    <col min="1" max="1" width="9.140625" customWidth="1"/>
    <col min="2" max="2" width="81.7109375" customWidth="1"/>
  </cols>
  <sheetData/>
  <pageMargins left="0.70866141732283505" right="0.70866141732283505" top="0.74803149606299202" bottom="0.74803149606299202" header="0.31496062992126" footer="0.31496062992126"/>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7030A0"/>
    <pageSetUpPr fitToPage="1"/>
  </sheetPr>
  <dimension ref="A26:B38"/>
  <sheetViews>
    <sheetView workbookViewId="0">
      <selection sqref="A1:B24"/>
    </sheetView>
  </sheetViews>
  <sheetFormatPr defaultRowHeight="15" x14ac:dyDescent="0.25"/>
  <cols>
    <col min="1" max="1" width="9.140625" customWidth="1"/>
    <col min="2" max="2" width="81.7109375" customWidth="1"/>
  </cols>
  <sheetData>
    <row r="26" spans="1:2" x14ac:dyDescent="0.25">
      <c r="B26" s="39"/>
    </row>
    <row r="30" spans="1:2" x14ac:dyDescent="0.25">
      <c r="A30" s="17"/>
    </row>
    <row r="32" spans="1:2" x14ac:dyDescent="0.25">
      <c r="B32" s="39"/>
    </row>
    <row r="34" spans="1:2" x14ac:dyDescent="0.25">
      <c r="A34" s="17"/>
    </row>
    <row r="36" spans="1:2" x14ac:dyDescent="0.25">
      <c r="B36" s="39"/>
    </row>
    <row r="38" spans="1:2" x14ac:dyDescent="0.25">
      <c r="B38" s="39"/>
    </row>
  </sheetData>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E25BF-63F1-4900-BC2F-5442C99FB491}">
  <sheetPr>
    <tabColor rgb="FF7030A0"/>
    <pageSetUpPr fitToPage="1"/>
  </sheetPr>
  <dimension ref="A1:F54"/>
  <sheetViews>
    <sheetView workbookViewId="0">
      <selection activeCell="A4" sqref="A4:F37"/>
    </sheetView>
  </sheetViews>
  <sheetFormatPr defaultRowHeight="15" x14ac:dyDescent="0.25"/>
  <cols>
    <col min="2" max="2" width="57.85546875" customWidth="1"/>
    <col min="3" max="3" width="7" customWidth="1"/>
    <col min="4" max="4" width="12.7109375" customWidth="1"/>
    <col min="5" max="5" width="3.7109375" customWidth="1"/>
    <col min="6" max="6" width="12.7109375" customWidth="1"/>
  </cols>
  <sheetData>
    <row r="1" spans="1:6" x14ac:dyDescent="0.25">
      <c r="A1" t="s">
        <v>300</v>
      </c>
      <c r="B1" s="31" t="s">
        <v>39</v>
      </c>
      <c r="C1" s="31"/>
      <c r="D1" s="62"/>
      <c r="E1" s="31"/>
      <c r="F1" s="204"/>
    </row>
    <row r="2" spans="1:6" x14ac:dyDescent="0.25">
      <c r="B2" s="31" t="s">
        <v>40</v>
      </c>
      <c r="C2" s="31"/>
      <c r="D2" s="62"/>
      <c r="E2" s="31"/>
      <c r="F2" s="31"/>
    </row>
    <row r="3" spans="1:6" x14ac:dyDescent="0.25">
      <c r="B3" s="31"/>
      <c r="C3" s="31"/>
      <c r="D3" s="62"/>
      <c r="E3" s="31"/>
      <c r="F3" s="31"/>
    </row>
    <row r="38" spans="1:6" x14ac:dyDescent="0.25">
      <c r="A38" s="1"/>
    </row>
    <row r="40" spans="1:6" x14ac:dyDescent="0.25">
      <c r="D40" s="19"/>
      <c r="E40" s="19"/>
      <c r="F40" s="19"/>
    </row>
    <row r="42" spans="1:6" x14ac:dyDescent="0.25">
      <c r="A42" s="1"/>
    </row>
    <row r="47" spans="1:6" x14ac:dyDescent="0.25">
      <c r="D47" s="2"/>
      <c r="E47" s="2"/>
      <c r="F47" s="2"/>
    </row>
    <row r="48" spans="1:6" x14ac:dyDescent="0.25">
      <c r="D48" s="2"/>
      <c r="E48" s="2"/>
      <c r="F48" s="2"/>
    </row>
    <row r="49" spans="2:6" x14ac:dyDescent="0.25">
      <c r="D49" s="2"/>
      <c r="E49" s="2"/>
      <c r="F49" s="2"/>
    </row>
    <row r="50" spans="2:6" x14ac:dyDescent="0.25">
      <c r="D50" s="19"/>
      <c r="E50" s="19"/>
      <c r="F50" s="19"/>
    </row>
    <row r="53" spans="2:6" x14ac:dyDescent="0.25">
      <c r="B53" s="29" t="s">
        <v>192</v>
      </c>
    </row>
    <row r="54" spans="2:6" x14ac:dyDescent="0.25">
      <c r="B54" s="101"/>
    </row>
  </sheetData>
  <pageMargins left="0.70866141732283505" right="0.70866141732283505" top="0.74803149606299202" bottom="0.74803149606299202" header="0.31496062992126" footer="0.31496062992126"/>
  <pageSetup paperSize="9" scale="84" orientation="portrait" r:id="rId1"/>
  <headerFooter>
    <oddFooter>&amp;R&amp;D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38C1-B7A7-4452-8CAF-306BD5E67543}">
  <sheetPr>
    <tabColor rgb="FF7030A0"/>
    <pageSetUpPr fitToPage="1"/>
  </sheetPr>
  <dimension ref="B57:G65"/>
  <sheetViews>
    <sheetView workbookViewId="0">
      <selection sqref="A1:E63"/>
    </sheetView>
  </sheetViews>
  <sheetFormatPr defaultRowHeight="15" x14ac:dyDescent="0.25"/>
  <cols>
    <col min="2" max="2" width="54.85546875" customWidth="1"/>
    <col min="3" max="3" width="12.7109375" customWidth="1"/>
    <col min="4" max="4" width="3.7109375" customWidth="1"/>
    <col min="5" max="5" width="12.7109375" customWidth="1"/>
  </cols>
  <sheetData>
    <row r="57" spans="3:7" x14ac:dyDescent="0.25">
      <c r="F57" s="12"/>
      <c r="G57" s="12"/>
    </row>
    <row r="58" spans="3:7" x14ac:dyDescent="0.25">
      <c r="F58" s="12"/>
      <c r="G58" s="12"/>
    </row>
    <row r="59" spans="3:7" x14ac:dyDescent="0.25">
      <c r="F59" s="12"/>
      <c r="G59" s="12"/>
    </row>
    <row r="60" spans="3:7" x14ac:dyDescent="0.25">
      <c r="G60" s="12"/>
    </row>
    <row r="64" spans="3:7" x14ac:dyDescent="0.25">
      <c r="C64" s="19"/>
      <c r="D64" s="2"/>
      <c r="E64" s="19"/>
    </row>
    <row r="65" spans="2:2" x14ac:dyDescent="0.25">
      <c r="B65" s="93"/>
    </row>
  </sheetData>
  <pageMargins left="0.70866141732283505" right="0.70866141732283505" top="0.74803149606299202" bottom="0.74803149606299202" header="0.31496062992126" footer="0.31496062992126"/>
  <pageSetup scale="77" orientation="portrait" r:id="rId1"/>
  <headerFooter>
    <oddFooter>&amp;R&amp;D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74E3-4C3C-46B1-BCED-3B906828A51E}">
  <sheetPr>
    <tabColor rgb="FF7030A0"/>
    <pageSetUpPr fitToPage="1"/>
  </sheetPr>
  <dimension ref="B48:O69"/>
  <sheetViews>
    <sheetView workbookViewId="0">
      <selection sqref="A1:E42"/>
    </sheetView>
  </sheetViews>
  <sheetFormatPr defaultRowHeight="15" x14ac:dyDescent="0.25"/>
  <cols>
    <col min="2" max="2" width="68" customWidth="1"/>
    <col min="3" max="3" width="12.7109375" customWidth="1"/>
    <col min="4" max="4" width="3.7109375" customWidth="1"/>
    <col min="5" max="5" width="12.7109375" customWidth="1"/>
  </cols>
  <sheetData>
    <row r="48" spans="6:7" x14ac:dyDescent="0.25">
      <c r="F48" s="12"/>
      <c r="G48" s="12"/>
    </row>
    <row r="49" spans="2:15" x14ac:dyDescent="0.25">
      <c r="B49" s="93"/>
    </row>
    <row r="50" spans="2:15" x14ac:dyDescent="0.25">
      <c r="G50" s="12"/>
    </row>
    <row r="60" spans="2:15" x14ac:dyDescent="0.25">
      <c r="M60">
        <v>6372.67</v>
      </c>
      <c r="O60">
        <v>12752.11</v>
      </c>
    </row>
    <row r="61" spans="2:15" x14ac:dyDescent="0.25">
      <c r="M61">
        <v>-118</v>
      </c>
      <c r="O61">
        <v>-6497.44</v>
      </c>
    </row>
    <row r="62" spans="2:15" x14ac:dyDescent="0.25">
      <c r="M62">
        <f>SUM(M60:M61)</f>
        <v>6254.67</v>
      </c>
      <c r="O62">
        <f>SUM(O60:O61)</f>
        <v>6254.670000000001</v>
      </c>
    </row>
    <row r="69" spans="6:6" x14ac:dyDescent="0.25">
      <c r="F69" s="12"/>
    </row>
  </sheetData>
  <pageMargins left="0.70866141732283505" right="0.70866141732283505" top="0.74803149606299202" bottom="0.74803149606299202" header="0.31496062992126" footer="0.31496062992126"/>
  <pageSetup paperSize="9" scale="44" orientation="portrait" r:id="rId1"/>
  <headerFooter>
    <oddFooter>&amp;R&amp;D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7FBC-2E59-447A-BAA4-D27529A767BB}">
  <sheetPr>
    <tabColor rgb="FF7030A0"/>
    <pageSetUpPr fitToPage="1"/>
  </sheetPr>
  <dimension ref="F16:H89"/>
  <sheetViews>
    <sheetView workbookViewId="0">
      <selection sqref="A1:E58"/>
    </sheetView>
  </sheetViews>
  <sheetFormatPr defaultRowHeight="15" x14ac:dyDescent="0.25"/>
  <cols>
    <col min="2" max="2" width="59.5703125" customWidth="1"/>
    <col min="3" max="3" width="12.7109375" customWidth="1"/>
    <col min="4" max="4" width="3.7109375" customWidth="1"/>
    <col min="5" max="5" width="12.7109375" customWidth="1"/>
  </cols>
  <sheetData>
    <row r="16" spans="8:8" x14ac:dyDescent="0.25">
      <c r="H16" s="12"/>
    </row>
    <row r="68" spans="6:7" x14ac:dyDescent="0.25">
      <c r="F68" s="12"/>
      <c r="G68" s="12"/>
    </row>
    <row r="70" spans="6:7" x14ac:dyDescent="0.25">
      <c r="G70" s="12"/>
    </row>
    <row r="89" spans="6:6" x14ac:dyDescent="0.25">
      <c r="F89" s="12"/>
    </row>
  </sheetData>
  <pageMargins left="0.70866141732283505" right="0.70866141732283505" top="0.74803149606299202" bottom="0.74803149606299202" header="0.31496062992126" footer="0.31496062992126"/>
  <pageSetup paperSize="9" scale="83" orientation="portrait" r:id="rId1"/>
  <headerFooter>
    <oddFooter>&amp;R&amp;D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C05D-917A-46A1-83B6-9EB2BB993E80}">
  <sheetPr>
    <tabColor rgb="FF7030A0"/>
    <pageSetUpPr fitToPage="1"/>
  </sheetPr>
  <dimension ref="B42:G71"/>
  <sheetViews>
    <sheetView zoomScaleNormal="100" workbookViewId="0">
      <selection sqref="A1:E41"/>
    </sheetView>
  </sheetViews>
  <sheetFormatPr defaultRowHeight="15" x14ac:dyDescent="0.25"/>
  <cols>
    <col min="2" max="2" width="62" customWidth="1"/>
    <col min="3" max="3" width="16.5703125" customWidth="1"/>
    <col min="4" max="4" width="3.7109375" customWidth="1"/>
    <col min="5" max="5" width="17.5703125" customWidth="1"/>
  </cols>
  <sheetData>
    <row r="42" spans="2:5" x14ac:dyDescent="0.25">
      <c r="C42" s="19"/>
      <c r="D42" s="19"/>
      <c r="E42" s="19"/>
    </row>
    <row r="43" spans="2:5" x14ac:dyDescent="0.25">
      <c r="B43" s="20"/>
      <c r="C43" s="19"/>
      <c r="D43" s="19"/>
      <c r="E43" s="19"/>
    </row>
    <row r="44" spans="2:5" x14ac:dyDescent="0.25">
      <c r="B44" s="20"/>
      <c r="C44" s="20"/>
      <c r="D44" s="20"/>
      <c r="E44" s="20"/>
    </row>
    <row r="45" spans="2:5" x14ac:dyDescent="0.25">
      <c r="B45" s="20"/>
      <c r="C45" s="19"/>
      <c r="D45" s="19"/>
      <c r="E45" s="19"/>
    </row>
    <row r="46" spans="2:5" x14ac:dyDescent="0.25">
      <c r="B46" s="20"/>
      <c r="C46" s="20"/>
      <c r="D46" s="20"/>
      <c r="E46" s="20"/>
    </row>
    <row r="47" spans="2:5" x14ac:dyDescent="0.25">
      <c r="B47" s="20"/>
      <c r="C47" s="20"/>
      <c r="D47" s="20"/>
      <c r="E47" s="20"/>
    </row>
    <row r="48" spans="2:5" x14ac:dyDescent="0.25">
      <c r="B48" s="20"/>
      <c r="C48" s="20"/>
      <c r="D48" s="20"/>
      <c r="E48" s="20"/>
    </row>
    <row r="49" spans="2:7" x14ac:dyDescent="0.25">
      <c r="B49" s="20"/>
      <c r="C49" s="20"/>
      <c r="D49" s="20"/>
      <c r="E49" s="20"/>
    </row>
    <row r="50" spans="2:7" x14ac:dyDescent="0.25">
      <c r="B50" s="20"/>
      <c r="C50" s="20"/>
      <c r="D50" s="20"/>
      <c r="E50" s="20"/>
      <c r="F50" s="12"/>
      <c r="G50" s="12"/>
    </row>
    <row r="51" spans="2:7" x14ac:dyDescent="0.25">
      <c r="B51" s="93"/>
      <c r="C51" s="21"/>
    </row>
    <row r="52" spans="2:7" x14ac:dyDescent="0.25">
      <c r="C52" s="21"/>
      <c r="G52" s="12"/>
    </row>
    <row r="71" spans="6:6" x14ac:dyDescent="0.25">
      <c r="F71" s="12"/>
    </row>
  </sheetData>
  <pageMargins left="0.70866141732283505" right="0.70866141732283505" top="0.74803149606299202" bottom="0.74803149606299202" header="0.31496062992126" footer="0.31496062992126"/>
  <pageSetup paperSize="9" scale="80" orientation="portrait" r:id="rId1"/>
  <headerFoot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EBB51-E08C-43F6-8DEA-0A5383FFE8DD}">
  <sheetPr>
    <tabColor rgb="FF00B050"/>
    <pageSetUpPr fitToPage="1"/>
  </sheetPr>
  <dimension ref="A1:O469"/>
  <sheetViews>
    <sheetView tabSelected="1" view="pageBreakPreview" topLeftCell="A59" zoomScale="60" zoomScaleNormal="100" workbookViewId="0">
      <selection activeCell="D80" sqref="D80"/>
    </sheetView>
  </sheetViews>
  <sheetFormatPr defaultRowHeight="15" x14ac:dyDescent="0.25"/>
  <cols>
    <col min="1" max="1" width="9.28515625" bestFit="1" customWidth="1"/>
    <col min="2" max="2" width="61.85546875" customWidth="1"/>
    <col min="3" max="3" width="7" customWidth="1"/>
    <col min="4" max="4" width="12.7109375" customWidth="1"/>
    <col min="5" max="5" width="3.7109375" customWidth="1"/>
    <col min="6" max="6" width="13.7109375" customWidth="1"/>
    <col min="7" max="7" width="14" customWidth="1"/>
    <col min="8" max="8" width="12" bestFit="1" customWidth="1"/>
    <col min="9" max="9" width="13.42578125" bestFit="1" customWidth="1"/>
    <col min="10" max="10" width="11.42578125" bestFit="1" customWidth="1"/>
    <col min="11" max="11" width="11.28515625" customWidth="1"/>
    <col min="12" max="12" width="15.42578125" customWidth="1"/>
    <col min="13" max="13" width="13.42578125" bestFit="1" customWidth="1"/>
    <col min="14" max="14" width="9.28515625" bestFit="1" customWidth="1"/>
  </cols>
  <sheetData>
    <row r="1" spans="1:6" x14ac:dyDescent="0.25">
      <c r="A1" s="31" t="s">
        <v>59</v>
      </c>
      <c r="C1" s="31"/>
      <c r="D1" s="62"/>
      <c r="E1" s="31"/>
      <c r="F1" s="31"/>
    </row>
    <row r="2" spans="1:6" x14ac:dyDescent="0.25">
      <c r="A2" s="31" t="s">
        <v>546</v>
      </c>
      <c r="C2" s="31"/>
      <c r="D2" s="31"/>
      <c r="E2" s="31"/>
      <c r="F2" s="31"/>
    </row>
    <row r="3" spans="1:6" x14ac:dyDescent="0.25">
      <c r="C3" s="28" t="s">
        <v>164</v>
      </c>
      <c r="D3" s="87">
        <v>2021</v>
      </c>
      <c r="E3" s="87"/>
      <c r="F3" s="87">
        <v>2020</v>
      </c>
    </row>
    <row r="4" spans="1:6" x14ac:dyDescent="0.25">
      <c r="B4" s="31"/>
      <c r="C4" s="31"/>
      <c r="D4" s="87" t="s">
        <v>9</v>
      </c>
      <c r="E4" s="87"/>
      <c r="F4" s="87" t="s">
        <v>9</v>
      </c>
    </row>
    <row r="5" spans="1:6" x14ac:dyDescent="0.25">
      <c r="A5" s="15"/>
      <c r="B5" s="89"/>
      <c r="C5" s="89"/>
      <c r="D5" s="89"/>
      <c r="E5" s="89"/>
      <c r="F5" s="89"/>
    </row>
    <row r="8" spans="1:6" x14ac:dyDescent="0.25">
      <c r="B8" s="31" t="s">
        <v>153</v>
      </c>
      <c r="C8" s="31"/>
      <c r="D8" s="2"/>
      <c r="E8" s="2"/>
      <c r="F8" s="2"/>
    </row>
    <row r="9" spans="1:6" x14ac:dyDescent="0.25">
      <c r="B9" t="s">
        <v>154</v>
      </c>
      <c r="C9" s="28">
        <v>1</v>
      </c>
      <c r="D9" s="2">
        <f>'2021 WNO2SF FINANCIAL STATEMENT'!D139</f>
        <v>2351003.67</v>
      </c>
      <c r="E9" s="2"/>
      <c r="F9" s="2">
        <f>'2021 WNO2SF FINANCIAL STATEMENT'!F139</f>
        <v>1595951</v>
      </c>
    </row>
    <row r="10" spans="1:6" x14ac:dyDescent="0.25">
      <c r="B10" t="s">
        <v>155</v>
      </c>
      <c r="C10" s="28">
        <v>2</v>
      </c>
      <c r="D10" s="2">
        <f>'2021 WNO2SF FINANCIAL STATEMENT'!D151</f>
        <v>0</v>
      </c>
      <c r="E10" s="2"/>
      <c r="F10" s="2">
        <f>'2021 WNO2SF FINANCIAL STATEMENT'!F151</f>
        <v>0</v>
      </c>
    </row>
    <row r="11" spans="1:6" x14ac:dyDescent="0.25">
      <c r="B11" t="s">
        <v>531</v>
      </c>
      <c r="C11" s="28">
        <v>3</v>
      </c>
      <c r="D11" s="92">
        <f>D202</f>
        <v>744160</v>
      </c>
      <c r="E11" s="2"/>
      <c r="F11" s="2">
        <f>F167</f>
        <v>687174</v>
      </c>
    </row>
    <row r="12" spans="1:6" x14ac:dyDescent="0.25">
      <c r="B12" s="31" t="s">
        <v>156</v>
      </c>
      <c r="C12" s="28"/>
      <c r="D12" s="16">
        <f>SUM(D9:D11)</f>
        <v>3095163.67</v>
      </c>
      <c r="E12" s="2"/>
      <c r="F12" s="16">
        <f>SUM(F9:F11)</f>
        <v>2283125</v>
      </c>
    </row>
    <row r="13" spans="1:6" x14ac:dyDescent="0.25">
      <c r="C13" s="28"/>
      <c r="D13" s="2"/>
      <c r="E13" s="2"/>
      <c r="F13" s="2"/>
    </row>
    <row r="14" spans="1:6" x14ac:dyDescent="0.25">
      <c r="B14" s="31" t="s">
        <v>157</v>
      </c>
      <c r="C14" s="28"/>
      <c r="D14" s="2"/>
      <c r="E14" s="2"/>
      <c r="F14" s="2"/>
    </row>
    <row r="15" spans="1:6" x14ac:dyDescent="0.25">
      <c r="B15" t="s">
        <v>193</v>
      </c>
      <c r="C15" s="28">
        <v>4</v>
      </c>
      <c r="D15" s="2">
        <f>'2021 WNO2SF FINANCIAL STATEMENT'!D220</f>
        <v>105902</v>
      </c>
      <c r="E15" s="2"/>
      <c r="F15" s="2">
        <f>'2021 WNO2SF FINANCIAL STATEMENT'!F220</f>
        <v>274279</v>
      </c>
    </row>
    <row r="16" spans="1:6" x14ac:dyDescent="0.25">
      <c r="B16" t="s">
        <v>466</v>
      </c>
      <c r="C16" s="28">
        <v>5</v>
      </c>
      <c r="D16" s="2">
        <f>'2021 WNO2SF FINANCIAL STATEMENT'!D228</f>
        <v>7284</v>
      </c>
      <c r="E16" s="2"/>
      <c r="F16" s="2">
        <f>'2021 WNO2SF FINANCIAL STATEMENT'!F228</f>
        <v>2665</v>
      </c>
    </row>
    <row r="17" spans="1:10" x14ac:dyDescent="0.25">
      <c r="B17" s="31" t="s">
        <v>158</v>
      </c>
      <c r="C17" s="28"/>
      <c r="D17" s="16">
        <f>SUM(D14:D16)</f>
        <v>113186</v>
      </c>
      <c r="E17" s="2"/>
      <c r="F17" s="16">
        <f>SUM(F14:F16)</f>
        <v>276944</v>
      </c>
    </row>
    <row r="18" spans="1:10" x14ac:dyDescent="0.25">
      <c r="C18" s="28"/>
      <c r="D18" s="2"/>
      <c r="E18" s="2"/>
      <c r="F18" s="2"/>
    </row>
    <row r="19" spans="1:10" x14ac:dyDescent="0.25">
      <c r="B19" s="31" t="s">
        <v>159</v>
      </c>
      <c r="C19" s="28"/>
      <c r="D19" s="16">
        <f>D12+D17</f>
        <v>3208349.67</v>
      </c>
      <c r="E19" s="2"/>
      <c r="F19" s="16">
        <f>F12+F17</f>
        <v>2560069</v>
      </c>
    </row>
    <row r="20" spans="1:10" x14ac:dyDescent="0.25">
      <c r="C20" s="28"/>
      <c r="D20" s="2"/>
      <c r="E20" s="2"/>
      <c r="F20" s="2"/>
    </row>
    <row r="21" spans="1:10" x14ac:dyDescent="0.25">
      <c r="B21" s="31" t="s">
        <v>160</v>
      </c>
      <c r="C21" s="28"/>
      <c r="D21" s="2"/>
      <c r="E21" s="2"/>
      <c r="F21" s="2"/>
    </row>
    <row r="22" spans="1:10" x14ac:dyDescent="0.25">
      <c r="B22" t="s">
        <v>465</v>
      </c>
      <c r="C22" s="28"/>
      <c r="D22" s="2">
        <v>194</v>
      </c>
      <c r="E22" s="2"/>
      <c r="F22" s="2">
        <v>194</v>
      </c>
    </row>
    <row r="23" spans="1:10" x14ac:dyDescent="0.25">
      <c r="B23" t="s">
        <v>62</v>
      </c>
      <c r="C23" s="28">
        <v>11</v>
      </c>
      <c r="D23" s="19">
        <v>80256</v>
      </c>
      <c r="E23" s="2"/>
      <c r="F23" s="19">
        <f>'2021 WNO2SF FINANCIAL STATEMENT'!F366</f>
        <v>29268</v>
      </c>
    </row>
    <row r="24" spans="1:10" x14ac:dyDescent="0.25">
      <c r="B24" s="31" t="s">
        <v>161</v>
      </c>
      <c r="C24" s="28"/>
      <c r="D24" s="18">
        <f>SUM(D22:D23)</f>
        <v>80450</v>
      </c>
      <c r="F24" s="18">
        <f>SUM(F22:F23)</f>
        <v>29462</v>
      </c>
    </row>
    <row r="25" spans="1:10" x14ac:dyDescent="0.25">
      <c r="A25" s="1"/>
      <c r="B25" s="204"/>
      <c r="C25" s="28"/>
      <c r="J25" s="12"/>
    </row>
    <row r="26" spans="1:10" x14ac:dyDescent="0.25">
      <c r="B26" s="31" t="s">
        <v>162</v>
      </c>
      <c r="C26" s="28"/>
      <c r="D26" s="18">
        <f>D19-D24</f>
        <v>3127899.67</v>
      </c>
      <c r="F26" s="18">
        <f>F19-F24</f>
        <v>2530607</v>
      </c>
      <c r="I26" s="12"/>
      <c r="J26" s="12"/>
    </row>
    <row r="27" spans="1:10" x14ac:dyDescent="0.25">
      <c r="B27" s="20"/>
      <c r="C27" s="59"/>
      <c r="D27" s="19"/>
      <c r="E27" s="19"/>
      <c r="F27" s="19"/>
    </row>
    <row r="28" spans="1:10" x14ac:dyDescent="0.25">
      <c r="B28" s="21" t="s">
        <v>63</v>
      </c>
      <c r="C28" s="90"/>
      <c r="D28" s="20"/>
      <c r="E28" s="20"/>
      <c r="F28" s="20"/>
    </row>
    <row r="29" spans="1:10" x14ac:dyDescent="0.25">
      <c r="A29" s="1"/>
      <c r="C29" s="28"/>
      <c r="D29" s="20"/>
      <c r="F29" s="20"/>
      <c r="I29" s="12"/>
    </row>
    <row r="30" spans="1:10" ht="15.75" thickBot="1" x14ac:dyDescent="0.3">
      <c r="B30" s="31" t="s">
        <v>163</v>
      </c>
      <c r="C30" s="28">
        <v>6</v>
      </c>
      <c r="D30" s="47">
        <f>'2021 WNO2SF FINANCIAL STATEMENT'!D237</f>
        <v>3127899.9899999998</v>
      </c>
      <c r="E30" s="2"/>
      <c r="F30" s="47">
        <f>'2021 WNO2SF FINANCIAL STATEMENT'!F237</f>
        <v>2530607</v>
      </c>
      <c r="G30" s="12"/>
      <c r="H30" s="12"/>
    </row>
    <row r="31" spans="1:10" x14ac:dyDescent="0.25">
      <c r="G31" s="12"/>
    </row>
    <row r="32" spans="1:10" x14ac:dyDescent="0.25">
      <c r="A32" s="31" t="s">
        <v>64</v>
      </c>
      <c r="C32" s="31"/>
      <c r="D32" s="31"/>
      <c r="E32" s="31"/>
      <c r="F32" s="31"/>
    </row>
    <row r="33" spans="1:11" x14ac:dyDescent="0.25">
      <c r="A33" s="31" t="s">
        <v>556</v>
      </c>
      <c r="C33" s="31"/>
      <c r="D33" s="31"/>
      <c r="E33" s="31"/>
      <c r="F33" s="31"/>
    </row>
    <row r="34" spans="1:11" x14ac:dyDescent="0.25">
      <c r="B34" s="31"/>
      <c r="C34" s="31"/>
      <c r="D34" s="87">
        <v>2021</v>
      </c>
      <c r="E34" s="87"/>
      <c r="F34" s="87">
        <v>2020</v>
      </c>
      <c r="I34" s="12"/>
    </row>
    <row r="35" spans="1:11" x14ac:dyDescent="0.25">
      <c r="B35" s="31"/>
      <c r="C35" s="28" t="s">
        <v>191</v>
      </c>
      <c r="D35" s="87" t="s">
        <v>9</v>
      </c>
      <c r="E35" s="87"/>
      <c r="F35" s="87" t="s">
        <v>9</v>
      </c>
    </row>
    <row r="36" spans="1:11" x14ac:dyDescent="0.25">
      <c r="A36" s="15"/>
      <c r="B36" s="15"/>
      <c r="C36" s="15"/>
      <c r="D36" s="15"/>
      <c r="E36" s="15"/>
      <c r="F36" s="15"/>
      <c r="K36" s="12"/>
    </row>
    <row r="38" spans="1:11" x14ac:dyDescent="0.25">
      <c r="A38" s="1"/>
      <c r="B38" s="31" t="s">
        <v>149</v>
      </c>
      <c r="C38" s="31"/>
    </row>
    <row r="39" spans="1:11" x14ac:dyDescent="0.25">
      <c r="B39" t="s">
        <v>608</v>
      </c>
      <c r="C39" s="30">
        <v>7</v>
      </c>
      <c r="D39" s="2">
        <f>'2021 WNO2SF FINANCIAL STATEMENT'!D283</f>
        <v>65413.630000000005</v>
      </c>
      <c r="E39" s="2"/>
      <c r="F39" s="2">
        <f>'2021 WNO2SF FINANCIAL STATEMENT'!F283</f>
        <v>68785</v>
      </c>
    </row>
    <row r="40" spans="1:11" x14ac:dyDescent="0.25">
      <c r="B40" t="s">
        <v>604</v>
      </c>
      <c r="C40" s="30"/>
      <c r="D40" s="2">
        <f>-17+10595</f>
        <v>10578</v>
      </c>
      <c r="E40" s="2"/>
      <c r="F40" s="2">
        <v>3398</v>
      </c>
    </row>
    <row r="41" spans="1:11" x14ac:dyDescent="0.25">
      <c r="B41" t="s">
        <v>605</v>
      </c>
      <c r="C41" s="30"/>
      <c r="D41" s="2">
        <v>1345</v>
      </c>
      <c r="E41" s="2"/>
      <c r="F41" s="2">
        <v>6594</v>
      </c>
    </row>
    <row r="42" spans="1:11" x14ac:dyDescent="0.25">
      <c r="B42" t="s">
        <v>607</v>
      </c>
      <c r="C42" s="30"/>
      <c r="D42" s="2">
        <v>0</v>
      </c>
      <c r="E42" s="2"/>
      <c r="F42" s="2">
        <v>0</v>
      </c>
    </row>
    <row r="43" spans="1:11" x14ac:dyDescent="0.25">
      <c r="B43" t="s">
        <v>606</v>
      </c>
      <c r="C43" s="30"/>
      <c r="D43" s="2">
        <v>17</v>
      </c>
      <c r="E43" s="2"/>
      <c r="F43" s="2"/>
    </row>
    <row r="44" spans="1:11" x14ac:dyDescent="0.25">
      <c r="B44" t="s">
        <v>238</v>
      </c>
      <c r="C44" s="30">
        <v>8</v>
      </c>
      <c r="D44" s="2">
        <f>'2021 WNO2SF FINANCIAL STATEMENT'!D297</f>
        <v>36115</v>
      </c>
      <c r="E44" s="2"/>
      <c r="F44" s="2">
        <v>0</v>
      </c>
    </row>
    <row r="45" spans="1:11" x14ac:dyDescent="0.25">
      <c r="B45" s="95" t="s">
        <v>254</v>
      </c>
      <c r="C45" s="30">
        <v>9</v>
      </c>
      <c r="D45" s="2">
        <f>'2021 WNO2SF FINANCIAL STATEMENT'!D326</f>
        <v>509894.35999999987</v>
      </c>
      <c r="E45" s="2"/>
      <c r="F45" s="2">
        <v>-124011</v>
      </c>
    </row>
    <row r="46" spans="1:11" x14ac:dyDescent="0.25">
      <c r="B46" s="31" t="s">
        <v>235</v>
      </c>
      <c r="C46" s="28"/>
      <c r="D46" s="43">
        <f>SUM(D39:D45)</f>
        <v>623362.98999999987</v>
      </c>
      <c r="E46" s="44"/>
      <c r="F46" s="43">
        <f>SUM(F39:F45)</f>
        <v>-45234</v>
      </c>
    </row>
    <row r="47" spans="1:11" x14ac:dyDescent="0.25">
      <c r="C47" s="30"/>
      <c r="D47" s="2"/>
      <c r="E47" s="2"/>
      <c r="F47" s="2"/>
    </row>
    <row r="48" spans="1:11" x14ac:dyDescent="0.25">
      <c r="B48" s="31" t="s">
        <v>69</v>
      </c>
      <c r="C48" s="28"/>
      <c r="D48" s="2"/>
      <c r="E48" s="2"/>
      <c r="F48" s="2"/>
    </row>
    <row r="49" spans="1:9" x14ac:dyDescent="0.25">
      <c r="B49" t="s">
        <v>613</v>
      </c>
      <c r="C49" s="30"/>
      <c r="D49" s="2">
        <v>19005</v>
      </c>
      <c r="E49" s="2"/>
      <c r="F49" s="2">
        <v>29378</v>
      </c>
    </row>
    <row r="50" spans="1:9" x14ac:dyDescent="0.25">
      <c r="B50" t="s">
        <v>614</v>
      </c>
      <c r="C50" s="30"/>
      <c r="D50" s="92">
        <v>3662</v>
      </c>
      <c r="E50" s="2"/>
      <c r="F50" s="92">
        <v>27868</v>
      </c>
    </row>
    <row r="51" spans="1:9" x14ac:dyDescent="0.25">
      <c r="B51" s="31" t="s">
        <v>70</v>
      </c>
      <c r="C51" s="30"/>
      <c r="D51" s="16">
        <f>SUM(D49:D50)</f>
        <v>22667</v>
      </c>
      <c r="E51" s="2"/>
      <c r="F51" s="16">
        <f>SUM(F49:F50)</f>
        <v>57246</v>
      </c>
    </row>
    <row r="52" spans="1:9" x14ac:dyDescent="0.25">
      <c r="C52" s="30"/>
      <c r="D52" s="2"/>
      <c r="E52" s="2"/>
      <c r="F52" s="2"/>
    </row>
    <row r="53" spans="1:9" x14ac:dyDescent="0.25">
      <c r="B53" s="31" t="s">
        <v>71</v>
      </c>
      <c r="C53" s="30"/>
      <c r="D53" s="16">
        <v>0</v>
      </c>
      <c r="E53" s="2"/>
      <c r="F53" s="16">
        <v>0</v>
      </c>
    </row>
    <row r="54" spans="1:9" x14ac:dyDescent="0.25">
      <c r="C54" s="30"/>
      <c r="D54" s="2"/>
      <c r="E54" s="2"/>
      <c r="F54" s="2"/>
    </row>
    <row r="55" spans="1:9" x14ac:dyDescent="0.25">
      <c r="B55" s="31" t="s">
        <v>236</v>
      </c>
      <c r="C55" s="28"/>
      <c r="D55" s="16">
        <f>D46+D51+D53</f>
        <v>646029.98999999987</v>
      </c>
      <c r="E55" s="2"/>
      <c r="F55" s="16">
        <f>F46+F51+F53</f>
        <v>12012</v>
      </c>
    </row>
    <row r="56" spans="1:9" x14ac:dyDescent="0.25">
      <c r="C56" s="30"/>
      <c r="D56" s="2"/>
      <c r="E56" s="2"/>
      <c r="F56" s="2"/>
    </row>
    <row r="57" spans="1:9" x14ac:dyDescent="0.25">
      <c r="B57" s="31" t="s">
        <v>150</v>
      </c>
      <c r="C57" s="30"/>
      <c r="D57" s="19"/>
      <c r="E57" s="2"/>
      <c r="F57" s="19"/>
    </row>
    <row r="58" spans="1:9" x14ac:dyDescent="0.25">
      <c r="B58" s="100" t="s">
        <v>241</v>
      </c>
      <c r="C58" s="30"/>
      <c r="D58" s="19">
        <v>1540</v>
      </c>
      <c r="E58" s="2"/>
      <c r="F58" s="19">
        <v>1540</v>
      </c>
    </row>
    <row r="59" spans="1:9" x14ac:dyDescent="0.25">
      <c r="B59" t="s">
        <v>381</v>
      </c>
      <c r="C59" s="30"/>
      <c r="D59" s="22">
        <v>0</v>
      </c>
      <c r="F59" s="23">
        <v>0</v>
      </c>
    </row>
    <row r="60" spans="1:9" x14ac:dyDescent="0.25">
      <c r="B60" t="s">
        <v>401</v>
      </c>
      <c r="C60" s="30"/>
      <c r="D60" s="22">
        <v>0</v>
      </c>
      <c r="F60" s="23">
        <v>0</v>
      </c>
    </row>
    <row r="61" spans="1:9" x14ac:dyDescent="0.25">
      <c r="B61" t="s">
        <v>526</v>
      </c>
      <c r="C61" s="30"/>
      <c r="D61" s="22">
        <f>2428+138</f>
        <v>2566</v>
      </c>
      <c r="F61" s="23">
        <v>1720</v>
      </c>
    </row>
    <row r="62" spans="1:9" x14ac:dyDescent="0.25">
      <c r="A62" s="1"/>
      <c r="B62" t="s">
        <v>151</v>
      </c>
      <c r="C62" s="30"/>
      <c r="D62" s="2">
        <v>259</v>
      </c>
      <c r="E62" s="2"/>
      <c r="F62" s="24">
        <v>259</v>
      </c>
      <c r="I62">
        <f>460921+48939</f>
        <v>509860</v>
      </c>
    </row>
    <row r="63" spans="1:9" x14ac:dyDescent="0.25">
      <c r="B63" s="45" t="s">
        <v>152</v>
      </c>
      <c r="C63" s="59"/>
      <c r="D63" s="16">
        <f>SUM(D58:D62)</f>
        <v>4365</v>
      </c>
      <c r="E63" s="19"/>
      <c r="F63" s="16">
        <f>SUM(F58:F62)</f>
        <v>3519</v>
      </c>
    </row>
    <row r="64" spans="1:9" x14ac:dyDescent="0.25">
      <c r="B64" s="21"/>
      <c r="C64" s="88"/>
      <c r="D64" s="20"/>
      <c r="E64" s="20"/>
      <c r="F64" s="19"/>
    </row>
    <row r="65" spans="1:12" x14ac:dyDescent="0.25">
      <c r="A65" s="1"/>
      <c r="B65" s="172" t="s">
        <v>73</v>
      </c>
      <c r="C65" s="88"/>
      <c r="D65" s="12">
        <f>D55-D63</f>
        <v>641664.98999999987</v>
      </c>
      <c r="F65" s="2">
        <f>F55-F63</f>
        <v>8493</v>
      </c>
    </row>
    <row r="66" spans="1:12" x14ac:dyDescent="0.25">
      <c r="B66" s="95" t="s">
        <v>455</v>
      </c>
      <c r="C66" s="30">
        <v>10</v>
      </c>
      <c r="D66" s="2">
        <v>-44372</v>
      </c>
      <c r="F66" s="2">
        <v>14414</v>
      </c>
    </row>
    <row r="67" spans="1:12" x14ac:dyDescent="0.25">
      <c r="B67" s="203"/>
      <c r="C67" s="30"/>
      <c r="D67" s="2"/>
      <c r="F67" s="2"/>
    </row>
    <row r="68" spans="1:12" ht="15.75" thickBot="1" x14ac:dyDescent="0.3">
      <c r="B68" s="31" t="s">
        <v>237</v>
      </c>
      <c r="C68" s="30"/>
      <c r="D68" s="46">
        <f>SUM(D65:D66)</f>
        <v>597292.98999999987</v>
      </c>
      <c r="E68" s="2"/>
      <c r="F68" s="46">
        <f>SUM(F65:F67)</f>
        <v>22907</v>
      </c>
    </row>
    <row r="69" spans="1:12" x14ac:dyDescent="0.25">
      <c r="F69" s="2"/>
    </row>
    <row r="70" spans="1:12" x14ac:dyDescent="0.25">
      <c r="B70" s="31"/>
      <c r="D70" s="62"/>
      <c r="E70" s="31"/>
      <c r="F70" s="31"/>
    </row>
    <row r="71" spans="1:12" x14ac:dyDescent="0.25">
      <c r="A71" s="31" t="s">
        <v>41</v>
      </c>
      <c r="D71" s="31"/>
      <c r="E71" s="31"/>
      <c r="F71" s="31"/>
    </row>
    <row r="72" spans="1:12" x14ac:dyDescent="0.25">
      <c r="A72" s="31" t="s">
        <v>556</v>
      </c>
      <c r="D72" s="31"/>
      <c r="E72" s="31"/>
      <c r="F72" s="31"/>
    </row>
    <row r="73" spans="1:12" x14ac:dyDescent="0.25">
      <c r="B73" s="31"/>
      <c r="D73" s="87">
        <v>2021</v>
      </c>
      <c r="E73" s="87"/>
      <c r="F73" s="87">
        <v>2020</v>
      </c>
    </row>
    <row r="74" spans="1:12" x14ac:dyDescent="0.25">
      <c r="B74" s="31"/>
      <c r="D74" s="87" t="s">
        <v>9</v>
      </c>
      <c r="E74" s="87"/>
      <c r="F74" s="87" t="s">
        <v>9</v>
      </c>
      <c r="G74" s="231" t="s">
        <v>565</v>
      </c>
      <c r="H74" s="231"/>
      <c r="I74" s="231"/>
      <c r="J74" s="231" t="s">
        <v>566</v>
      </c>
      <c r="K74" s="231" t="s">
        <v>568</v>
      </c>
      <c r="L74" s="231" t="s">
        <v>568</v>
      </c>
    </row>
    <row r="75" spans="1:12" x14ac:dyDescent="0.25">
      <c r="A75" s="15"/>
      <c r="B75" s="15"/>
      <c r="C75" s="15"/>
      <c r="D75" s="15"/>
      <c r="E75" s="15"/>
      <c r="F75" s="15"/>
      <c r="G75" s="231" t="s">
        <v>8</v>
      </c>
      <c r="H75" s="231" t="s">
        <v>557</v>
      </c>
      <c r="I75" s="231" t="s">
        <v>558</v>
      </c>
      <c r="J75" s="231" t="s">
        <v>567</v>
      </c>
      <c r="K75" s="231" t="s">
        <v>558</v>
      </c>
      <c r="L75" s="231" t="s">
        <v>567</v>
      </c>
    </row>
    <row r="76" spans="1:12" x14ac:dyDescent="0.25">
      <c r="A76" s="87">
        <v>1</v>
      </c>
      <c r="B76" s="31" t="s">
        <v>42</v>
      </c>
      <c r="G76" s="231"/>
      <c r="H76" s="231"/>
      <c r="I76" s="231"/>
      <c r="J76" s="231"/>
      <c r="K76" s="231"/>
      <c r="L76" s="231"/>
    </row>
    <row r="77" spans="1:12" x14ac:dyDescent="0.25">
      <c r="G77" s="231"/>
      <c r="H77" s="231"/>
      <c r="I77" s="231"/>
      <c r="J77" s="231"/>
      <c r="K77" s="231"/>
      <c r="L77" s="231"/>
    </row>
    <row r="78" spans="1:12" x14ac:dyDescent="0.25">
      <c r="B78" s="31" t="s">
        <v>147</v>
      </c>
      <c r="G78" s="231"/>
      <c r="H78" s="231"/>
      <c r="I78" s="231"/>
      <c r="J78" s="231"/>
      <c r="K78" s="231"/>
      <c r="L78" s="231"/>
    </row>
    <row r="79" spans="1:12" x14ac:dyDescent="0.25">
      <c r="B79" s="100" t="s">
        <v>548</v>
      </c>
      <c r="D79" s="2">
        <f>L79*K79</f>
        <v>22695</v>
      </c>
      <c r="F79" s="2">
        <v>0</v>
      </c>
      <c r="G79" s="231">
        <v>1500</v>
      </c>
      <c r="H79" s="242">
        <v>44334</v>
      </c>
      <c r="I79" s="231">
        <v>23774.95</v>
      </c>
      <c r="J79" s="231">
        <v>0</v>
      </c>
      <c r="K79" s="231">
        <v>15.13</v>
      </c>
      <c r="L79" s="231">
        <v>1500</v>
      </c>
    </row>
    <row r="80" spans="1:12" x14ac:dyDescent="0.25">
      <c r="B80" s="100" t="s">
        <v>433</v>
      </c>
      <c r="D80" s="2">
        <f>K80*L80</f>
        <v>30163.000000000004</v>
      </c>
      <c r="E80" s="100"/>
      <c r="F80" s="2">
        <v>17850</v>
      </c>
      <c r="G80" s="231"/>
      <c r="H80" s="231"/>
      <c r="I80" s="231"/>
      <c r="J80" s="231">
        <v>700</v>
      </c>
      <c r="K80" s="231">
        <v>43.09</v>
      </c>
      <c r="L80" s="231">
        <v>700</v>
      </c>
    </row>
    <row r="81" spans="2:14" x14ac:dyDescent="0.25">
      <c r="B81" t="s">
        <v>533</v>
      </c>
      <c r="D81" s="2">
        <f t="shared" ref="D81:D138" si="0">K81*L81</f>
        <v>175337.7</v>
      </c>
      <c r="E81" s="2"/>
      <c r="F81" s="2">
        <v>129310</v>
      </c>
      <c r="G81" s="231"/>
      <c r="H81" s="231"/>
      <c r="I81" s="231"/>
      <c r="J81" s="231">
        <f>4690-560-520</f>
        <v>3610</v>
      </c>
      <c r="K81" s="231">
        <v>48.57</v>
      </c>
      <c r="L81" s="231">
        <f>4690-560-520</f>
        <v>3610</v>
      </c>
    </row>
    <row r="82" spans="2:14" x14ac:dyDescent="0.25">
      <c r="B82" t="s">
        <v>564</v>
      </c>
      <c r="D82" s="2">
        <f t="shared" si="0"/>
        <v>27199.200000000001</v>
      </c>
      <c r="E82" s="2"/>
      <c r="F82" s="2">
        <v>0</v>
      </c>
      <c r="G82" s="231">
        <v>560</v>
      </c>
      <c r="H82" s="242">
        <v>44019</v>
      </c>
      <c r="I82" s="231">
        <v>20173.150000000001</v>
      </c>
      <c r="J82" s="231"/>
      <c r="K82" s="231">
        <f>$K$81</f>
        <v>48.57</v>
      </c>
      <c r="L82" s="231">
        <v>560</v>
      </c>
    </row>
    <row r="83" spans="2:14" x14ac:dyDescent="0.25">
      <c r="B83" t="s">
        <v>563</v>
      </c>
      <c r="D83" s="2">
        <f t="shared" si="0"/>
        <v>25256.400000000001</v>
      </c>
      <c r="E83" s="2"/>
      <c r="F83" s="2">
        <v>0</v>
      </c>
      <c r="G83" s="231">
        <v>520</v>
      </c>
      <c r="H83" s="242">
        <v>44033</v>
      </c>
      <c r="I83" s="231">
        <v>19961.55</v>
      </c>
      <c r="J83" s="231"/>
      <c r="K83" s="231">
        <f>$K$81</f>
        <v>48.57</v>
      </c>
      <c r="L83" s="231">
        <v>520</v>
      </c>
      <c r="M83" s="91">
        <f>SUM(D81:D83)</f>
        <v>227793.30000000002</v>
      </c>
      <c r="N83">
        <f>SUM(I82:I83)</f>
        <v>40134.699999999997</v>
      </c>
    </row>
    <row r="84" spans="2:14" x14ac:dyDescent="0.25">
      <c r="B84" s="100" t="s">
        <v>479</v>
      </c>
      <c r="D84" s="2">
        <f t="shared" si="0"/>
        <v>23887.5</v>
      </c>
      <c r="E84" s="2"/>
      <c r="F84" s="2">
        <v>12318</v>
      </c>
      <c r="G84" s="231"/>
      <c r="H84" s="231"/>
      <c r="I84" s="231"/>
      <c r="J84" s="231">
        <v>3250</v>
      </c>
      <c r="K84" s="231">
        <v>7.35</v>
      </c>
      <c r="L84" s="231">
        <v>3250</v>
      </c>
    </row>
    <row r="85" spans="2:14" x14ac:dyDescent="0.25">
      <c r="B85" s="100" t="s">
        <v>547</v>
      </c>
      <c r="D85" s="2">
        <f t="shared" si="0"/>
        <v>22880</v>
      </c>
      <c r="E85" s="2"/>
      <c r="F85" s="2">
        <v>0</v>
      </c>
      <c r="G85" s="231">
        <v>2000</v>
      </c>
      <c r="H85" s="242">
        <v>44124</v>
      </c>
      <c r="I85" s="231">
        <v>21466.959999999999</v>
      </c>
      <c r="J85" s="231">
        <v>0</v>
      </c>
      <c r="K85" s="231">
        <v>11.44</v>
      </c>
      <c r="L85" s="231">
        <v>2000</v>
      </c>
    </row>
    <row r="86" spans="2:14" x14ac:dyDescent="0.25">
      <c r="B86" t="s">
        <v>434</v>
      </c>
      <c r="D86" s="2">
        <f t="shared" si="0"/>
        <v>469389</v>
      </c>
      <c r="E86" s="2"/>
      <c r="F86" s="2">
        <v>326274</v>
      </c>
      <c r="G86" s="231"/>
      <c r="H86" s="231"/>
      <c r="I86" s="231"/>
      <c r="J86" s="231">
        <f>5225-250-275</f>
        <v>4700</v>
      </c>
      <c r="K86" s="231">
        <v>99.87</v>
      </c>
      <c r="L86" s="231">
        <v>4700</v>
      </c>
      <c r="M86" s="91">
        <f>SUM(D86:D88)</f>
        <v>521820.75</v>
      </c>
    </row>
    <row r="87" spans="2:14" x14ac:dyDescent="0.25">
      <c r="B87" t="s">
        <v>550</v>
      </c>
      <c r="D87" s="2">
        <f t="shared" si="0"/>
        <v>24967.5</v>
      </c>
      <c r="E87" s="2"/>
      <c r="F87" s="2">
        <v>0</v>
      </c>
      <c r="G87" s="231">
        <v>250</v>
      </c>
      <c r="H87" s="242">
        <v>44329</v>
      </c>
      <c r="I87" s="231">
        <v>24114.95</v>
      </c>
      <c r="J87" s="231"/>
      <c r="K87" s="231">
        <f>$K$86</f>
        <v>99.87</v>
      </c>
      <c r="L87" s="231">
        <v>250</v>
      </c>
      <c r="N87">
        <f>SUM(I87:I88)</f>
        <v>43803.32</v>
      </c>
    </row>
    <row r="88" spans="2:14" x14ac:dyDescent="0.25">
      <c r="B88" t="s">
        <v>617</v>
      </c>
      <c r="D88" s="2">
        <f t="shared" si="0"/>
        <v>27464.25</v>
      </c>
      <c r="E88" s="2"/>
      <c r="F88" s="2">
        <v>0</v>
      </c>
      <c r="G88" s="231">
        <v>275</v>
      </c>
      <c r="H88" s="242">
        <v>44019</v>
      </c>
      <c r="I88" s="231">
        <v>19688.37</v>
      </c>
      <c r="J88" s="231"/>
      <c r="K88" s="231">
        <f>$K$86</f>
        <v>99.87</v>
      </c>
      <c r="L88" s="231">
        <v>275</v>
      </c>
    </row>
    <row r="89" spans="2:14" x14ac:dyDescent="0.25">
      <c r="B89" t="s">
        <v>551</v>
      </c>
      <c r="D89" s="2">
        <f t="shared" si="0"/>
        <v>0</v>
      </c>
      <c r="E89" s="2"/>
      <c r="F89" s="2">
        <v>37342</v>
      </c>
      <c r="G89" s="231"/>
      <c r="H89" s="231"/>
      <c r="I89" s="231"/>
      <c r="J89" s="231"/>
      <c r="K89" s="231"/>
      <c r="L89" s="231"/>
    </row>
    <row r="90" spans="2:14" x14ac:dyDescent="0.25">
      <c r="B90" t="s">
        <v>551</v>
      </c>
      <c r="D90" s="2">
        <f t="shared" si="0"/>
        <v>0</v>
      </c>
      <c r="E90" s="2"/>
      <c r="F90" s="2">
        <v>0</v>
      </c>
      <c r="G90" s="231">
        <v>1200</v>
      </c>
      <c r="H90" s="242">
        <v>44019</v>
      </c>
      <c r="I90" s="231">
        <v>10685.95</v>
      </c>
      <c r="J90" s="231"/>
      <c r="K90" s="231"/>
      <c r="L90" s="231"/>
    </row>
    <row r="91" spans="2:14" x14ac:dyDescent="0.25">
      <c r="B91" t="s">
        <v>514</v>
      </c>
      <c r="D91" s="2">
        <f t="shared" si="0"/>
        <v>43579.5</v>
      </c>
      <c r="E91" s="2"/>
      <c r="F91" s="2">
        <f>15453+28331</f>
        <v>43784</v>
      </c>
      <c r="G91" s="231"/>
      <c r="H91" s="231"/>
      <c r="I91" s="231"/>
      <c r="J91" s="231">
        <v>2550</v>
      </c>
      <c r="K91" s="231">
        <v>17.09</v>
      </c>
      <c r="L91" s="231">
        <v>2550</v>
      </c>
    </row>
    <row r="92" spans="2:14" x14ac:dyDescent="0.25">
      <c r="B92" t="s">
        <v>436</v>
      </c>
      <c r="D92" s="2">
        <f t="shared" si="0"/>
        <v>96964.6</v>
      </c>
      <c r="E92" s="2"/>
      <c r="F92" s="2">
        <f>86100+11480</f>
        <v>97580</v>
      </c>
      <c r="G92" s="231"/>
      <c r="H92" s="231"/>
      <c r="I92" s="231"/>
      <c r="J92" s="231">
        <f>410-70</f>
        <v>340</v>
      </c>
      <c r="K92" s="231">
        <v>285.19</v>
      </c>
      <c r="L92" s="231">
        <v>340</v>
      </c>
      <c r="M92" s="91">
        <f>SUM(D92:D93)</f>
        <v>116927.90000000001</v>
      </c>
    </row>
    <row r="93" spans="2:14" x14ac:dyDescent="0.25">
      <c r="B93" t="s">
        <v>615</v>
      </c>
      <c r="D93" s="2">
        <f t="shared" si="0"/>
        <v>19963.3</v>
      </c>
      <c r="E93" s="2"/>
      <c r="F93" s="2">
        <v>0</v>
      </c>
      <c r="G93" s="231">
        <v>70</v>
      </c>
      <c r="H93" s="242">
        <v>44019</v>
      </c>
      <c r="I93" s="231">
        <v>20248.05</v>
      </c>
      <c r="J93" s="231">
        <v>70</v>
      </c>
      <c r="K93" s="231">
        <f>$K$92</f>
        <v>285.19</v>
      </c>
      <c r="L93" s="231">
        <v>70</v>
      </c>
    </row>
    <row r="94" spans="2:14" x14ac:dyDescent="0.25">
      <c r="B94" t="s">
        <v>549</v>
      </c>
      <c r="D94" s="2">
        <f t="shared" si="0"/>
        <v>23040</v>
      </c>
      <c r="E94" s="2"/>
      <c r="F94" s="2">
        <v>0</v>
      </c>
      <c r="G94" s="231">
        <v>4000</v>
      </c>
      <c r="H94" s="242">
        <v>44334</v>
      </c>
      <c r="I94" s="231">
        <v>24749.75</v>
      </c>
      <c r="J94" s="231"/>
      <c r="K94" s="231">
        <v>5.76</v>
      </c>
      <c r="L94" s="231">
        <v>4000</v>
      </c>
    </row>
    <row r="95" spans="2:14" x14ac:dyDescent="0.25">
      <c r="B95" t="s">
        <v>480</v>
      </c>
      <c r="D95" s="2">
        <f t="shared" si="0"/>
        <v>34422.5</v>
      </c>
      <c r="E95" s="2"/>
      <c r="F95" s="2">
        <v>29294</v>
      </c>
      <c r="G95" s="231"/>
      <c r="H95" s="231"/>
      <c r="I95" s="231"/>
      <c r="J95" s="231">
        <v>7025</v>
      </c>
      <c r="K95" s="231">
        <v>4.9000000000000004</v>
      </c>
      <c r="L95" s="231">
        <v>7025</v>
      </c>
      <c r="M95" s="91">
        <f>SUM(D95:D96)</f>
        <v>54022.5</v>
      </c>
    </row>
    <row r="96" spans="2:14" x14ac:dyDescent="0.25">
      <c r="B96" t="s">
        <v>553</v>
      </c>
      <c r="D96" s="2">
        <f t="shared" si="0"/>
        <v>19600</v>
      </c>
      <c r="E96" s="2"/>
      <c r="F96" s="2">
        <v>0</v>
      </c>
      <c r="G96" s="231">
        <v>4000</v>
      </c>
      <c r="H96" s="242">
        <v>44293</v>
      </c>
      <c r="I96" s="231">
        <v>19069.95</v>
      </c>
      <c r="J96" s="231"/>
      <c r="K96" s="231">
        <f>$K$95</f>
        <v>4.9000000000000004</v>
      </c>
      <c r="L96" s="231">
        <v>4000</v>
      </c>
    </row>
    <row r="97" spans="2:14" x14ac:dyDescent="0.25">
      <c r="B97" t="s">
        <v>536</v>
      </c>
      <c r="D97" s="2">
        <f t="shared" si="0"/>
        <v>45328</v>
      </c>
      <c r="E97" s="2"/>
      <c r="F97" s="2">
        <v>46604</v>
      </c>
      <c r="G97" s="231"/>
      <c r="H97" s="231"/>
      <c r="I97" s="231"/>
      <c r="J97" s="231">
        <v>400</v>
      </c>
      <c r="K97" s="231">
        <v>113.32</v>
      </c>
      <c r="L97" s="231">
        <v>400</v>
      </c>
    </row>
    <row r="98" spans="2:14" x14ac:dyDescent="0.25">
      <c r="B98" t="s">
        <v>535</v>
      </c>
      <c r="D98" s="2">
        <f t="shared" si="0"/>
        <v>0</v>
      </c>
      <c r="E98" s="2"/>
      <c r="F98" s="2">
        <v>33571</v>
      </c>
      <c r="G98" s="231"/>
      <c r="H98" s="231"/>
      <c r="I98" s="231"/>
      <c r="J98" s="231"/>
      <c r="K98" s="231"/>
      <c r="L98" s="231"/>
    </row>
    <row r="99" spans="2:14" x14ac:dyDescent="0.25">
      <c r="B99" t="s">
        <v>616</v>
      </c>
      <c r="D99" s="2">
        <f t="shared" si="0"/>
        <v>21243.599999999999</v>
      </c>
      <c r="E99" s="2"/>
      <c r="F99" s="2">
        <v>0</v>
      </c>
      <c r="G99" s="231"/>
      <c r="H99" s="242">
        <v>44340</v>
      </c>
      <c r="I99" s="231">
        <v>20162.57</v>
      </c>
      <c r="J99" s="231">
        <v>420</v>
      </c>
      <c r="K99" s="231">
        <v>50.58</v>
      </c>
      <c r="L99" s="231">
        <v>420</v>
      </c>
    </row>
    <row r="100" spans="2:14" x14ac:dyDescent="0.25">
      <c r="B100" t="s">
        <v>537</v>
      </c>
      <c r="D100" s="2">
        <f t="shared" si="0"/>
        <v>48960</v>
      </c>
      <c r="E100" s="2"/>
      <c r="F100" s="2">
        <v>46070</v>
      </c>
      <c r="G100" s="231"/>
      <c r="H100" s="231"/>
      <c r="I100" s="231"/>
      <c r="J100" s="231">
        <v>17000</v>
      </c>
      <c r="K100" s="231">
        <v>2.88</v>
      </c>
      <c r="L100" s="231">
        <v>17000</v>
      </c>
    </row>
    <row r="101" spans="2:14" x14ac:dyDescent="0.25">
      <c r="B101" t="s">
        <v>569</v>
      </c>
      <c r="D101" s="2">
        <f t="shared" si="0"/>
        <v>935.00000000000011</v>
      </c>
      <c r="E101" s="2"/>
      <c r="F101" s="2">
        <v>0</v>
      </c>
      <c r="G101" s="231"/>
      <c r="H101" s="231"/>
      <c r="I101" s="231"/>
      <c r="J101" s="231">
        <v>3400</v>
      </c>
      <c r="K101" s="231">
        <v>0.27500000000000002</v>
      </c>
      <c r="L101" s="231">
        <v>3400</v>
      </c>
    </row>
    <row r="102" spans="2:14" x14ac:dyDescent="0.25">
      <c r="B102" t="s">
        <v>534</v>
      </c>
      <c r="D102" s="2">
        <f t="shared" si="0"/>
        <v>53860</v>
      </c>
      <c r="E102" s="2"/>
      <c r="F102" s="2">
        <v>58010</v>
      </c>
      <c r="G102" s="231"/>
      <c r="H102" s="231"/>
      <c r="I102" s="231"/>
      <c r="J102" s="231">
        <v>1000</v>
      </c>
      <c r="K102" s="231">
        <v>53.86</v>
      </c>
      <c r="L102" s="231">
        <v>1000</v>
      </c>
      <c r="M102" s="91">
        <f>SUM(D102:D103)</f>
        <v>71364.5</v>
      </c>
    </row>
    <row r="103" spans="2:14" x14ac:dyDescent="0.25">
      <c r="B103" t="s">
        <v>562</v>
      </c>
      <c r="D103" s="2">
        <f t="shared" si="0"/>
        <v>17504.5</v>
      </c>
      <c r="E103" s="2"/>
      <c r="F103" s="2">
        <v>0</v>
      </c>
      <c r="G103" s="231">
        <v>325</v>
      </c>
      <c r="H103" s="242">
        <v>44033</v>
      </c>
      <c r="I103" s="231">
        <v>20066.2</v>
      </c>
      <c r="J103" s="231">
        <v>325</v>
      </c>
      <c r="K103" s="231">
        <f>$K$102</f>
        <v>53.86</v>
      </c>
      <c r="L103" s="231">
        <v>325</v>
      </c>
    </row>
    <row r="104" spans="2:14" x14ac:dyDescent="0.25">
      <c r="B104" t="s">
        <v>437</v>
      </c>
      <c r="D104" s="138">
        <f t="shared" si="0"/>
        <v>24521.600000000002</v>
      </c>
      <c r="E104" s="2"/>
      <c r="F104" s="2">
        <v>23202</v>
      </c>
      <c r="G104" s="231"/>
      <c r="H104" s="231"/>
      <c r="I104" s="231"/>
      <c r="J104" s="231">
        <v>7760</v>
      </c>
      <c r="K104" s="231">
        <v>3.16</v>
      </c>
      <c r="L104" s="231">
        <v>7760</v>
      </c>
    </row>
    <row r="105" spans="2:14" x14ac:dyDescent="0.25">
      <c r="B105" t="s">
        <v>438</v>
      </c>
      <c r="D105" s="138">
        <f t="shared" si="0"/>
        <v>146418.48000000001</v>
      </c>
      <c r="E105" s="2"/>
      <c r="F105" s="2">
        <v>111009</v>
      </c>
      <c r="G105" s="231">
        <f>29649+11862+69500</f>
        <v>111011</v>
      </c>
      <c r="H105" s="231"/>
      <c r="I105" s="231"/>
      <c r="J105" s="231">
        <v>936</v>
      </c>
      <c r="K105" s="231">
        <v>156.43</v>
      </c>
      <c r="L105" s="231">
        <v>936</v>
      </c>
    </row>
    <row r="106" spans="2:14" x14ac:dyDescent="0.25">
      <c r="B106" t="s">
        <v>439</v>
      </c>
      <c r="D106" s="138">
        <f t="shared" si="0"/>
        <v>18354</v>
      </c>
      <c r="E106" s="2"/>
      <c r="F106" s="2">
        <v>12754</v>
      </c>
      <c r="G106" s="231"/>
      <c r="H106" s="231"/>
      <c r="I106" s="231"/>
      <c r="J106" s="231">
        <v>700</v>
      </c>
      <c r="K106" s="231">
        <v>26.22</v>
      </c>
      <c r="L106" s="231">
        <v>700</v>
      </c>
    </row>
    <row r="107" spans="2:14" x14ac:dyDescent="0.25">
      <c r="B107" t="s">
        <v>440</v>
      </c>
      <c r="D107" s="138">
        <f t="shared" si="0"/>
        <v>7365</v>
      </c>
      <c r="E107" s="2"/>
      <c r="F107" s="2">
        <v>5595</v>
      </c>
      <c r="G107" s="231"/>
      <c r="H107" s="231"/>
      <c r="I107" s="231"/>
      <c r="J107" s="231">
        <v>1500</v>
      </c>
      <c r="K107" s="231">
        <v>4.91</v>
      </c>
      <c r="L107" s="231">
        <v>1500</v>
      </c>
    </row>
    <row r="108" spans="2:14" x14ac:dyDescent="0.25">
      <c r="B108" t="s">
        <v>481</v>
      </c>
      <c r="D108" s="138">
        <f t="shared" si="0"/>
        <v>10067.07</v>
      </c>
      <c r="E108" s="2"/>
      <c r="F108" s="2">
        <v>8266</v>
      </c>
      <c r="G108" s="231"/>
      <c r="H108" s="231"/>
      <c r="I108" s="231"/>
      <c r="J108" s="231">
        <v>933</v>
      </c>
      <c r="K108" s="231">
        <v>10.79</v>
      </c>
      <c r="L108" s="231">
        <v>933</v>
      </c>
    </row>
    <row r="109" spans="2:14" x14ac:dyDescent="0.25">
      <c r="B109" t="s">
        <v>538</v>
      </c>
      <c r="D109" s="138">
        <f t="shared" si="0"/>
        <v>17748.150000000001</v>
      </c>
      <c r="E109" s="2"/>
      <c r="F109" s="2">
        <v>11327</v>
      </c>
      <c r="G109" s="231"/>
      <c r="H109" s="231"/>
      <c r="I109" s="231"/>
      <c r="J109" s="231">
        <f>340-105-130</f>
        <v>105</v>
      </c>
      <c r="K109" s="231">
        <v>169.03</v>
      </c>
      <c r="L109" s="231">
        <v>105</v>
      </c>
      <c r="M109" s="91">
        <f>SUM(D109:D111)</f>
        <v>57470.200000000004</v>
      </c>
    </row>
    <row r="110" spans="2:14" x14ac:dyDescent="0.25">
      <c r="B110" t="s">
        <v>561</v>
      </c>
      <c r="D110" s="138">
        <f t="shared" si="0"/>
        <v>17748.150000000001</v>
      </c>
      <c r="E110" s="2"/>
      <c r="F110" s="2">
        <v>0</v>
      </c>
      <c r="G110" s="231">
        <v>105</v>
      </c>
      <c r="H110" s="242">
        <v>44034</v>
      </c>
      <c r="I110" s="231">
        <v>11451.92</v>
      </c>
      <c r="J110" s="231"/>
      <c r="K110" s="231">
        <f>$K$109</f>
        <v>169.03</v>
      </c>
      <c r="L110" s="231">
        <v>105</v>
      </c>
      <c r="N110" s="12">
        <f>SUM(I110:I111)</f>
        <v>31991.699999999997</v>
      </c>
    </row>
    <row r="111" spans="2:14" x14ac:dyDescent="0.25">
      <c r="B111" t="s">
        <v>618</v>
      </c>
      <c r="D111" s="138">
        <f t="shared" si="0"/>
        <v>21973.9</v>
      </c>
      <c r="E111" s="2"/>
      <c r="F111" s="2">
        <v>0</v>
      </c>
      <c r="G111" s="231">
        <v>130</v>
      </c>
      <c r="H111" s="242">
        <v>44237</v>
      </c>
      <c r="I111" s="231">
        <v>20539.78</v>
      </c>
      <c r="J111" s="231"/>
      <c r="K111" s="231">
        <f>$K$109</f>
        <v>169.03</v>
      </c>
      <c r="L111" s="231">
        <v>130</v>
      </c>
    </row>
    <row r="112" spans="2:14" x14ac:dyDescent="0.25">
      <c r="B112" t="s">
        <v>441</v>
      </c>
      <c r="D112" s="138">
        <f t="shared" si="0"/>
        <v>65519.999999999993</v>
      </c>
      <c r="E112" s="2"/>
      <c r="F112" s="2">
        <v>55080</v>
      </c>
      <c r="G112" s="231"/>
      <c r="H112" s="231"/>
      <c r="I112" s="231"/>
      <c r="J112" s="231">
        <v>2000</v>
      </c>
      <c r="K112" s="231">
        <v>32.76</v>
      </c>
      <c r="L112" s="231">
        <v>2000</v>
      </c>
    </row>
    <row r="113" spans="1:15" x14ac:dyDescent="0.25">
      <c r="B113" t="s">
        <v>482</v>
      </c>
      <c r="D113" s="138">
        <f t="shared" si="0"/>
        <v>98961.64</v>
      </c>
      <c r="E113" s="2"/>
      <c r="F113" s="2">
        <v>55313</v>
      </c>
      <c r="G113" s="231"/>
      <c r="H113" s="231"/>
      <c r="I113" s="231"/>
      <c r="J113" s="231">
        <v>18814</v>
      </c>
      <c r="K113" s="231">
        <v>5.26</v>
      </c>
      <c r="L113" s="231">
        <v>18814</v>
      </c>
    </row>
    <row r="114" spans="1:15" x14ac:dyDescent="0.25">
      <c r="B114" t="s">
        <v>442</v>
      </c>
      <c r="D114" s="138">
        <f t="shared" si="0"/>
        <v>196798.56</v>
      </c>
      <c r="E114" s="2"/>
      <c r="F114" s="2">
        <v>152229</v>
      </c>
      <c r="G114" s="231"/>
      <c r="H114" s="231"/>
      <c r="I114" s="231"/>
      <c r="J114" s="231">
        <v>1554</v>
      </c>
      <c r="K114" s="231">
        <v>126.64</v>
      </c>
      <c r="L114" s="231">
        <v>1554</v>
      </c>
    </row>
    <row r="115" spans="1:15" x14ac:dyDescent="0.25">
      <c r="B115" t="s">
        <v>559</v>
      </c>
      <c r="D115" s="138">
        <f t="shared" si="0"/>
        <v>37992</v>
      </c>
      <c r="E115" s="2"/>
      <c r="F115" s="2">
        <v>0</v>
      </c>
      <c r="G115" s="231">
        <v>300</v>
      </c>
      <c r="H115" s="242">
        <v>44110</v>
      </c>
      <c r="I115" s="231">
        <v>28930.69</v>
      </c>
      <c r="J115" s="231">
        <v>300</v>
      </c>
      <c r="K115" s="231">
        <f>$K$114</f>
        <v>126.64</v>
      </c>
      <c r="L115" s="231">
        <v>300</v>
      </c>
      <c r="N115">
        <f>SUM(I115:I116)</f>
        <v>48908.86</v>
      </c>
    </row>
    <row r="116" spans="1:15" x14ac:dyDescent="0.25">
      <c r="B116" t="s">
        <v>552</v>
      </c>
      <c r="D116" s="138">
        <f t="shared" si="0"/>
        <v>21022.240000000002</v>
      </c>
      <c r="E116" s="2"/>
      <c r="F116" s="2">
        <v>0</v>
      </c>
      <c r="G116" s="231">
        <v>166</v>
      </c>
      <c r="H116" s="242">
        <v>44307</v>
      </c>
      <c r="I116" s="231">
        <v>19978.169999999998</v>
      </c>
      <c r="J116" s="231">
        <v>166</v>
      </c>
      <c r="K116" s="231">
        <f>$K$114</f>
        <v>126.64</v>
      </c>
      <c r="L116" s="231">
        <v>166</v>
      </c>
      <c r="O116">
        <f>SUM(L114:L116)</f>
        <v>2020</v>
      </c>
    </row>
    <row r="117" spans="1:15" x14ac:dyDescent="0.25">
      <c r="B117" t="s">
        <v>483</v>
      </c>
      <c r="D117" s="138">
        <f t="shared" si="0"/>
        <v>31900.000000000004</v>
      </c>
      <c r="E117" s="2"/>
      <c r="F117" s="2">
        <v>24360</v>
      </c>
      <c r="G117" s="231"/>
      <c r="H117" s="231"/>
      <c r="I117" s="231"/>
      <c r="J117" s="231">
        <v>7250</v>
      </c>
      <c r="K117" s="231">
        <v>4.4000000000000004</v>
      </c>
      <c r="L117" s="231">
        <v>7250</v>
      </c>
    </row>
    <row r="118" spans="1:15" x14ac:dyDescent="0.25">
      <c r="B118" t="s">
        <v>539</v>
      </c>
      <c r="D118" s="138">
        <f t="shared" si="0"/>
        <v>22300</v>
      </c>
      <c r="E118" s="2"/>
      <c r="F118" s="2">
        <v>21200</v>
      </c>
      <c r="G118" s="231"/>
      <c r="H118" s="231"/>
      <c r="I118" s="231"/>
      <c r="J118" s="231">
        <v>5000</v>
      </c>
      <c r="K118" s="231">
        <v>4.46</v>
      </c>
      <c r="L118" s="231">
        <v>5000</v>
      </c>
    </row>
    <row r="119" spans="1:15" x14ac:dyDescent="0.25">
      <c r="B119" t="s">
        <v>443</v>
      </c>
      <c r="D119" s="222">
        <f t="shared" si="0"/>
        <v>11893.279999999999</v>
      </c>
      <c r="E119" s="2"/>
      <c r="F119" s="272">
        <v>7760</v>
      </c>
      <c r="G119" s="231"/>
      <c r="H119" s="231"/>
      <c r="I119" s="231"/>
      <c r="J119" s="231">
        <v>2296</v>
      </c>
      <c r="K119" s="231">
        <v>5.18</v>
      </c>
      <c r="L119" s="231">
        <v>2296</v>
      </c>
    </row>
    <row r="120" spans="1:15" x14ac:dyDescent="0.25">
      <c r="B120" s="269" t="s">
        <v>620</v>
      </c>
      <c r="D120" s="270">
        <f>SUM(D79:D119)</f>
        <v>2025224.62</v>
      </c>
      <c r="E120" s="2"/>
      <c r="F120" s="270">
        <f>SUM(F79:F119)</f>
        <v>1366102</v>
      </c>
      <c r="G120" s="231"/>
      <c r="H120" s="231"/>
      <c r="I120" s="231"/>
      <c r="J120" s="231"/>
      <c r="K120" s="231"/>
      <c r="L120" s="231"/>
    </row>
    <row r="121" spans="1:15" x14ac:dyDescent="0.25">
      <c r="A121" s="31" t="s">
        <v>41</v>
      </c>
      <c r="D121" s="31"/>
      <c r="E121" s="31"/>
      <c r="F121" s="31"/>
      <c r="G121" s="231"/>
      <c r="H121" s="231"/>
      <c r="I121" s="231"/>
      <c r="J121" s="231"/>
      <c r="K121" s="231"/>
      <c r="L121" s="231"/>
    </row>
    <row r="122" spans="1:15" x14ac:dyDescent="0.25">
      <c r="A122" s="31" t="s">
        <v>501</v>
      </c>
      <c r="D122" s="31"/>
      <c r="E122" s="31"/>
      <c r="F122" s="31"/>
      <c r="G122" s="231"/>
      <c r="H122" s="231"/>
      <c r="I122" s="231"/>
      <c r="J122" s="231"/>
      <c r="K122" s="231"/>
      <c r="L122" s="231"/>
    </row>
    <row r="123" spans="1:15" x14ac:dyDescent="0.25">
      <c r="B123" s="31"/>
      <c r="D123" s="87">
        <v>2021</v>
      </c>
      <c r="E123" s="87"/>
      <c r="F123" s="87">
        <v>2020</v>
      </c>
      <c r="G123" s="231"/>
      <c r="H123" s="231"/>
      <c r="I123" s="231"/>
      <c r="J123" s="231"/>
      <c r="K123" s="231"/>
      <c r="L123" s="231"/>
    </row>
    <row r="124" spans="1:15" x14ac:dyDescent="0.25">
      <c r="B124" s="31"/>
      <c r="D124" s="87" t="s">
        <v>9</v>
      </c>
      <c r="E124" s="87"/>
      <c r="F124" s="87" t="s">
        <v>9</v>
      </c>
      <c r="G124" s="231"/>
      <c r="H124" s="231"/>
      <c r="I124" s="231"/>
      <c r="J124" s="231"/>
      <c r="K124" s="231"/>
      <c r="L124" s="231"/>
    </row>
    <row r="125" spans="1:15" x14ac:dyDescent="0.25">
      <c r="A125" s="15"/>
      <c r="B125" s="15"/>
      <c r="C125" s="15"/>
      <c r="D125" s="15"/>
      <c r="E125" s="15"/>
      <c r="F125" s="15"/>
      <c r="G125" s="231"/>
      <c r="H125" s="231"/>
      <c r="I125" s="231"/>
      <c r="J125" s="231"/>
      <c r="K125" s="231"/>
      <c r="L125" s="231"/>
    </row>
    <row r="126" spans="1:15" x14ac:dyDescent="0.25">
      <c r="A126" s="87">
        <v>1</v>
      </c>
      <c r="B126" s="31" t="s">
        <v>42</v>
      </c>
      <c r="G126" s="231"/>
      <c r="H126" s="231"/>
      <c r="I126" s="231"/>
      <c r="J126" s="231"/>
      <c r="K126" s="231"/>
      <c r="L126" s="231"/>
    </row>
    <row r="127" spans="1:15" x14ac:dyDescent="0.25">
      <c r="D127" s="228"/>
      <c r="E127" s="2"/>
      <c r="F127" s="2"/>
      <c r="G127" s="231"/>
      <c r="H127" s="231"/>
      <c r="I127" s="231"/>
      <c r="J127" s="231"/>
      <c r="K127" s="231"/>
      <c r="L127" s="231"/>
    </row>
    <row r="128" spans="1:15" x14ac:dyDescent="0.25">
      <c r="B128" s="31" t="s">
        <v>147</v>
      </c>
      <c r="D128" s="228"/>
      <c r="E128" s="2"/>
      <c r="F128" s="2"/>
      <c r="G128" s="231"/>
      <c r="H128" s="231"/>
      <c r="I128" s="231"/>
      <c r="J128" s="231"/>
      <c r="K128" s="231"/>
      <c r="L128" s="231"/>
    </row>
    <row r="129" spans="2:15" x14ac:dyDescent="0.25">
      <c r="B129" s="269" t="s">
        <v>621</v>
      </c>
      <c r="D129" s="270">
        <f>D120</f>
        <v>2025224.62</v>
      </c>
      <c r="E129" s="2"/>
      <c r="F129" s="270">
        <f>F120</f>
        <v>1366102</v>
      </c>
      <c r="G129" s="231"/>
      <c r="H129" s="231"/>
      <c r="I129" s="231"/>
      <c r="J129" s="231"/>
      <c r="K129" s="231"/>
      <c r="L129" s="231"/>
    </row>
    <row r="130" spans="2:15" x14ac:dyDescent="0.25">
      <c r="B130" t="s">
        <v>484</v>
      </c>
      <c r="D130" s="138">
        <f t="shared" si="0"/>
        <v>39649.199999999997</v>
      </c>
      <c r="E130" s="2"/>
      <c r="F130" s="2">
        <v>33005</v>
      </c>
      <c r="G130" s="231"/>
      <c r="H130" s="231"/>
      <c r="I130" s="231"/>
      <c r="J130" s="231">
        <v>10545</v>
      </c>
      <c r="K130" s="231">
        <v>3.76</v>
      </c>
      <c r="L130" s="231">
        <v>10545</v>
      </c>
      <c r="O130" s="12">
        <f>SUM(D114:D116)</f>
        <v>255812.8</v>
      </c>
    </row>
    <row r="131" spans="2:15" x14ac:dyDescent="0.25">
      <c r="B131" t="s">
        <v>619</v>
      </c>
      <c r="D131" s="138">
        <f t="shared" si="0"/>
        <v>18800</v>
      </c>
      <c r="E131" s="2"/>
      <c r="F131" s="2">
        <v>0</v>
      </c>
      <c r="G131" s="231">
        <v>5000</v>
      </c>
      <c r="H131" s="242">
        <v>44265</v>
      </c>
      <c r="I131" s="231">
        <v>15579.95</v>
      </c>
      <c r="J131" s="231">
        <v>5000</v>
      </c>
      <c r="K131" s="231">
        <f>$K$130</f>
        <v>3.76</v>
      </c>
      <c r="L131" s="231">
        <v>5000</v>
      </c>
    </row>
    <row r="132" spans="2:15" x14ac:dyDescent="0.25">
      <c r="B132" t="s">
        <v>485</v>
      </c>
      <c r="D132" s="138">
        <f t="shared" si="0"/>
        <v>18100.560000000001</v>
      </c>
      <c r="E132" s="2"/>
      <c r="F132" s="2">
        <v>17973</v>
      </c>
      <c r="G132" s="231"/>
      <c r="H132" s="231"/>
      <c r="I132" s="231"/>
      <c r="J132" s="231">
        <v>1272</v>
      </c>
      <c r="K132" s="231">
        <v>14.23</v>
      </c>
      <c r="L132" s="231">
        <v>1272</v>
      </c>
    </row>
    <row r="133" spans="2:15" x14ac:dyDescent="0.25">
      <c r="B133" t="s">
        <v>486</v>
      </c>
      <c r="D133" s="138">
        <f t="shared" si="0"/>
        <v>4286.5599999999995</v>
      </c>
      <c r="E133" s="2"/>
      <c r="F133" s="2">
        <v>3846</v>
      </c>
      <c r="G133" s="231"/>
      <c r="H133" s="231"/>
      <c r="I133" s="231"/>
      <c r="J133" s="231">
        <v>367</v>
      </c>
      <c r="K133" s="231">
        <v>11.68</v>
      </c>
      <c r="L133" s="231">
        <v>367</v>
      </c>
    </row>
    <row r="134" spans="2:15" x14ac:dyDescent="0.25">
      <c r="B134" t="s">
        <v>487</v>
      </c>
      <c r="D134" s="138">
        <f t="shared" si="0"/>
        <v>51207.040000000001</v>
      </c>
      <c r="E134" s="2"/>
      <c r="F134" s="2">
        <v>35612</v>
      </c>
      <c r="G134" s="231"/>
      <c r="H134" s="231"/>
      <c r="I134" s="231"/>
      <c r="J134" s="231">
        <v>1984</v>
      </c>
      <c r="K134" s="231">
        <v>25.81</v>
      </c>
      <c r="L134" s="231">
        <v>1984</v>
      </c>
    </row>
    <row r="135" spans="2:15" x14ac:dyDescent="0.25">
      <c r="B135" t="s">
        <v>488</v>
      </c>
      <c r="D135" s="138">
        <f t="shared" si="0"/>
        <v>96037.5</v>
      </c>
      <c r="E135" s="2"/>
      <c r="F135" s="2">
        <v>72848</v>
      </c>
      <c r="G135" s="231"/>
      <c r="H135" s="231"/>
      <c r="I135" s="231"/>
      <c r="J135" s="231">
        <f>2125-500</f>
        <v>1625</v>
      </c>
      <c r="K135" s="231">
        <v>59.1</v>
      </c>
      <c r="L135" s="231">
        <v>1625</v>
      </c>
    </row>
    <row r="136" spans="2:15" x14ac:dyDescent="0.25">
      <c r="B136" t="s">
        <v>560</v>
      </c>
      <c r="D136" s="138">
        <f t="shared" si="0"/>
        <v>29550</v>
      </c>
      <c r="E136" s="2"/>
      <c r="F136" s="2">
        <v>0</v>
      </c>
      <c r="G136" s="231">
        <v>500</v>
      </c>
      <c r="H136" s="242">
        <v>44054</v>
      </c>
      <c r="I136" s="231">
        <v>23661.4</v>
      </c>
      <c r="J136" s="231">
        <v>500</v>
      </c>
      <c r="K136" s="231">
        <f>$K$135</f>
        <v>59.1</v>
      </c>
      <c r="L136" s="231">
        <v>500</v>
      </c>
    </row>
    <row r="137" spans="2:15" x14ac:dyDescent="0.25">
      <c r="B137" t="s">
        <v>489</v>
      </c>
      <c r="D137" s="138">
        <f t="shared" si="0"/>
        <v>21477.07</v>
      </c>
      <c r="E137" s="2"/>
      <c r="F137" s="2">
        <v>20935</v>
      </c>
      <c r="G137" s="231"/>
      <c r="H137" s="231"/>
      <c r="I137" s="231"/>
      <c r="J137" s="231">
        <v>967</v>
      </c>
      <c r="K137" s="231">
        <v>22.21</v>
      </c>
      <c r="L137" s="231">
        <v>967</v>
      </c>
    </row>
    <row r="138" spans="2:15" x14ac:dyDescent="0.25">
      <c r="B138" t="s">
        <v>490</v>
      </c>
      <c r="D138" s="138">
        <f t="shared" si="0"/>
        <v>46671.12</v>
      </c>
      <c r="E138" s="2"/>
      <c r="F138" s="2">
        <v>45630</v>
      </c>
      <c r="G138" s="231"/>
      <c r="H138" s="231"/>
      <c r="I138" s="231"/>
      <c r="J138" s="231">
        <v>1224</v>
      </c>
      <c r="K138" s="231">
        <v>38.130000000000003</v>
      </c>
      <c r="L138" s="231">
        <v>1224</v>
      </c>
    </row>
    <row r="139" spans="2:15" x14ac:dyDescent="0.25">
      <c r="D139" s="271">
        <f>SUM(D129:D138)</f>
        <v>2351003.67</v>
      </c>
      <c r="E139" s="2"/>
      <c r="F139" s="271">
        <f>SUM(F129:F138)</f>
        <v>1595951</v>
      </c>
      <c r="G139" s="231"/>
      <c r="H139" s="231"/>
      <c r="I139" s="16">
        <f>SUM(I79:I138)</f>
        <v>364304.31000000006</v>
      </c>
      <c r="J139" s="231"/>
      <c r="K139" s="231"/>
      <c r="L139" s="231"/>
    </row>
    <row r="140" spans="2:15" x14ac:dyDescent="0.25">
      <c r="B140" s="31" t="s">
        <v>148</v>
      </c>
      <c r="D140" s="19"/>
      <c r="E140" s="2"/>
      <c r="F140" s="19"/>
    </row>
    <row r="141" spans="2:15" x14ac:dyDescent="0.25">
      <c r="B141" t="s">
        <v>227</v>
      </c>
      <c r="D141" s="19">
        <f>F147</f>
        <v>1273767</v>
      </c>
      <c r="E141" s="2"/>
      <c r="F141" s="2">
        <v>1045954</v>
      </c>
    </row>
    <row r="142" spans="2:15" x14ac:dyDescent="0.25">
      <c r="B142" t="s">
        <v>57</v>
      </c>
      <c r="D142" s="19">
        <v>0</v>
      </c>
      <c r="E142" s="2"/>
      <c r="F142" s="2">
        <v>0</v>
      </c>
    </row>
    <row r="143" spans="2:15" x14ac:dyDescent="0.25">
      <c r="B143" t="s">
        <v>380</v>
      </c>
      <c r="D143" s="19">
        <f>I139</f>
        <v>364304.31000000006</v>
      </c>
      <c r="E143" s="2"/>
      <c r="F143" s="2">
        <v>227813</v>
      </c>
      <c r="G143" t="s">
        <v>574</v>
      </c>
      <c r="I143" s="12">
        <f>F139-1595951</f>
        <v>0</v>
      </c>
      <c r="J143">
        <v>10685</v>
      </c>
    </row>
    <row r="144" spans="2:15" x14ac:dyDescent="0.25">
      <c r="B144" t="s">
        <v>165</v>
      </c>
      <c r="D144" s="19">
        <v>0</v>
      </c>
      <c r="E144" s="2"/>
      <c r="F144" s="2">
        <v>0</v>
      </c>
    </row>
    <row r="145" spans="1:11" x14ac:dyDescent="0.25">
      <c r="B145" t="s">
        <v>319</v>
      </c>
      <c r="D145" s="2">
        <v>0</v>
      </c>
      <c r="E145" s="2"/>
      <c r="F145" s="2">
        <v>0</v>
      </c>
    </row>
    <row r="146" spans="1:11" x14ac:dyDescent="0.25">
      <c r="B146" t="s">
        <v>166</v>
      </c>
      <c r="D146" s="19">
        <f>-49433-20729</f>
        <v>-70162</v>
      </c>
      <c r="E146" s="2"/>
      <c r="F146" s="2">
        <v>0</v>
      </c>
      <c r="K146" s="31">
        <f>20729+38746</f>
        <v>59475</v>
      </c>
    </row>
    <row r="147" spans="1:11" x14ac:dyDescent="0.25">
      <c r="D147" s="271">
        <f>SUM(D141:D146)</f>
        <v>1567909.31</v>
      </c>
      <c r="E147" s="273"/>
      <c r="F147" s="271">
        <f>SUM(F141:F146)</f>
        <v>1273767</v>
      </c>
      <c r="I147" s="12">
        <f>1567912-D147</f>
        <v>2.6899999999441206</v>
      </c>
    </row>
    <row r="148" spans="1:11" x14ac:dyDescent="0.25">
      <c r="D148" s="19"/>
      <c r="E148" s="2"/>
      <c r="F148" s="19"/>
      <c r="I148" s="12"/>
    </row>
    <row r="149" spans="1:11" x14ac:dyDescent="0.25">
      <c r="A149" s="87">
        <v>2</v>
      </c>
      <c r="B149" s="31" t="s">
        <v>58</v>
      </c>
      <c r="I149" s="12"/>
    </row>
    <row r="150" spans="1:11" x14ac:dyDescent="0.25">
      <c r="A150" s="87"/>
      <c r="B150" s="31"/>
      <c r="I150" s="12"/>
    </row>
    <row r="151" spans="1:11" x14ac:dyDescent="0.25">
      <c r="B151" t="s">
        <v>247</v>
      </c>
      <c r="D151" s="16">
        <v>0</v>
      </c>
      <c r="E151" s="2"/>
      <c r="F151" s="16">
        <v>0</v>
      </c>
      <c r="I151" s="12"/>
    </row>
    <row r="152" spans="1:11" x14ac:dyDescent="0.25">
      <c r="B152" t="s">
        <v>248</v>
      </c>
      <c r="D152" s="16">
        <v>15000</v>
      </c>
      <c r="E152" s="2"/>
      <c r="F152" s="16">
        <v>15000</v>
      </c>
      <c r="I152" s="12"/>
    </row>
    <row r="153" spans="1:11" x14ac:dyDescent="0.25">
      <c r="I153" s="12"/>
    </row>
    <row r="154" spans="1:11" x14ac:dyDescent="0.25">
      <c r="D154" s="19"/>
      <c r="E154" s="2"/>
      <c r="F154" s="19"/>
      <c r="I154" s="12"/>
    </row>
    <row r="155" spans="1:11" x14ac:dyDescent="0.25">
      <c r="D155" s="19"/>
      <c r="E155" s="2"/>
      <c r="F155" s="19"/>
      <c r="I155" s="12"/>
    </row>
    <row r="156" spans="1:11" x14ac:dyDescent="0.25">
      <c r="D156" s="19"/>
      <c r="E156" s="2"/>
      <c r="F156" s="19"/>
      <c r="I156" s="12"/>
    </row>
    <row r="157" spans="1:11" x14ac:dyDescent="0.25">
      <c r="D157" s="19"/>
      <c r="E157" s="2"/>
      <c r="F157" s="19"/>
      <c r="I157" s="12"/>
    </row>
    <row r="158" spans="1:11" x14ac:dyDescent="0.25">
      <c r="D158" s="19"/>
      <c r="E158" s="2"/>
      <c r="F158" s="19"/>
      <c r="I158" s="12"/>
    </row>
    <row r="159" spans="1:11" x14ac:dyDescent="0.25">
      <c r="A159" s="31" t="s">
        <v>41</v>
      </c>
      <c r="D159" s="31"/>
      <c r="E159" s="31"/>
      <c r="F159" s="31"/>
      <c r="I159">
        <f>364304-59475</f>
        <v>304829</v>
      </c>
    </row>
    <row r="160" spans="1:11" x14ac:dyDescent="0.25">
      <c r="A160" s="31" t="s">
        <v>556</v>
      </c>
      <c r="D160" s="31"/>
      <c r="E160" s="31"/>
      <c r="F160" s="31"/>
    </row>
    <row r="161" spans="1:9" x14ac:dyDescent="0.25">
      <c r="B161" s="31"/>
      <c r="D161" s="87">
        <v>2021</v>
      </c>
      <c r="E161" s="87"/>
      <c r="F161" s="87">
        <v>2020</v>
      </c>
    </row>
    <row r="162" spans="1:9" x14ac:dyDescent="0.25">
      <c r="B162" s="31"/>
      <c r="D162" s="87" t="s">
        <v>9</v>
      </c>
      <c r="E162" s="87"/>
      <c r="F162" s="87" t="s">
        <v>9</v>
      </c>
    </row>
    <row r="163" spans="1:9" x14ac:dyDescent="0.25">
      <c r="A163" s="15"/>
      <c r="B163" s="15"/>
      <c r="C163" s="15"/>
      <c r="D163" s="15"/>
      <c r="E163" s="15"/>
      <c r="F163" s="15"/>
    </row>
    <row r="164" spans="1:9" x14ac:dyDescent="0.25">
      <c r="A164" s="45"/>
      <c r="B164" s="45"/>
      <c r="D164" s="20"/>
      <c r="E164" s="20"/>
      <c r="F164" s="20"/>
    </row>
    <row r="165" spans="1:9" x14ac:dyDescent="0.25">
      <c r="A165" s="154">
        <v>3</v>
      </c>
      <c r="B165" s="31" t="s">
        <v>525</v>
      </c>
      <c r="D165" s="20"/>
      <c r="E165" s="20"/>
      <c r="F165" s="20"/>
      <c r="I165" s="31"/>
    </row>
    <row r="166" spans="1:9" x14ac:dyDescent="0.25">
      <c r="A166" s="45"/>
      <c r="B166" s="45"/>
      <c r="D166" s="20"/>
      <c r="E166" s="20"/>
      <c r="F166" s="20"/>
    </row>
    <row r="167" spans="1:9" x14ac:dyDescent="0.25">
      <c r="A167" s="45"/>
      <c r="B167" s="31" t="s">
        <v>147</v>
      </c>
      <c r="D167" s="92">
        <f>D202</f>
        <v>744160</v>
      </c>
      <c r="E167" s="19"/>
      <c r="F167" s="92">
        <v>687174</v>
      </c>
    </row>
    <row r="168" spans="1:9" x14ac:dyDescent="0.25">
      <c r="A168" s="45"/>
      <c r="B168" s="45"/>
      <c r="D168" s="19"/>
      <c r="E168" s="19"/>
      <c r="F168" s="19"/>
    </row>
    <row r="169" spans="1:9" x14ac:dyDescent="0.25">
      <c r="A169" s="45"/>
      <c r="B169" s="31" t="s">
        <v>148</v>
      </c>
      <c r="D169" s="19"/>
      <c r="E169" s="19"/>
      <c r="F169" s="19"/>
    </row>
    <row r="170" spans="1:9" x14ac:dyDescent="0.25">
      <c r="A170" s="45"/>
      <c r="B170" t="s">
        <v>227</v>
      </c>
      <c r="D170" s="19">
        <f>F174</f>
        <v>701677</v>
      </c>
      <c r="E170" s="19"/>
      <c r="F170" s="19">
        <v>0</v>
      </c>
    </row>
    <row r="171" spans="1:9" x14ac:dyDescent="0.25">
      <c r="A171" s="45"/>
      <c r="B171" t="s">
        <v>522</v>
      </c>
      <c r="D171" s="19">
        <v>0</v>
      </c>
      <c r="E171" s="19"/>
      <c r="F171" s="19">
        <v>700000</v>
      </c>
    </row>
    <row r="172" spans="1:9" x14ac:dyDescent="0.25">
      <c r="A172" s="45"/>
      <c r="B172" t="s">
        <v>523</v>
      </c>
      <c r="D172" s="19">
        <f>709690-707070</f>
        <v>2620</v>
      </c>
      <c r="E172" s="19"/>
      <c r="F172" s="19">
        <v>-615</v>
      </c>
    </row>
    <row r="173" spans="1:9" x14ac:dyDescent="0.25">
      <c r="A173" s="45"/>
      <c r="B173" t="s">
        <v>524</v>
      </c>
      <c r="D173" s="222">
        <v>5393</v>
      </c>
      <c r="E173" s="19"/>
      <c r="F173" s="222">
        <v>2292</v>
      </c>
    </row>
    <row r="174" spans="1:9" x14ac:dyDescent="0.25">
      <c r="A174" s="45"/>
      <c r="D174" s="16">
        <f>SUM(D170:D173)</f>
        <v>709690</v>
      </c>
      <c r="E174" s="19"/>
      <c r="F174" s="16">
        <f>SUM(F170:F173)</f>
        <v>701677</v>
      </c>
    </row>
    <row r="175" spans="1:9" x14ac:dyDescent="0.25">
      <c r="A175" s="45"/>
      <c r="D175" s="19"/>
      <c r="E175" s="19"/>
      <c r="F175" s="19"/>
    </row>
    <row r="176" spans="1:9" x14ac:dyDescent="0.25">
      <c r="A176" s="45"/>
      <c r="B176" s="264" t="s">
        <v>611</v>
      </c>
      <c r="C176" s="265"/>
      <c r="D176" s="266"/>
      <c r="E176" s="266"/>
      <c r="F176" s="266"/>
    </row>
    <row r="177" spans="1:9" x14ac:dyDescent="0.25">
      <c r="A177" s="45"/>
      <c r="B177" s="248" t="s">
        <v>570</v>
      </c>
      <c r="C177" s="249"/>
      <c r="D177" s="250"/>
      <c r="E177" s="250"/>
      <c r="F177" s="250"/>
    </row>
    <row r="178" spans="1:9" x14ac:dyDescent="0.25">
      <c r="A178" s="45"/>
      <c r="B178" s="248" t="s">
        <v>585</v>
      </c>
      <c r="C178" s="248"/>
      <c r="D178" s="251">
        <v>396332</v>
      </c>
      <c r="E178" s="250"/>
      <c r="F178" s="250">
        <v>0</v>
      </c>
    </row>
    <row r="179" spans="1:9" x14ac:dyDescent="0.25">
      <c r="A179" s="45"/>
      <c r="B179" s="252" t="s">
        <v>599</v>
      </c>
      <c r="C179" s="248"/>
      <c r="D179" s="251"/>
      <c r="E179" s="250"/>
      <c r="F179" s="250">
        <v>700000</v>
      </c>
    </row>
    <row r="180" spans="1:9" x14ac:dyDescent="0.25">
      <c r="A180" s="45"/>
      <c r="B180" s="249" t="s">
        <v>609</v>
      </c>
      <c r="C180" s="249"/>
      <c r="D180" s="250">
        <f>-D193</f>
        <v>-101138</v>
      </c>
      <c r="E180" s="250"/>
      <c r="F180" s="250">
        <f>-699386+396333</f>
        <v>-303053</v>
      </c>
    </row>
    <row r="181" spans="1:9" x14ac:dyDescent="0.25">
      <c r="A181" s="45"/>
      <c r="B181" s="249" t="s">
        <v>610</v>
      </c>
      <c r="C181" s="249"/>
      <c r="D181" s="250">
        <f>-D194</f>
        <v>17</v>
      </c>
      <c r="E181" s="250"/>
      <c r="F181" s="250">
        <v>0</v>
      </c>
    </row>
    <row r="182" spans="1:9" x14ac:dyDescent="0.25">
      <c r="A182" s="45"/>
      <c r="B182" s="249" t="s">
        <v>601</v>
      </c>
      <c r="C182" s="249"/>
      <c r="D182" s="250">
        <v>0</v>
      </c>
      <c r="E182" s="250"/>
      <c r="F182" s="250">
        <v>0</v>
      </c>
    </row>
    <row r="183" spans="1:9" x14ac:dyDescent="0.25">
      <c r="A183" s="45"/>
      <c r="B183" s="249" t="s">
        <v>600</v>
      </c>
      <c r="C183" s="249"/>
      <c r="D183" s="250">
        <v>2292</v>
      </c>
      <c r="E183" s="250"/>
      <c r="F183" s="250">
        <f>-F189</f>
        <v>-2292</v>
      </c>
    </row>
    <row r="184" spans="1:9" x14ac:dyDescent="0.25">
      <c r="A184" s="45"/>
      <c r="B184" s="249" t="s">
        <v>592</v>
      </c>
      <c r="C184" s="249"/>
      <c r="D184" s="250">
        <v>-5393</v>
      </c>
      <c r="E184" s="250"/>
      <c r="F184" s="250">
        <v>0</v>
      </c>
    </row>
    <row r="185" spans="1:9" x14ac:dyDescent="0.25">
      <c r="A185" s="45"/>
      <c r="B185" s="249" t="s">
        <v>588</v>
      </c>
      <c r="C185" s="249"/>
      <c r="D185" s="250">
        <f>-17+10596</f>
        <v>10579</v>
      </c>
      <c r="E185" s="250"/>
      <c r="F185" s="250">
        <v>3398</v>
      </c>
    </row>
    <row r="186" spans="1:9" x14ac:dyDescent="0.25">
      <c r="A186" s="45"/>
      <c r="B186" s="249" t="s">
        <v>589</v>
      </c>
      <c r="C186" s="249"/>
      <c r="D186" s="253">
        <f>-2429-138+1</f>
        <v>-2566</v>
      </c>
      <c r="E186" s="250"/>
      <c r="F186" s="253">
        <v>-1720</v>
      </c>
      <c r="G186" s="12"/>
      <c r="I186" s="12"/>
    </row>
    <row r="187" spans="1:9" x14ac:dyDescent="0.25">
      <c r="A187" s="45"/>
      <c r="B187" s="248" t="s">
        <v>590</v>
      </c>
      <c r="C187" s="248"/>
      <c r="D187" s="254">
        <f>SUM(D178:D186)</f>
        <v>300123</v>
      </c>
      <c r="E187" s="251"/>
      <c r="F187" s="255">
        <f>SUM(F178:F186)</f>
        <v>396333</v>
      </c>
      <c r="G187" s="12"/>
    </row>
    <row r="188" spans="1:9" x14ac:dyDescent="0.25">
      <c r="A188" s="45"/>
      <c r="B188" s="248"/>
      <c r="C188" s="248"/>
      <c r="D188" s="251"/>
      <c r="E188" s="251"/>
      <c r="F188" s="251"/>
    </row>
    <row r="189" spans="1:9" x14ac:dyDescent="0.25">
      <c r="A189" s="45"/>
      <c r="B189" s="248" t="s">
        <v>524</v>
      </c>
      <c r="C189" s="248"/>
      <c r="D189" s="254">
        <v>5393</v>
      </c>
      <c r="E189" s="251"/>
      <c r="F189" s="254">
        <v>2292</v>
      </c>
      <c r="G189" s="12"/>
    </row>
    <row r="190" spans="1:9" x14ac:dyDescent="0.25">
      <c r="A190" s="45"/>
      <c r="B190" s="248"/>
      <c r="C190" s="248"/>
      <c r="D190" s="251"/>
      <c r="E190" s="251"/>
      <c r="F190" s="251"/>
      <c r="G190" s="12"/>
    </row>
    <row r="191" spans="1:9" x14ac:dyDescent="0.25">
      <c r="A191" s="45"/>
      <c r="B191" s="248" t="s">
        <v>593</v>
      </c>
      <c r="C191" s="248"/>
      <c r="D191" s="251"/>
      <c r="E191" s="251"/>
      <c r="F191" s="251"/>
    </row>
    <row r="192" spans="1:9" x14ac:dyDescent="0.25">
      <c r="A192" s="45"/>
      <c r="B192" s="249" t="s">
        <v>591</v>
      </c>
      <c r="C192" s="249"/>
      <c r="D192" s="251">
        <f>F195</f>
        <v>303053</v>
      </c>
      <c r="E192" s="250"/>
      <c r="F192" s="250">
        <v>0</v>
      </c>
    </row>
    <row r="193" spans="1:9" x14ac:dyDescent="0.25">
      <c r="A193" s="45"/>
      <c r="B193" s="249" t="s">
        <v>586</v>
      </c>
      <c r="C193" s="249"/>
      <c r="D193" s="250">
        <f>101155-17</f>
        <v>101138</v>
      </c>
      <c r="E193" s="250"/>
      <c r="F193" s="250">
        <f>-F180</f>
        <v>303053</v>
      </c>
    </row>
    <row r="194" spans="1:9" x14ac:dyDescent="0.25">
      <c r="A194" s="45"/>
      <c r="B194" s="248" t="s">
        <v>587</v>
      </c>
      <c r="C194" s="249"/>
      <c r="D194" s="253">
        <v>-17</v>
      </c>
      <c r="E194" s="250"/>
      <c r="F194" s="253"/>
    </row>
    <row r="195" spans="1:9" x14ac:dyDescent="0.25">
      <c r="A195" s="45"/>
      <c r="B195" s="249"/>
      <c r="C195" s="249"/>
      <c r="D195" s="254">
        <f>SUM(D192:D194)</f>
        <v>404174</v>
      </c>
      <c r="E195" s="251"/>
      <c r="F195" s="254">
        <f>SUM(F192:F193)</f>
        <v>303053</v>
      </c>
    </row>
    <row r="196" spans="1:9" x14ac:dyDescent="0.25">
      <c r="A196" s="45"/>
      <c r="B196" s="249"/>
      <c r="C196" s="249"/>
      <c r="D196" s="251"/>
      <c r="E196" s="251"/>
      <c r="F196" s="251"/>
    </row>
    <row r="197" spans="1:9" x14ac:dyDescent="0.25">
      <c r="A197" s="45"/>
      <c r="B197" s="264" t="s">
        <v>603</v>
      </c>
      <c r="C197" s="265"/>
      <c r="D197" s="267">
        <f>D187+D189+D195</f>
        <v>709690</v>
      </c>
      <c r="E197" s="268"/>
      <c r="F197" s="267">
        <f>F187+F189+F195</f>
        <v>701678</v>
      </c>
      <c r="I197" s="20"/>
    </row>
    <row r="198" spans="1:9" x14ac:dyDescent="0.25">
      <c r="A198" s="45"/>
      <c r="D198" s="247"/>
      <c r="E198" s="247"/>
      <c r="F198" s="247"/>
    </row>
    <row r="199" spans="1:9" x14ac:dyDescent="0.25">
      <c r="A199" s="45"/>
      <c r="B199" s="256" t="s">
        <v>554</v>
      </c>
      <c r="C199" s="257"/>
      <c r="D199" s="258"/>
      <c r="E199" s="258"/>
      <c r="F199" s="258"/>
    </row>
    <row r="200" spans="1:9" x14ac:dyDescent="0.25">
      <c r="A200" s="45"/>
      <c r="B200" s="257" t="s">
        <v>594</v>
      </c>
      <c r="C200" s="257"/>
      <c r="D200" s="259">
        <f>D187+D189</f>
        <v>305516</v>
      </c>
      <c r="E200" s="259"/>
      <c r="F200" s="259">
        <f>F187+F189</f>
        <v>398625</v>
      </c>
    </row>
    <row r="201" spans="1:9" x14ac:dyDescent="0.25">
      <c r="A201" s="45"/>
      <c r="B201" s="257" t="s">
        <v>571</v>
      </c>
      <c r="C201" s="257"/>
      <c r="D201" s="260">
        <f>744160-305516</f>
        <v>438644</v>
      </c>
      <c r="E201" s="259"/>
      <c r="F201" s="260">
        <f>684881-396333</f>
        <v>288548</v>
      </c>
    </row>
    <row r="202" spans="1:9" x14ac:dyDescent="0.25">
      <c r="A202" s="45"/>
      <c r="B202" s="256" t="s">
        <v>595</v>
      </c>
      <c r="C202" s="257"/>
      <c r="D202" s="261">
        <f>SUM(D200:D201)</f>
        <v>744160</v>
      </c>
      <c r="E202" s="262"/>
      <c r="F202" s="261">
        <f>SUM(F200:F201)</f>
        <v>687173</v>
      </c>
      <c r="G202" s="12"/>
    </row>
    <row r="203" spans="1:9" x14ac:dyDescent="0.25">
      <c r="A203" s="45"/>
      <c r="B203" s="257"/>
      <c r="C203" s="257"/>
      <c r="D203" s="262"/>
      <c r="E203" s="262"/>
      <c r="F203" s="262"/>
    </row>
    <row r="204" spans="1:9" x14ac:dyDescent="0.25">
      <c r="A204" s="45"/>
      <c r="B204" s="256" t="s">
        <v>596</v>
      </c>
      <c r="C204" s="256"/>
      <c r="D204" s="261">
        <f>D202-F202</f>
        <v>56987</v>
      </c>
      <c r="E204" s="258"/>
      <c r="F204" s="261">
        <f>F202-F197</f>
        <v>-14505</v>
      </c>
    </row>
    <row r="205" spans="1:9" x14ac:dyDescent="0.25">
      <c r="A205" s="45"/>
      <c r="B205" s="256"/>
      <c r="C205" s="256"/>
      <c r="D205" s="258"/>
      <c r="E205" s="258"/>
      <c r="F205" s="258"/>
      <c r="I205" s="12"/>
    </row>
    <row r="206" spans="1:9" x14ac:dyDescent="0.25">
      <c r="A206" s="45"/>
      <c r="B206" s="263" t="s">
        <v>602</v>
      </c>
      <c r="C206" s="256"/>
      <c r="D206" s="258">
        <f>D202-D197</f>
        <v>34470</v>
      </c>
      <c r="E206" s="258"/>
      <c r="F206" s="258">
        <v>-14505</v>
      </c>
      <c r="G206" s="12"/>
    </row>
    <row r="207" spans="1:9" x14ac:dyDescent="0.25">
      <c r="A207" s="45"/>
      <c r="B207" s="263" t="s">
        <v>597</v>
      </c>
      <c r="C207" s="256"/>
      <c r="D207" s="261">
        <f>F204</f>
        <v>-14505</v>
      </c>
      <c r="E207" s="258"/>
      <c r="F207" s="261">
        <v>0</v>
      </c>
      <c r="I207" s="12"/>
    </row>
    <row r="208" spans="1:9" x14ac:dyDescent="0.25">
      <c r="A208" s="45"/>
      <c r="B208" s="256" t="s">
        <v>598</v>
      </c>
      <c r="C208" s="256"/>
      <c r="D208" s="261">
        <f>D206-D207</f>
        <v>48975</v>
      </c>
      <c r="E208" s="258"/>
      <c r="F208" s="261">
        <f>F206-F207</f>
        <v>-14505</v>
      </c>
    </row>
    <row r="209" spans="1:9" x14ac:dyDescent="0.25">
      <c r="A209" s="45"/>
      <c r="B209" s="31"/>
      <c r="C209" s="31"/>
      <c r="D209" s="247"/>
      <c r="E209" s="247"/>
      <c r="F209" s="247"/>
      <c r="I209" s="12"/>
    </row>
    <row r="210" spans="1:9" x14ac:dyDescent="0.25">
      <c r="A210" s="31" t="s">
        <v>41</v>
      </c>
      <c r="D210" s="31"/>
      <c r="E210" s="31"/>
      <c r="F210" s="31"/>
      <c r="I210" s="12"/>
    </row>
    <row r="211" spans="1:9" x14ac:dyDescent="0.25">
      <c r="A211" s="31" t="s">
        <v>556</v>
      </c>
      <c r="D211" s="31"/>
      <c r="E211" s="31"/>
      <c r="F211" s="31"/>
      <c r="I211" s="12"/>
    </row>
    <row r="212" spans="1:9" x14ac:dyDescent="0.25">
      <c r="B212" s="31"/>
      <c r="D212" s="87">
        <v>2021</v>
      </c>
      <c r="E212" s="87"/>
      <c r="F212" s="87">
        <v>2020</v>
      </c>
      <c r="I212" s="12"/>
    </row>
    <row r="213" spans="1:9" x14ac:dyDescent="0.25">
      <c r="B213" s="31"/>
      <c r="D213" s="87" t="s">
        <v>9</v>
      </c>
      <c r="E213" s="87"/>
      <c r="F213" s="87" t="s">
        <v>9</v>
      </c>
      <c r="I213" s="12"/>
    </row>
    <row r="214" spans="1:9" x14ac:dyDescent="0.25">
      <c r="A214" s="15"/>
      <c r="B214" s="15"/>
      <c r="C214" s="15"/>
      <c r="D214" s="15"/>
      <c r="E214" s="15"/>
      <c r="F214" s="15"/>
      <c r="I214" s="12"/>
    </row>
    <row r="215" spans="1:9" x14ac:dyDescent="0.25">
      <c r="A215" s="45"/>
      <c r="B215" s="31"/>
      <c r="C215" s="31"/>
      <c r="D215" s="247"/>
      <c r="E215" s="247"/>
      <c r="F215" s="247"/>
      <c r="I215" s="12"/>
    </row>
    <row r="216" spans="1:9" x14ac:dyDescent="0.25">
      <c r="A216" s="87">
        <v>4</v>
      </c>
      <c r="B216" s="31" t="s">
        <v>193</v>
      </c>
    </row>
    <row r="217" spans="1:9" x14ac:dyDescent="0.25">
      <c r="A217" s="87"/>
      <c r="B217" s="31"/>
    </row>
    <row r="218" spans="1:9" x14ac:dyDescent="0.25">
      <c r="A218" s="87"/>
      <c r="B218" t="s">
        <v>448</v>
      </c>
      <c r="D218" s="2">
        <v>46528</v>
      </c>
      <c r="E218" s="2"/>
      <c r="F218" s="2">
        <v>107720</v>
      </c>
    </row>
    <row r="219" spans="1:9" x14ac:dyDescent="0.25">
      <c r="B219" t="s">
        <v>194</v>
      </c>
      <c r="D219" s="2">
        <v>59374</v>
      </c>
      <c r="E219" s="2"/>
      <c r="F219" s="2">
        <v>166559</v>
      </c>
    </row>
    <row r="220" spans="1:9" x14ac:dyDescent="0.25">
      <c r="B220" s="31" t="s">
        <v>330</v>
      </c>
      <c r="D220" s="16">
        <f>SUM(D218:D219)</f>
        <v>105902</v>
      </c>
      <c r="E220" s="2"/>
      <c r="F220" s="16">
        <f>SUM(F218:F219)</f>
        <v>274279</v>
      </c>
    </row>
    <row r="221" spans="1:9" x14ac:dyDescent="0.25">
      <c r="B221" s="31"/>
      <c r="D221" s="19"/>
      <c r="E221" s="2"/>
      <c r="F221" s="19"/>
    </row>
    <row r="222" spans="1:9" x14ac:dyDescent="0.25">
      <c r="A222" s="87">
        <v>5</v>
      </c>
      <c r="B222" s="31" t="s">
        <v>61</v>
      </c>
    </row>
    <row r="223" spans="1:9" x14ac:dyDescent="0.25">
      <c r="A223" s="87"/>
      <c r="B223" s="31"/>
    </row>
    <row r="224" spans="1:9" x14ac:dyDescent="0.25">
      <c r="B224" t="s">
        <v>195</v>
      </c>
      <c r="D224" s="19">
        <v>22</v>
      </c>
      <c r="E224" s="19"/>
      <c r="F224" s="19">
        <v>13</v>
      </c>
    </row>
    <row r="225" spans="1:6" x14ac:dyDescent="0.25">
      <c r="B225" t="s">
        <v>496</v>
      </c>
      <c r="D225" s="19">
        <v>565</v>
      </c>
      <c r="E225" s="19"/>
      <c r="F225" s="19">
        <v>534</v>
      </c>
    </row>
    <row r="226" spans="1:6" x14ac:dyDescent="0.25">
      <c r="B226" t="s">
        <v>497</v>
      </c>
      <c r="D226" s="19">
        <v>86</v>
      </c>
      <c r="E226" s="19"/>
      <c r="F226" s="19">
        <v>0</v>
      </c>
    </row>
    <row r="227" spans="1:6" x14ac:dyDescent="0.25">
      <c r="B227" s="212" t="s">
        <v>498</v>
      </c>
      <c r="D227" s="25">
        <v>6611</v>
      </c>
      <c r="E227" s="25"/>
      <c r="F227" s="25">
        <v>2118</v>
      </c>
    </row>
    <row r="228" spans="1:6" x14ac:dyDescent="0.25">
      <c r="B228" s="140" t="s">
        <v>329</v>
      </c>
      <c r="D228" s="16">
        <f>SUM(D224:D227)</f>
        <v>7284</v>
      </c>
      <c r="E228" s="19"/>
      <c r="F228" s="16">
        <f>SUM(F224:F227)</f>
        <v>2665</v>
      </c>
    </row>
    <row r="229" spans="1:6" x14ac:dyDescent="0.25">
      <c r="B229" s="140"/>
      <c r="D229" s="19"/>
      <c r="E229" s="19"/>
      <c r="F229" s="19"/>
    </row>
    <row r="230" spans="1:6" x14ac:dyDescent="0.25">
      <c r="A230" s="87">
        <v>6</v>
      </c>
      <c r="B230" s="31" t="s">
        <v>197</v>
      </c>
    </row>
    <row r="231" spans="1:6" x14ac:dyDescent="0.25">
      <c r="A231" s="87"/>
      <c r="B231" s="31"/>
    </row>
    <row r="232" spans="1:6" x14ac:dyDescent="0.25">
      <c r="B232" t="s">
        <v>198</v>
      </c>
    </row>
    <row r="233" spans="1:6" x14ac:dyDescent="0.25">
      <c r="B233" t="s">
        <v>199</v>
      </c>
      <c r="D233" s="2">
        <f>F237</f>
        <v>2530607</v>
      </c>
      <c r="E233" s="2"/>
      <c r="F233" s="2">
        <v>1591075</v>
      </c>
    </row>
    <row r="234" spans="1:6" x14ac:dyDescent="0.25">
      <c r="B234" s="100" t="s">
        <v>532</v>
      </c>
      <c r="D234" s="2">
        <v>0</v>
      </c>
      <c r="E234" s="2"/>
      <c r="F234" s="2">
        <v>924175</v>
      </c>
    </row>
    <row r="235" spans="1:6" x14ac:dyDescent="0.25">
      <c r="B235" s="95" t="s">
        <v>200</v>
      </c>
      <c r="D235" s="138">
        <f>D68</f>
        <v>597292.98999999987</v>
      </c>
      <c r="E235" s="138"/>
      <c r="F235" s="138">
        <v>22907</v>
      </c>
    </row>
    <row r="236" spans="1:6" x14ac:dyDescent="0.25">
      <c r="B236" s="95" t="s">
        <v>328</v>
      </c>
      <c r="D236" s="2">
        <v>0</v>
      </c>
      <c r="E236" s="2"/>
      <c r="F236" s="2">
        <v>-7550</v>
      </c>
    </row>
    <row r="237" spans="1:6" x14ac:dyDescent="0.25">
      <c r="B237" s="31" t="s">
        <v>201</v>
      </c>
      <c r="D237" s="16">
        <f>SUM(D233:D236)</f>
        <v>3127899.9899999998</v>
      </c>
      <c r="E237" s="2"/>
      <c r="F237" s="16">
        <f>SUM(F233:F236)</f>
        <v>2530607</v>
      </c>
    </row>
    <row r="239" spans="1:6" x14ac:dyDescent="0.25">
      <c r="A239" s="31" t="s">
        <v>41</v>
      </c>
      <c r="D239" s="31"/>
      <c r="E239" s="31"/>
      <c r="F239" s="31"/>
    </row>
    <row r="240" spans="1:6" x14ac:dyDescent="0.25">
      <c r="A240" s="31" t="s">
        <v>556</v>
      </c>
      <c r="D240" s="31"/>
      <c r="E240" s="31"/>
      <c r="F240" s="31"/>
    </row>
    <row r="241" spans="1:6" x14ac:dyDescent="0.25">
      <c r="B241" s="31"/>
      <c r="D241" s="87">
        <v>2021</v>
      </c>
      <c r="E241" s="87"/>
      <c r="F241" s="87">
        <v>2020</v>
      </c>
    </row>
    <row r="242" spans="1:6" x14ac:dyDescent="0.25">
      <c r="B242" s="31"/>
      <c r="D242" s="87" t="s">
        <v>9</v>
      </c>
      <c r="E242" s="87"/>
      <c r="F242" s="87" t="s">
        <v>9</v>
      </c>
    </row>
    <row r="243" spans="1:6" x14ac:dyDescent="0.25">
      <c r="A243" s="15"/>
      <c r="B243" s="15"/>
      <c r="C243" s="15"/>
      <c r="D243" s="15"/>
      <c r="E243" s="15"/>
      <c r="F243" s="15"/>
    </row>
    <row r="244" spans="1:6" x14ac:dyDescent="0.25">
      <c r="B244" s="31"/>
      <c r="D244" s="19"/>
      <c r="E244" s="2"/>
      <c r="F244" s="19"/>
    </row>
    <row r="245" spans="1:6" x14ac:dyDescent="0.25">
      <c r="A245" s="87">
        <v>7</v>
      </c>
      <c r="B245" s="31" t="s">
        <v>397</v>
      </c>
    </row>
    <row r="246" spans="1:6" x14ac:dyDescent="0.25">
      <c r="A246" s="87"/>
      <c r="B246" s="100" t="s">
        <v>433</v>
      </c>
      <c r="D246" s="2">
        <v>70</v>
      </c>
      <c r="F246" s="2">
        <v>392</v>
      </c>
    </row>
    <row r="247" spans="1:6" x14ac:dyDescent="0.25">
      <c r="A247" s="87"/>
      <c r="B247" s="100" t="s">
        <v>423</v>
      </c>
      <c r="D247" s="2">
        <v>226</v>
      </c>
      <c r="F247" s="2">
        <v>0</v>
      </c>
    </row>
    <row r="248" spans="1:6" x14ac:dyDescent="0.25">
      <c r="B248" t="s">
        <v>533</v>
      </c>
      <c r="D248" s="2">
        <v>9689</v>
      </c>
      <c r="E248" s="2"/>
      <c r="F248" s="2">
        <v>7693</v>
      </c>
    </row>
    <row r="249" spans="1:6" x14ac:dyDescent="0.25">
      <c r="B249" s="100" t="s">
        <v>479</v>
      </c>
      <c r="D249" s="2">
        <v>0</v>
      </c>
      <c r="E249" s="2"/>
      <c r="F249" s="2">
        <v>747</v>
      </c>
    </row>
    <row r="250" spans="1:6" x14ac:dyDescent="0.25">
      <c r="B250" s="100" t="s">
        <v>555</v>
      </c>
      <c r="D250" s="2">
        <v>262</v>
      </c>
      <c r="E250" s="2"/>
      <c r="F250" s="2">
        <v>0</v>
      </c>
    </row>
    <row r="251" spans="1:6" x14ac:dyDescent="0.25">
      <c r="B251" t="s">
        <v>514</v>
      </c>
      <c r="D251" s="2">
        <v>1543</v>
      </c>
      <c r="E251" s="2"/>
      <c r="F251" s="2">
        <v>589</v>
      </c>
    </row>
    <row r="252" spans="1:6" x14ac:dyDescent="0.25">
      <c r="B252" t="s">
        <v>434</v>
      </c>
      <c r="D252" s="2">
        <v>12338</v>
      </c>
      <c r="E252" s="2"/>
      <c r="F252" s="2">
        <v>19378</v>
      </c>
    </row>
    <row r="253" spans="1:6" x14ac:dyDescent="0.25">
      <c r="B253" t="s">
        <v>435</v>
      </c>
      <c r="D253" s="2">
        <v>1488</v>
      </c>
      <c r="E253" s="2"/>
      <c r="F253" s="2">
        <v>2199</v>
      </c>
    </row>
    <row r="254" spans="1:6" x14ac:dyDescent="0.25">
      <c r="B254" t="s">
        <v>436</v>
      </c>
      <c r="D254" s="2">
        <v>1155</v>
      </c>
      <c r="E254" s="2"/>
      <c r="F254" s="2">
        <v>878</v>
      </c>
    </row>
    <row r="255" spans="1:6" x14ac:dyDescent="0.25">
      <c r="B255" t="s">
        <v>480</v>
      </c>
      <c r="D255" s="2">
        <v>1580.63</v>
      </c>
      <c r="E255" s="2"/>
      <c r="F255" s="2">
        <v>1529</v>
      </c>
    </row>
    <row r="256" spans="1:6" x14ac:dyDescent="0.25">
      <c r="B256" t="s">
        <v>536</v>
      </c>
      <c r="D256" s="2">
        <v>742</v>
      </c>
      <c r="E256" s="2"/>
      <c r="F256" s="2">
        <v>978</v>
      </c>
    </row>
    <row r="257" spans="2:6" x14ac:dyDescent="0.25">
      <c r="B257" t="s">
        <v>535</v>
      </c>
      <c r="D257" s="2">
        <v>0</v>
      </c>
      <c r="E257" s="2"/>
      <c r="F257" s="2">
        <v>714</v>
      </c>
    </row>
    <row r="258" spans="2:6" x14ac:dyDescent="0.25">
      <c r="B258" t="s">
        <v>537</v>
      </c>
      <c r="D258" s="2">
        <v>1020</v>
      </c>
      <c r="E258" s="2"/>
      <c r="F258" s="2">
        <v>2300</v>
      </c>
    </row>
    <row r="259" spans="2:6" x14ac:dyDescent="0.25">
      <c r="B259" t="s">
        <v>438</v>
      </c>
      <c r="D259" s="2">
        <v>2948</v>
      </c>
      <c r="E259" s="2"/>
      <c r="F259" s="2">
        <v>2990</v>
      </c>
    </row>
    <row r="260" spans="2:6" x14ac:dyDescent="0.25">
      <c r="B260" t="s">
        <v>534</v>
      </c>
      <c r="D260" s="2">
        <v>2903</v>
      </c>
      <c r="E260" s="2"/>
      <c r="F260" s="2">
        <v>2698</v>
      </c>
    </row>
    <row r="261" spans="2:6" x14ac:dyDescent="0.25">
      <c r="B261" t="s">
        <v>437</v>
      </c>
      <c r="D261" s="2">
        <v>939</v>
      </c>
      <c r="E261" s="2"/>
      <c r="F261" s="2">
        <v>1210</v>
      </c>
    </row>
    <row r="262" spans="2:6" x14ac:dyDescent="0.25">
      <c r="B262" t="s">
        <v>439</v>
      </c>
      <c r="D262" s="2">
        <v>420</v>
      </c>
      <c r="E262" s="2"/>
      <c r="F262" s="2">
        <v>1162</v>
      </c>
    </row>
    <row r="263" spans="2:6" x14ac:dyDescent="0.25">
      <c r="B263" t="s">
        <v>440</v>
      </c>
      <c r="D263" s="2">
        <v>345</v>
      </c>
      <c r="E263" s="2"/>
      <c r="F263" s="2">
        <v>405</v>
      </c>
    </row>
    <row r="264" spans="2:6" x14ac:dyDescent="0.25">
      <c r="B264" t="s">
        <v>481</v>
      </c>
      <c r="D264" s="2">
        <v>37</v>
      </c>
      <c r="E264" s="2"/>
      <c r="F264" s="2">
        <v>485</v>
      </c>
    </row>
    <row r="265" spans="2:6" x14ac:dyDescent="0.25">
      <c r="B265" t="s">
        <v>512</v>
      </c>
      <c r="D265" s="2">
        <v>316</v>
      </c>
      <c r="E265" s="2"/>
      <c r="F265" s="2">
        <v>0</v>
      </c>
    </row>
    <row r="266" spans="2:6" x14ac:dyDescent="0.25">
      <c r="B266" t="s">
        <v>442</v>
      </c>
      <c r="D266" s="2">
        <v>12951</v>
      </c>
      <c r="E266" s="2"/>
      <c r="F266" s="2">
        <v>10215</v>
      </c>
    </row>
    <row r="267" spans="2:6" x14ac:dyDescent="0.25">
      <c r="B267" t="s">
        <v>482</v>
      </c>
      <c r="D267" s="2">
        <v>2446</v>
      </c>
      <c r="E267" s="2"/>
      <c r="F267" s="2">
        <v>941</v>
      </c>
    </row>
    <row r="268" spans="2:6" x14ac:dyDescent="0.25">
      <c r="B268" t="s">
        <v>483</v>
      </c>
      <c r="D268" s="2">
        <v>754</v>
      </c>
      <c r="E268" s="2"/>
      <c r="F268" s="2">
        <v>645</v>
      </c>
    </row>
    <row r="269" spans="2:6" x14ac:dyDescent="0.25">
      <c r="B269" t="s">
        <v>539</v>
      </c>
      <c r="D269" s="2">
        <v>1151</v>
      </c>
      <c r="E269" s="2"/>
      <c r="F269" s="2">
        <v>699</v>
      </c>
    </row>
    <row r="270" spans="2:6" x14ac:dyDescent="0.25">
      <c r="B270" t="s">
        <v>443</v>
      </c>
      <c r="D270" s="2">
        <v>172</v>
      </c>
      <c r="E270" s="2"/>
      <c r="F270" s="2">
        <v>505</v>
      </c>
    </row>
    <row r="271" spans="2:6" x14ac:dyDescent="0.25">
      <c r="B271" t="s">
        <v>484</v>
      </c>
      <c r="D271" s="2">
        <v>1687</v>
      </c>
      <c r="E271" s="2"/>
      <c r="F271" s="2">
        <v>1687</v>
      </c>
    </row>
    <row r="272" spans="2:6" x14ac:dyDescent="0.25">
      <c r="B272" t="s">
        <v>485</v>
      </c>
      <c r="D272" s="2">
        <v>465</v>
      </c>
      <c r="E272" s="2"/>
      <c r="F272" s="2">
        <v>622</v>
      </c>
    </row>
    <row r="273" spans="1:7" x14ac:dyDescent="0.25">
      <c r="B273" t="s">
        <v>486</v>
      </c>
      <c r="D273" s="2">
        <v>84</v>
      </c>
      <c r="E273" s="2"/>
      <c r="F273" s="2">
        <v>147</v>
      </c>
    </row>
    <row r="274" spans="1:7" x14ac:dyDescent="0.25">
      <c r="B274" t="s">
        <v>487</v>
      </c>
      <c r="D274" s="2">
        <v>1766</v>
      </c>
      <c r="E274" s="2"/>
      <c r="F274" s="2">
        <v>1587</v>
      </c>
    </row>
    <row r="275" spans="1:7" x14ac:dyDescent="0.25">
      <c r="B275" t="s">
        <v>488</v>
      </c>
      <c r="D275" s="2">
        <v>3888</v>
      </c>
      <c r="E275" s="2"/>
      <c r="F275" s="2">
        <v>2486</v>
      </c>
    </row>
    <row r="276" spans="1:7" x14ac:dyDescent="0.25">
      <c r="B276" t="s">
        <v>489</v>
      </c>
      <c r="D276" s="2">
        <v>498</v>
      </c>
      <c r="E276" s="2"/>
      <c r="F276" s="2">
        <v>1319</v>
      </c>
    </row>
    <row r="277" spans="1:7" x14ac:dyDescent="0.25">
      <c r="B277" t="s">
        <v>490</v>
      </c>
      <c r="D277" s="2">
        <v>1238</v>
      </c>
      <c r="E277" s="2"/>
      <c r="F277" s="2">
        <v>1260</v>
      </c>
      <c r="G277" s="20"/>
    </row>
    <row r="278" spans="1:7" x14ac:dyDescent="0.25">
      <c r="B278" s="31" t="s">
        <v>403</v>
      </c>
      <c r="D278" s="16">
        <f>SUM(D246:D277)</f>
        <v>65121.630000000005</v>
      </c>
      <c r="E278" s="2"/>
      <c r="F278" s="16">
        <f>SUM(F246:F277)</f>
        <v>68460</v>
      </c>
      <c r="G278" s="19"/>
    </row>
    <row r="279" spans="1:7" x14ac:dyDescent="0.25">
      <c r="B279" s="31"/>
      <c r="D279" s="19"/>
      <c r="E279" s="2"/>
      <c r="F279" s="19"/>
      <c r="G279" s="20"/>
    </row>
    <row r="280" spans="1:7" x14ac:dyDescent="0.25">
      <c r="B280" s="31" t="s">
        <v>402</v>
      </c>
      <c r="D280" s="19"/>
      <c r="E280" s="2"/>
      <c r="F280" s="19"/>
    </row>
    <row r="281" spans="1:7" x14ac:dyDescent="0.25">
      <c r="B281" t="s">
        <v>325</v>
      </c>
      <c r="D281" s="92">
        <v>292</v>
      </c>
      <c r="E281" s="2"/>
      <c r="F281" s="92">
        <v>325</v>
      </c>
    </row>
    <row r="282" spans="1:7" x14ac:dyDescent="0.25">
      <c r="D282" s="92"/>
      <c r="E282" s="2"/>
      <c r="F282" s="92"/>
    </row>
    <row r="283" spans="1:7" x14ac:dyDescent="0.25">
      <c r="B283" s="31" t="s">
        <v>260</v>
      </c>
      <c r="D283" s="16">
        <f>D278+D281</f>
        <v>65413.630000000005</v>
      </c>
      <c r="E283" s="2"/>
      <c r="F283" s="16">
        <f>F278+F281</f>
        <v>68785</v>
      </c>
    </row>
    <row r="285" spans="1:7" ht="18" customHeight="1" x14ac:dyDescent="0.25">
      <c r="B285" s="31"/>
      <c r="C285" s="19"/>
      <c r="D285" s="2"/>
      <c r="E285" s="19"/>
    </row>
    <row r="286" spans="1:7" x14ac:dyDescent="0.25">
      <c r="A286" s="31" t="s">
        <v>41</v>
      </c>
      <c r="D286" s="31"/>
      <c r="E286" s="31"/>
      <c r="F286" s="31"/>
    </row>
    <row r="287" spans="1:7" x14ac:dyDescent="0.25">
      <c r="A287" s="31" t="s">
        <v>556</v>
      </c>
      <c r="D287" s="31"/>
      <c r="E287" s="31"/>
      <c r="F287" s="31"/>
    </row>
    <row r="288" spans="1:7" x14ac:dyDescent="0.25">
      <c r="A288" s="31"/>
      <c r="B288" s="31"/>
      <c r="D288" s="87">
        <v>2021</v>
      </c>
      <c r="E288" s="87"/>
      <c r="F288" s="87">
        <v>2020</v>
      </c>
    </row>
    <row r="289" spans="1:9" x14ac:dyDescent="0.25">
      <c r="A289" s="31"/>
      <c r="B289" s="31"/>
      <c r="D289" s="87" t="s">
        <v>9</v>
      </c>
      <c r="E289" s="87"/>
      <c r="F289" s="87" t="s">
        <v>9</v>
      </c>
    </row>
    <row r="290" spans="1:9" x14ac:dyDescent="0.25">
      <c r="A290" s="89"/>
      <c r="B290" s="89"/>
      <c r="C290" s="15"/>
      <c r="D290" s="89"/>
      <c r="E290" s="89"/>
      <c r="F290" s="89"/>
    </row>
    <row r="292" spans="1:9" x14ac:dyDescent="0.25">
      <c r="A292" s="87">
        <v>8</v>
      </c>
      <c r="B292" s="31" t="s">
        <v>239</v>
      </c>
    </row>
    <row r="293" spans="1:9" x14ac:dyDescent="0.25">
      <c r="B293" t="s">
        <v>240</v>
      </c>
    </row>
    <row r="294" spans="1:9" x14ac:dyDescent="0.25">
      <c r="D294" s="26">
        <v>0</v>
      </c>
      <c r="E294" s="26"/>
      <c r="F294" s="26">
        <v>0</v>
      </c>
    </row>
    <row r="295" spans="1:9" x14ac:dyDescent="0.25">
      <c r="B295" t="s">
        <v>435</v>
      </c>
      <c r="D295" s="2">
        <v>23987</v>
      </c>
      <c r="F295" s="2">
        <v>0</v>
      </c>
    </row>
    <row r="296" spans="1:9" x14ac:dyDescent="0.25">
      <c r="B296" t="s">
        <v>535</v>
      </c>
      <c r="D296" s="2">
        <v>12128</v>
      </c>
      <c r="F296" s="2">
        <v>0</v>
      </c>
    </row>
    <row r="297" spans="1:9" x14ac:dyDescent="0.25">
      <c r="B297" s="31" t="s">
        <v>255</v>
      </c>
      <c r="D297" s="16">
        <f>SUM(D294:D296)</f>
        <v>36115</v>
      </c>
      <c r="F297" s="16">
        <f>SUM(F294:F296)</f>
        <v>0</v>
      </c>
    </row>
    <row r="300" spans="1:9" x14ac:dyDescent="0.25">
      <c r="A300" s="87">
        <v>9</v>
      </c>
      <c r="B300" s="31" t="s">
        <v>202</v>
      </c>
    </row>
    <row r="301" spans="1:9" x14ac:dyDescent="0.25">
      <c r="A301" s="87"/>
      <c r="B301" s="31"/>
    </row>
    <row r="302" spans="1:9" x14ac:dyDescent="0.25">
      <c r="A302" s="87"/>
      <c r="B302" t="s">
        <v>243</v>
      </c>
      <c r="D302" s="19">
        <f>D139</f>
        <v>2351003.67</v>
      </c>
      <c r="E302" s="2"/>
      <c r="F302" s="2">
        <v>1595940</v>
      </c>
      <c r="I302" s="2"/>
    </row>
    <row r="303" spans="1:9" x14ac:dyDescent="0.25">
      <c r="A303" s="87"/>
      <c r="B303" t="s">
        <v>244</v>
      </c>
      <c r="D303" s="19">
        <f>D147</f>
        <v>1567909.31</v>
      </c>
      <c r="E303" s="2"/>
      <c r="F303" s="2">
        <v>1273767</v>
      </c>
      <c r="I303" s="2"/>
    </row>
    <row r="304" spans="1:9" x14ac:dyDescent="0.25">
      <c r="A304" s="87"/>
      <c r="B304" s="31" t="s">
        <v>245</v>
      </c>
      <c r="D304" s="16">
        <f>D302-D303</f>
        <v>783094.35999999987</v>
      </c>
      <c r="E304" s="2"/>
      <c r="F304" s="16">
        <f>F302-F303</f>
        <v>322173</v>
      </c>
      <c r="I304" s="2"/>
    </row>
    <row r="305" spans="1:9" x14ac:dyDescent="0.25">
      <c r="A305" s="87"/>
      <c r="D305" s="19"/>
      <c r="E305" s="2"/>
      <c r="F305" s="19"/>
      <c r="I305" s="2"/>
    </row>
    <row r="306" spans="1:9" x14ac:dyDescent="0.25">
      <c r="A306" s="87"/>
      <c r="B306" t="s">
        <v>249</v>
      </c>
      <c r="D306" s="19">
        <f>D304</f>
        <v>783094.35999999987</v>
      </c>
      <c r="E306" s="2"/>
      <c r="F306" s="2">
        <v>322184</v>
      </c>
      <c r="I306" s="2"/>
    </row>
    <row r="307" spans="1:9" x14ac:dyDescent="0.25">
      <c r="A307" s="87"/>
      <c r="B307" t="s">
        <v>250</v>
      </c>
      <c r="D307" s="19">
        <f>F304</f>
        <v>322173</v>
      </c>
      <c r="E307" s="2"/>
      <c r="F307" s="2">
        <v>431692</v>
      </c>
      <c r="I307" s="2"/>
    </row>
    <row r="308" spans="1:9" x14ac:dyDescent="0.25">
      <c r="A308" s="87"/>
      <c r="B308" s="31" t="s">
        <v>246</v>
      </c>
      <c r="D308" s="16">
        <f>D306-D307</f>
        <v>460921.35999999987</v>
      </c>
      <c r="E308" s="2"/>
      <c r="F308" s="16">
        <f>F306-F307</f>
        <v>-109508</v>
      </c>
      <c r="I308" s="2"/>
    </row>
    <row r="309" spans="1:9" x14ac:dyDescent="0.25">
      <c r="A309" s="87"/>
      <c r="B309" s="31"/>
      <c r="D309" s="19"/>
      <c r="E309" s="2"/>
      <c r="F309" s="19"/>
      <c r="I309" s="2"/>
    </row>
    <row r="310" spans="1:9" x14ac:dyDescent="0.25">
      <c r="A310" s="87"/>
      <c r="B310" t="s">
        <v>519</v>
      </c>
      <c r="D310" s="19">
        <f>D202</f>
        <v>744160</v>
      </c>
      <c r="E310" s="2"/>
      <c r="F310" s="2">
        <v>687174</v>
      </c>
      <c r="I310" s="2"/>
    </row>
    <row r="311" spans="1:9" x14ac:dyDescent="0.25">
      <c r="A311" s="87"/>
      <c r="B311" t="s">
        <v>518</v>
      </c>
      <c r="D311" s="19">
        <f>D197</f>
        <v>709690</v>
      </c>
      <c r="E311" s="2"/>
      <c r="F311" s="2">
        <v>701677</v>
      </c>
      <c r="I311" s="2"/>
    </row>
    <row r="312" spans="1:9" x14ac:dyDescent="0.25">
      <c r="A312" s="87"/>
      <c r="B312" s="31" t="s">
        <v>245</v>
      </c>
      <c r="D312" s="16">
        <f>D310-D311</f>
        <v>34470</v>
      </c>
      <c r="E312" s="2"/>
      <c r="F312" s="16">
        <f>F310-F311</f>
        <v>-14503</v>
      </c>
      <c r="I312" s="2"/>
    </row>
    <row r="313" spans="1:9" x14ac:dyDescent="0.25">
      <c r="A313" s="87"/>
      <c r="D313" s="19"/>
      <c r="E313" s="2"/>
      <c r="F313" s="19"/>
      <c r="I313" s="2"/>
    </row>
    <row r="314" spans="1:9" x14ac:dyDescent="0.25">
      <c r="A314" s="87"/>
      <c r="B314" t="s">
        <v>520</v>
      </c>
      <c r="D314" s="19">
        <f>D312</f>
        <v>34470</v>
      </c>
      <c r="E314" s="2"/>
      <c r="F314" s="2">
        <v>-14503</v>
      </c>
      <c r="I314" s="2"/>
    </row>
    <row r="315" spans="1:9" x14ac:dyDescent="0.25">
      <c r="A315" s="87"/>
      <c r="B315" t="s">
        <v>521</v>
      </c>
      <c r="D315" s="19">
        <f>F312</f>
        <v>-14503</v>
      </c>
      <c r="E315" s="2"/>
      <c r="F315" s="19">
        <v>0</v>
      </c>
      <c r="I315" s="2"/>
    </row>
    <row r="316" spans="1:9" x14ac:dyDescent="0.25">
      <c r="A316" s="87"/>
      <c r="B316" s="31" t="s">
        <v>246</v>
      </c>
      <c r="D316" s="16">
        <f>D314-D315</f>
        <v>48973</v>
      </c>
      <c r="E316" s="2"/>
      <c r="F316" s="16">
        <f>F314-F315</f>
        <v>-14503</v>
      </c>
      <c r="I316" s="2"/>
    </row>
    <row r="317" spans="1:9" x14ac:dyDescent="0.25">
      <c r="A317" s="87"/>
      <c r="B317" s="31"/>
      <c r="I317" s="2"/>
    </row>
    <row r="318" spans="1:9" x14ac:dyDescent="0.25">
      <c r="A318" s="87"/>
      <c r="B318" s="100" t="s">
        <v>251</v>
      </c>
      <c r="D318" s="2">
        <v>0</v>
      </c>
      <c r="E318" s="2"/>
      <c r="F318" s="2">
        <v>0</v>
      </c>
      <c r="I318" s="2"/>
    </row>
    <row r="319" spans="1:9" x14ac:dyDescent="0.25">
      <c r="A319" s="87"/>
      <c r="B319" s="100" t="s">
        <v>252</v>
      </c>
      <c r="D319" s="2">
        <v>15000</v>
      </c>
      <c r="E319" s="2"/>
      <c r="F319" s="2">
        <v>15000</v>
      </c>
      <c r="I319" s="2"/>
    </row>
    <row r="320" spans="1:9" x14ac:dyDescent="0.25">
      <c r="A320" s="87"/>
      <c r="B320" s="31" t="s">
        <v>245</v>
      </c>
      <c r="D320" s="16">
        <f>D318-D319</f>
        <v>-15000</v>
      </c>
      <c r="E320" s="2"/>
      <c r="F320" s="16">
        <f>F318-F319</f>
        <v>-15000</v>
      </c>
      <c r="I320" s="2"/>
    </row>
    <row r="321" spans="1:9" x14ac:dyDescent="0.25">
      <c r="A321" s="87"/>
      <c r="B321" s="31"/>
      <c r="I321" s="2"/>
    </row>
    <row r="322" spans="1:9" x14ac:dyDescent="0.25">
      <c r="A322" s="87"/>
      <c r="B322" t="s">
        <v>323</v>
      </c>
      <c r="D322" s="19">
        <f>D320</f>
        <v>-15000</v>
      </c>
      <c r="E322" s="2"/>
      <c r="F322" s="19">
        <f>F320</f>
        <v>-15000</v>
      </c>
      <c r="I322" s="2"/>
    </row>
    <row r="323" spans="1:9" x14ac:dyDescent="0.25">
      <c r="A323" s="87"/>
      <c r="B323" t="s">
        <v>324</v>
      </c>
      <c r="D323" s="19">
        <f>F320</f>
        <v>-15000</v>
      </c>
      <c r="E323" s="2"/>
      <c r="F323" s="19">
        <v>-15000</v>
      </c>
      <c r="I323" s="2"/>
    </row>
    <row r="324" spans="1:9" x14ac:dyDescent="0.25">
      <c r="A324" s="87"/>
      <c r="B324" s="31" t="s">
        <v>246</v>
      </c>
      <c r="D324" s="16">
        <f>D322-D323</f>
        <v>0</v>
      </c>
      <c r="E324" s="2"/>
      <c r="F324" s="16">
        <f>F322-F323</f>
        <v>0</v>
      </c>
      <c r="I324" s="2"/>
    </row>
    <row r="325" spans="1:9" x14ac:dyDescent="0.25">
      <c r="A325" s="87"/>
      <c r="B325" s="31"/>
      <c r="I325" s="2"/>
    </row>
    <row r="326" spans="1:9" x14ac:dyDescent="0.25">
      <c r="A326" s="87"/>
      <c r="B326" s="31" t="s">
        <v>253</v>
      </c>
      <c r="D326" s="115">
        <f>D308+D324+D316</f>
        <v>509894.35999999987</v>
      </c>
      <c r="F326" s="115">
        <f>F308+F324+F316</f>
        <v>-124011</v>
      </c>
      <c r="I326" s="2"/>
    </row>
    <row r="327" spans="1:9" x14ac:dyDescent="0.25">
      <c r="A327" s="87"/>
      <c r="B327" s="31"/>
    </row>
    <row r="328" spans="1:9" x14ac:dyDescent="0.25">
      <c r="A328" s="31"/>
      <c r="B328" s="31"/>
      <c r="D328" s="62"/>
      <c r="E328" s="31"/>
      <c r="F328" s="204"/>
    </row>
    <row r="329" spans="1:9" x14ac:dyDescent="0.25">
      <c r="A329" s="31" t="s">
        <v>41</v>
      </c>
      <c r="D329" s="31"/>
      <c r="E329" s="31"/>
      <c r="F329" s="31"/>
    </row>
    <row r="330" spans="1:9" x14ac:dyDescent="0.25">
      <c r="A330" s="31" t="s">
        <v>556</v>
      </c>
      <c r="D330" s="31"/>
      <c r="E330" s="31"/>
      <c r="F330" s="31"/>
    </row>
    <row r="331" spans="1:9" x14ac:dyDescent="0.25">
      <c r="A331" s="31"/>
      <c r="B331" s="31"/>
      <c r="D331" s="87">
        <v>2021</v>
      </c>
      <c r="E331" s="87"/>
      <c r="F331" s="87">
        <v>2020</v>
      </c>
    </row>
    <row r="332" spans="1:9" x14ac:dyDescent="0.25">
      <c r="A332" s="31"/>
      <c r="B332" s="31"/>
      <c r="D332" s="87" t="s">
        <v>9</v>
      </c>
      <c r="E332" s="87"/>
      <c r="F332" s="87" t="s">
        <v>9</v>
      </c>
    </row>
    <row r="333" spans="1:9" x14ac:dyDescent="0.25">
      <c r="A333" s="89"/>
      <c r="B333" s="89"/>
      <c r="C333" s="15"/>
      <c r="D333" s="89"/>
      <c r="E333" s="89"/>
      <c r="F333" s="89"/>
    </row>
    <row r="335" spans="1:9" x14ac:dyDescent="0.25">
      <c r="A335" s="87">
        <v>10</v>
      </c>
      <c r="B335" s="31" t="s">
        <v>74</v>
      </c>
    </row>
    <row r="336" spans="1:9" x14ac:dyDescent="0.25">
      <c r="A336" s="87"/>
      <c r="B336" s="31"/>
    </row>
    <row r="337" spans="1:6" x14ac:dyDescent="0.25">
      <c r="A337" s="96" t="s">
        <v>130</v>
      </c>
      <c r="B337" s="95" t="s">
        <v>204</v>
      </c>
      <c r="D337" s="2"/>
      <c r="E337" s="2"/>
      <c r="F337" s="2"/>
    </row>
    <row r="338" spans="1:6" x14ac:dyDescent="0.25">
      <c r="A338" s="87"/>
      <c r="B338" s="95"/>
      <c r="D338" s="2"/>
      <c r="E338" s="2"/>
      <c r="F338" s="2"/>
    </row>
    <row r="339" spans="1:6" x14ac:dyDescent="0.25">
      <c r="A339" s="87"/>
      <c r="B339" s="95" t="s">
        <v>205</v>
      </c>
      <c r="D339" s="2">
        <v>-6616</v>
      </c>
      <c r="E339" s="2"/>
      <c r="F339" s="2">
        <v>2013</v>
      </c>
    </row>
    <row r="340" spans="1:6" x14ac:dyDescent="0.25">
      <c r="A340" s="87"/>
      <c r="B340" s="95" t="s">
        <v>206</v>
      </c>
      <c r="D340" s="19">
        <f>D365</f>
        <v>50988.435999999972</v>
      </c>
      <c r="E340" s="19"/>
      <c r="F340" s="19">
        <v>12401</v>
      </c>
    </row>
    <row r="341" spans="1:6" x14ac:dyDescent="0.25">
      <c r="A341" s="87"/>
      <c r="B341" s="140"/>
      <c r="D341" s="18">
        <f>SUM(D339:D340)</f>
        <v>44372.435999999972</v>
      </c>
      <c r="F341" s="18">
        <f>SUM(F339:F340)</f>
        <v>14414</v>
      </c>
    </row>
    <row r="342" spans="1:6" x14ac:dyDescent="0.25">
      <c r="A342" s="87"/>
      <c r="B342" s="95"/>
    </row>
    <row r="343" spans="1:6" x14ac:dyDescent="0.25">
      <c r="A343" s="96" t="s">
        <v>137</v>
      </c>
      <c r="B343" s="141" t="s">
        <v>207</v>
      </c>
    </row>
    <row r="344" spans="1:6" x14ac:dyDescent="0.25">
      <c r="B344" s="95" t="s">
        <v>208</v>
      </c>
      <c r="D344" s="2"/>
      <c r="E344" s="2"/>
      <c r="F344" s="2"/>
    </row>
    <row r="345" spans="1:6" x14ac:dyDescent="0.25">
      <c r="B345" s="95"/>
      <c r="D345" s="2"/>
      <c r="E345" s="2"/>
      <c r="F345" s="2"/>
    </row>
    <row r="346" spans="1:6" x14ac:dyDescent="0.25">
      <c r="B346" s="140" t="s">
        <v>73</v>
      </c>
      <c r="D346" s="19">
        <f>'2021 WNO2SF FINANCIAL STATEMENT'!D65</f>
        <v>641664.98999999987</v>
      </c>
      <c r="E346" s="2"/>
      <c r="F346" s="19">
        <v>8493</v>
      </c>
    </row>
    <row r="347" spans="1:6" x14ac:dyDescent="0.25">
      <c r="B347" s="140" t="s">
        <v>410</v>
      </c>
      <c r="D347" s="2"/>
      <c r="E347" s="2"/>
      <c r="F347" s="2"/>
    </row>
    <row r="348" spans="1:6" x14ac:dyDescent="0.25">
      <c r="B348" s="95" t="s">
        <v>411</v>
      </c>
      <c r="D348" s="2">
        <v>24184</v>
      </c>
      <c r="E348" s="2"/>
      <c r="F348" s="2">
        <v>25182</v>
      </c>
    </row>
    <row r="349" spans="1:6" x14ac:dyDescent="0.25">
      <c r="B349" s="95" t="s">
        <v>209</v>
      </c>
      <c r="D349" s="2"/>
      <c r="E349" s="2"/>
      <c r="F349" s="2">
        <v>267</v>
      </c>
    </row>
    <row r="350" spans="1:6" x14ac:dyDescent="0.25">
      <c r="B350" s="95" t="s">
        <v>456</v>
      </c>
      <c r="D350" s="2">
        <f>449</f>
        <v>449</v>
      </c>
      <c r="E350" s="2"/>
      <c r="F350" s="2">
        <v>-1708</v>
      </c>
    </row>
    <row r="351" spans="1:6" x14ac:dyDescent="0.25">
      <c r="B351" s="95" t="s">
        <v>412</v>
      </c>
      <c r="D351" s="139">
        <f>-D326</f>
        <v>-509894.35999999987</v>
      </c>
      <c r="E351" s="2"/>
      <c r="F351" s="139">
        <v>124011</v>
      </c>
    </row>
    <row r="352" spans="1:6" x14ac:dyDescent="0.25">
      <c r="B352" s="95" t="s">
        <v>499</v>
      </c>
      <c r="D352" s="213">
        <f>-2389-32811-1054</f>
        <v>-36254</v>
      </c>
      <c r="E352" s="2"/>
      <c r="F352" s="92"/>
    </row>
    <row r="353" spans="1:6" x14ac:dyDescent="0.25">
      <c r="B353" s="140" t="s">
        <v>106</v>
      </c>
      <c r="D353" s="16">
        <f>SUM(D346:D352)</f>
        <v>120149.63</v>
      </c>
      <c r="E353" s="2"/>
      <c r="F353" s="16">
        <f>SUM(F346:F352)</f>
        <v>156245</v>
      </c>
    </row>
    <row r="354" spans="1:6" x14ac:dyDescent="0.25">
      <c r="B354" s="140" t="s">
        <v>414</v>
      </c>
      <c r="D354" s="16">
        <f>D353*0.15</f>
        <v>18022.444500000001</v>
      </c>
      <c r="E354" s="2"/>
      <c r="F354" s="16">
        <v>23437</v>
      </c>
    </row>
    <row r="355" spans="1:6" x14ac:dyDescent="0.25">
      <c r="B355" s="95" t="s">
        <v>410</v>
      </c>
      <c r="D355" s="2"/>
      <c r="E355" s="2"/>
      <c r="F355" s="2"/>
    </row>
    <row r="356" spans="1:6" x14ac:dyDescent="0.25">
      <c r="B356" s="95" t="s">
        <v>543</v>
      </c>
      <c r="D356" s="19">
        <v>0</v>
      </c>
      <c r="E356" s="2"/>
      <c r="F356" s="19">
        <v>-267</v>
      </c>
    </row>
    <row r="357" spans="1:6" x14ac:dyDescent="0.25">
      <c r="B357" s="95" t="s">
        <v>622</v>
      </c>
      <c r="D357" s="19">
        <v>-86</v>
      </c>
      <c r="E357" s="2"/>
      <c r="F357" s="19">
        <v>0</v>
      </c>
    </row>
    <row r="358" spans="1:6" x14ac:dyDescent="0.25">
      <c r="B358" s="95" t="s">
        <v>544</v>
      </c>
      <c r="D358" s="25">
        <v>-449</v>
      </c>
      <c r="E358" s="2"/>
      <c r="F358" s="25">
        <v>-206</v>
      </c>
    </row>
    <row r="359" spans="1:6" x14ac:dyDescent="0.25">
      <c r="B359" s="95" t="s">
        <v>413</v>
      </c>
      <c r="D359" s="92">
        <f>-D348</f>
        <v>-24184</v>
      </c>
      <c r="E359" s="2"/>
      <c r="F359" s="92">
        <f>-F348</f>
        <v>-25182</v>
      </c>
    </row>
    <row r="360" spans="1:6" x14ac:dyDescent="0.25">
      <c r="B360" s="140" t="s">
        <v>196</v>
      </c>
      <c r="D360" s="16">
        <f>SUM(D354:D359)</f>
        <v>-6696.5554999999986</v>
      </c>
      <c r="E360" s="2"/>
      <c r="F360" s="16">
        <f>SUM(F354:F359)</f>
        <v>-2218</v>
      </c>
    </row>
    <row r="361" spans="1:6" x14ac:dyDescent="0.25">
      <c r="B361" s="95"/>
      <c r="D361" s="19"/>
      <c r="E361" s="19"/>
      <c r="F361" s="19"/>
    </row>
    <row r="362" spans="1:6" x14ac:dyDescent="0.25">
      <c r="A362" s="87">
        <v>11</v>
      </c>
      <c r="B362" s="140" t="s">
        <v>62</v>
      </c>
      <c r="D362" s="19"/>
      <c r="E362" s="19"/>
      <c r="F362" s="19"/>
    </row>
    <row r="363" spans="1:6" x14ac:dyDescent="0.25">
      <c r="B363" s="95"/>
      <c r="D363" s="19"/>
      <c r="E363" s="19"/>
      <c r="F363" s="19"/>
    </row>
    <row r="364" spans="1:6" x14ac:dyDescent="0.25">
      <c r="B364" s="95" t="s">
        <v>210</v>
      </c>
      <c r="D364" s="19">
        <f>F366</f>
        <v>29268</v>
      </c>
      <c r="E364" s="2"/>
      <c r="F364" s="19">
        <v>41669</v>
      </c>
    </row>
    <row r="365" spans="1:6" x14ac:dyDescent="0.25">
      <c r="B365" s="95" t="s">
        <v>153</v>
      </c>
      <c r="D365" s="19">
        <f>D366-D364</f>
        <v>50988.435999999972</v>
      </c>
      <c r="E365" s="2"/>
      <c r="F365" s="19">
        <v>-12401</v>
      </c>
    </row>
    <row r="366" spans="1:6" ht="15.75" thickBot="1" x14ac:dyDescent="0.3">
      <c r="B366" s="95" t="s">
        <v>211</v>
      </c>
      <c r="D366" s="46">
        <f>D442</f>
        <v>80256.435999999972</v>
      </c>
      <c r="E366" s="2"/>
      <c r="F366" s="46">
        <f>SUM(F364:F365)</f>
        <v>29268</v>
      </c>
    </row>
    <row r="367" spans="1:6" x14ac:dyDescent="0.25">
      <c r="C367" s="2"/>
      <c r="D367" s="2"/>
      <c r="E367" s="2"/>
    </row>
    <row r="369" spans="1:6" x14ac:dyDescent="0.25">
      <c r="A369" t="s">
        <v>500</v>
      </c>
    </row>
    <row r="370" spans="1:6" x14ac:dyDescent="0.25">
      <c r="A370" s="15"/>
      <c r="B370" s="102"/>
      <c r="C370" s="15"/>
      <c r="D370" s="15"/>
      <c r="E370" s="15"/>
      <c r="F370" s="15"/>
    </row>
    <row r="371" spans="1:6" x14ac:dyDescent="0.25">
      <c r="A371" s="87">
        <v>12</v>
      </c>
      <c r="B371" s="31" t="s">
        <v>127</v>
      </c>
    </row>
    <row r="373" spans="1:6" ht="63.75" customHeight="1" x14ac:dyDescent="0.25">
      <c r="B373" s="275" t="s">
        <v>224</v>
      </c>
      <c r="C373" s="275"/>
      <c r="D373" s="275"/>
      <c r="E373" s="275"/>
      <c r="F373" s="275"/>
    </row>
    <row r="375" spans="1:6" ht="48" customHeight="1" x14ac:dyDescent="0.25">
      <c r="B375" s="275" t="s">
        <v>128</v>
      </c>
      <c r="C375" s="275"/>
      <c r="D375" s="275"/>
      <c r="E375" s="275"/>
      <c r="F375" s="275"/>
    </row>
    <row r="377" spans="1:6" ht="29.25" customHeight="1" x14ac:dyDescent="0.25">
      <c r="B377" s="276" t="s">
        <v>129</v>
      </c>
      <c r="C377" s="276"/>
      <c r="D377" s="276"/>
      <c r="E377" s="276"/>
      <c r="F377" s="276"/>
    </row>
    <row r="379" spans="1:6" x14ac:dyDescent="0.25">
      <c r="A379" s="41" t="s">
        <v>130</v>
      </c>
      <c r="B379" s="42" t="s">
        <v>131</v>
      </c>
    </row>
    <row r="380" spans="1:6" x14ac:dyDescent="0.25">
      <c r="A380" s="42"/>
      <c r="B380" s="42"/>
    </row>
    <row r="381" spans="1:6" ht="46.5" customHeight="1" x14ac:dyDescent="0.25">
      <c r="A381" s="42"/>
      <c r="B381" s="274" t="s">
        <v>132</v>
      </c>
      <c r="C381" s="274"/>
      <c r="D381" s="274"/>
      <c r="E381" s="274"/>
      <c r="F381" s="274"/>
    </row>
    <row r="382" spans="1:6" x14ac:dyDescent="0.25">
      <c r="A382" s="42"/>
      <c r="B382" s="42"/>
    </row>
    <row r="383" spans="1:6" x14ac:dyDescent="0.25">
      <c r="A383" s="42"/>
      <c r="B383" s="42" t="s">
        <v>133</v>
      </c>
    </row>
    <row r="384" spans="1:6" x14ac:dyDescent="0.25">
      <c r="A384" s="42"/>
      <c r="B384" s="223" t="s">
        <v>134</v>
      </c>
    </row>
    <row r="385" spans="1:6" x14ac:dyDescent="0.25">
      <c r="A385" s="42"/>
      <c r="B385" s="42" t="s">
        <v>136</v>
      </c>
    </row>
    <row r="386" spans="1:6" x14ac:dyDescent="0.25">
      <c r="A386" s="42"/>
      <c r="B386" s="42" t="s">
        <v>135</v>
      </c>
    </row>
    <row r="387" spans="1:6" x14ac:dyDescent="0.25">
      <c r="A387" s="42"/>
      <c r="B387" s="42"/>
    </row>
    <row r="388" spans="1:6" x14ac:dyDescent="0.25">
      <c r="A388" s="41" t="s">
        <v>137</v>
      </c>
      <c r="B388" s="42" t="s">
        <v>138</v>
      </c>
    </row>
    <row r="389" spans="1:6" x14ac:dyDescent="0.25">
      <c r="A389" s="42"/>
      <c r="B389" s="42"/>
    </row>
    <row r="390" spans="1:6" ht="45.75" customHeight="1" x14ac:dyDescent="0.25">
      <c r="A390" s="42"/>
      <c r="B390" s="274" t="s">
        <v>139</v>
      </c>
      <c r="C390" s="274"/>
      <c r="D390" s="274"/>
      <c r="E390" s="274"/>
      <c r="F390" s="274"/>
    </row>
    <row r="391" spans="1:6" x14ac:dyDescent="0.25">
      <c r="A391" s="42"/>
      <c r="B391" s="42"/>
    </row>
    <row r="392" spans="1:6" x14ac:dyDescent="0.25">
      <c r="A392" s="41" t="s">
        <v>140</v>
      </c>
      <c r="B392" s="42" t="s">
        <v>141</v>
      </c>
    </row>
    <row r="393" spans="1:6" x14ac:dyDescent="0.25">
      <c r="A393" s="42"/>
      <c r="B393" s="42"/>
    </row>
    <row r="394" spans="1:6" ht="26.25" customHeight="1" x14ac:dyDescent="0.25">
      <c r="A394" s="42"/>
      <c r="B394" s="274" t="s">
        <v>142</v>
      </c>
      <c r="C394" s="274"/>
      <c r="D394" s="274"/>
      <c r="E394" s="274"/>
      <c r="F394" s="274"/>
    </row>
    <row r="395" spans="1:6" x14ac:dyDescent="0.25">
      <c r="A395" s="42"/>
      <c r="B395" s="42"/>
    </row>
    <row r="396" spans="1:6" ht="58.5" customHeight="1" x14ac:dyDescent="0.25">
      <c r="A396" s="42"/>
      <c r="B396" s="274" t="s">
        <v>143</v>
      </c>
      <c r="C396" s="274"/>
      <c r="D396" s="274"/>
      <c r="E396" s="274"/>
      <c r="F396" s="274"/>
    </row>
    <row r="398" spans="1:6" ht="31.5" customHeight="1" x14ac:dyDescent="0.25">
      <c r="B398" s="277" t="s">
        <v>144</v>
      </c>
      <c r="C398" s="277"/>
      <c r="D398" s="277"/>
      <c r="E398" s="277"/>
      <c r="F398" s="277"/>
    </row>
    <row r="399" spans="1:6" x14ac:dyDescent="0.25">
      <c r="B399" s="42"/>
    </row>
    <row r="400" spans="1:6" ht="73.5" customHeight="1" x14ac:dyDescent="0.25">
      <c r="B400" s="274" t="s">
        <v>225</v>
      </c>
      <c r="C400" s="274"/>
      <c r="D400" s="274"/>
      <c r="E400" s="274"/>
      <c r="F400" s="274"/>
    </row>
    <row r="401" spans="1:7" x14ac:dyDescent="0.25">
      <c r="B401" s="42"/>
    </row>
    <row r="402" spans="1:7" ht="57" customHeight="1" x14ac:dyDescent="0.25">
      <c r="B402" s="274" t="s">
        <v>145</v>
      </c>
      <c r="C402" s="274"/>
      <c r="D402" s="274"/>
      <c r="E402" s="274"/>
      <c r="F402" s="274"/>
    </row>
    <row r="403" spans="1:7" x14ac:dyDescent="0.25">
      <c r="B403" s="42"/>
    </row>
    <row r="404" spans="1:7" ht="42" customHeight="1" x14ac:dyDescent="0.25">
      <c r="A404" s="17"/>
      <c r="B404" s="274" t="s">
        <v>146</v>
      </c>
      <c r="C404" s="274"/>
      <c r="D404" s="274"/>
      <c r="E404" s="274"/>
      <c r="F404" s="274"/>
    </row>
    <row r="405" spans="1:7" x14ac:dyDescent="0.25">
      <c r="B405" s="42"/>
    </row>
    <row r="406" spans="1:7" ht="105.75" customHeight="1" x14ac:dyDescent="0.25">
      <c r="B406" s="274" t="s">
        <v>226</v>
      </c>
      <c r="C406" s="274"/>
      <c r="D406" s="274"/>
      <c r="E406" s="274"/>
      <c r="F406" s="274"/>
    </row>
    <row r="408" spans="1:7" ht="30" customHeight="1" x14ac:dyDescent="0.25">
      <c r="B408" s="276" t="s">
        <v>575</v>
      </c>
      <c r="C408" s="276"/>
      <c r="D408" s="276"/>
      <c r="E408" s="276"/>
      <c r="F408" s="276"/>
    </row>
    <row r="411" spans="1:7" x14ac:dyDescent="0.25">
      <c r="A411" s="230" t="s">
        <v>107</v>
      </c>
      <c r="B411" s="230"/>
      <c r="C411" s="231"/>
      <c r="D411" s="231"/>
      <c r="E411" s="231"/>
      <c r="F411" s="230"/>
      <c r="G411" s="231"/>
    </row>
    <row r="412" spans="1:7" x14ac:dyDescent="0.25">
      <c r="A412" s="231"/>
      <c r="B412" s="231"/>
      <c r="C412" s="231"/>
      <c r="D412" s="231"/>
      <c r="E412" s="231"/>
      <c r="F412" s="231"/>
      <c r="G412" s="231"/>
    </row>
    <row r="413" spans="1:7" x14ac:dyDescent="0.25">
      <c r="A413" s="231" t="s">
        <v>108</v>
      </c>
      <c r="B413" s="231"/>
      <c r="C413" s="231"/>
      <c r="D413" s="237">
        <v>44377</v>
      </c>
      <c r="E413" s="238"/>
      <c r="F413" s="237">
        <v>44012</v>
      </c>
      <c r="G413" s="237">
        <v>43646</v>
      </c>
    </row>
    <row r="414" spans="1:7" x14ac:dyDescent="0.25">
      <c r="A414" s="231"/>
      <c r="B414" s="231"/>
      <c r="C414" s="231"/>
      <c r="D414" s="231"/>
      <c r="E414" s="231"/>
      <c r="F414" s="231"/>
      <c r="G414" s="231"/>
    </row>
    <row r="415" spans="1:7" x14ac:dyDescent="0.25">
      <c r="A415" s="231" t="s">
        <v>110</v>
      </c>
      <c r="B415" s="231"/>
      <c r="C415" s="231"/>
      <c r="D415" s="232">
        <f>D302</f>
        <v>2351003.67</v>
      </c>
      <c r="E415" s="231"/>
      <c r="F415" s="232">
        <f>F302</f>
        <v>1595940</v>
      </c>
      <c r="G415" s="231">
        <v>1477646</v>
      </c>
    </row>
    <row r="416" spans="1:7" x14ac:dyDescent="0.25">
      <c r="A416" s="231" t="s">
        <v>530</v>
      </c>
      <c r="B416" s="231"/>
      <c r="C416" s="231"/>
      <c r="D416" s="232">
        <f>D310</f>
        <v>744160</v>
      </c>
      <c r="E416" s="231"/>
      <c r="F416" s="232">
        <f>F310</f>
        <v>687174</v>
      </c>
      <c r="G416" s="231">
        <v>0</v>
      </c>
    </row>
    <row r="417" spans="1:7" x14ac:dyDescent="0.25">
      <c r="A417" s="231" t="s">
        <v>116</v>
      </c>
      <c r="B417" s="231"/>
      <c r="C417" s="231"/>
      <c r="D417" s="232">
        <f>D318</f>
        <v>0</v>
      </c>
      <c r="E417" s="231"/>
      <c r="F417" s="232">
        <f>F318</f>
        <v>0</v>
      </c>
      <c r="G417" s="231">
        <v>0</v>
      </c>
    </row>
    <row r="418" spans="1:7" x14ac:dyDescent="0.25">
      <c r="A418" s="231" t="s">
        <v>112</v>
      </c>
      <c r="B418" s="231"/>
      <c r="C418" s="231"/>
      <c r="D418" s="231">
        <v>0</v>
      </c>
      <c r="E418" s="231"/>
      <c r="F418" s="231">
        <v>0</v>
      </c>
      <c r="G418" s="231">
        <v>0</v>
      </c>
    </row>
    <row r="419" spans="1:7" x14ac:dyDescent="0.25">
      <c r="A419" s="234" t="s">
        <v>113</v>
      </c>
      <c r="B419" s="234"/>
      <c r="C419" s="234"/>
      <c r="D419" s="239">
        <f>SUM(D415:D418)</f>
        <v>3095163.67</v>
      </c>
      <c r="E419" s="234"/>
      <c r="F419" s="239">
        <f>SUM(F415:F418)</f>
        <v>2283114</v>
      </c>
      <c r="G419" s="239">
        <f>SUM(G415:G418)</f>
        <v>1477646</v>
      </c>
    </row>
    <row r="420" spans="1:7" x14ac:dyDescent="0.25">
      <c r="A420" s="231"/>
      <c r="B420" s="231"/>
      <c r="C420" s="231"/>
      <c r="D420" s="231"/>
      <c r="E420" s="231"/>
      <c r="F420" s="233"/>
      <c r="G420" s="231"/>
    </row>
    <row r="421" spans="1:7" x14ac:dyDescent="0.25">
      <c r="A421" s="231"/>
      <c r="B421" s="231"/>
      <c r="C421" s="231"/>
      <c r="D421" s="231"/>
      <c r="E421" s="231"/>
      <c r="F421" s="233"/>
      <c r="G421" s="231"/>
    </row>
    <row r="422" spans="1:7" x14ac:dyDescent="0.25">
      <c r="A422" s="231" t="s">
        <v>114</v>
      </c>
      <c r="B422" s="231"/>
      <c r="C422" s="231"/>
      <c r="D422" s="231"/>
      <c r="E422" s="231"/>
      <c r="F422" s="231"/>
      <c r="G422" s="231"/>
    </row>
    <row r="423" spans="1:7" x14ac:dyDescent="0.25">
      <c r="A423" s="231"/>
      <c r="B423" s="231"/>
      <c r="C423" s="231"/>
      <c r="D423" s="231"/>
      <c r="E423" s="231"/>
      <c r="F423" s="233"/>
      <c r="G423" s="231"/>
    </row>
    <row r="424" spans="1:7" x14ac:dyDescent="0.25">
      <c r="A424" s="231" t="s">
        <v>110</v>
      </c>
      <c r="B424" s="231"/>
      <c r="C424" s="231"/>
      <c r="D424" s="232">
        <f>D303</f>
        <v>1567909.31</v>
      </c>
      <c r="E424" s="231"/>
      <c r="F424" s="232">
        <f>F303</f>
        <v>1273767</v>
      </c>
      <c r="G424" s="231">
        <v>1045954</v>
      </c>
    </row>
    <row r="425" spans="1:7" x14ac:dyDescent="0.25">
      <c r="A425" s="231" t="s">
        <v>530</v>
      </c>
      <c r="B425" s="231"/>
      <c r="C425" s="231"/>
      <c r="D425" s="232">
        <f>D311</f>
        <v>709690</v>
      </c>
      <c r="E425" s="231"/>
      <c r="F425" s="232">
        <f>F311</f>
        <v>701677</v>
      </c>
      <c r="G425" s="231">
        <v>0</v>
      </c>
    </row>
    <row r="426" spans="1:7" x14ac:dyDescent="0.25">
      <c r="A426" s="231" t="s">
        <v>116</v>
      </c>
      <c r="B426" s="231"/>
      <c r="C426" s="231"/>
      <c r="D426" s="232">
        <f>D319</f>
        <v>15000</v>
      </c>
      <c r="E426" s="231"/>
      <c r="F426" s="232">
        <f>F319</f>
        <v>15000</v>
      </c>
      <c r="G426" s="231">
        <v>15000</v>
      </c>
    </row>
    <row r="427" spans="1:7" x14ac:dyDescent="0.25">
      <c r="A427" s="231" t="s">
        <v>112</v>
      </c>
      <c r="B427" s="231"/>
      <c r="C427" s="231"/>
      <c r="D427" s="231">
        <v>0</v>
      </c>
      <c r="E427" s="231"/>
      <c r="F427" s="233">
        <v>0</v>
      </c>
      <c r="G427" s="231"/>
    </row>
    <row r="428" spans="1:7" x14ac:dyDescent="0.25">
      <c r="A428" s="234" t="s">
        <v>258</v>
      </c>
      <c r="B428" s="234"/>
      <c r="C428" s="234"/>
      <c r="D428" s="240">
        <f>SUM(D424:D427)</f>
        <v>2292599.31</v>
      </c>
      <c r="E428" s="234"/>
      <c r="F428" s="240">
        <f>SUM(F424:F427)</f>
        <v>1990444</v>
      </c>
      <c r="G428" s="240">
        <f>SUM(G424:G427)</f>
        <v>1060954</v>
      </c>
    </row>
    <row r="429" spans="1:7" x14ac:dyDescent="0.25">
      <c r="A429" s="231"/>
      <c r="B429" s="231"/>
      <c r="C429" s="231"/>
      <c r="D429" s="231"/>
      <c r="E429" s="231"/>
      <c r="F429" s="233"/>
      <c r="G429" s="233"/>
    </row>
    <row r="430" spans="1:7" x14ac:dyDescent="0.25">
      <c r="A430" s="231"/>
      <c r="B430" s="231"/>
      <c r="C430" s="231"/>
      <c r="D430" s="231"/>
      <c r="E430" s="231"/>
      <c r="F430" s="233"/>
      <c r="G430" s="233"/>
    </row>
    <row r="431" spans="1:7" x14ac:dyDescent="0.25">
      <c r="A431" s="234" t="s">
        <v>115</v>
      </c>
      <c r="B431" s="234"/>
      <c r="C431" s="231"/>
      <c r="D431" s="235">
        <f>D419-D428</f>
        <v>802564.35999999987</v>
      </c>
      <c r="E431" s="231"/>
      <c r="F431" s="235">
        <f>F419-F428</f>
        <v>292670</v>
      </c>
      <c r="G431" s="235">
        <f>G419-G428</f>
        <v>416692</v>
      </c>
    </row>
    <row r="432" spans="1:7" x14ac:dyDescent="0.25">
      <c r="A432" s="231"/>
      <c r="B432" s="231"/>
      <c r="C432" s="233"/>
      <c r="D432" s="231"/>
      <c r="E432" s="231"/>
      <c r="F432" s="231"/>
      <c r="G432" s="231"/>
    </row>
    <row r="433" spans="1:10" x14ac:dyDescent="0.25">
      <c r="A433" s="231"/>
      <c r="B433" s="231"/>
      <c r="C433" s="233"/>
      <c r="D433" s="231"/>
      <c r="E433" s="231"/>
      <c r="F433" s="231"/>
      <c r="G433" s="231"/>
    </row>
    <row r="434" spans="1:10" x14ac:dyDescent="0.25">
      <c r="A434" s="230" t="s">
        <v>117</v>
      </c>
      <c r="B434" s="230"/>
      <c r="C434" s="236"/>
      <c r="D434" s="231"/>
      <c r="E434" s="231"/>
      <c r="F434" s="231"/>
      <c r="G434" s="231"/>
    </row>
    <row r="435" spans="1:10" x14ac:dyDescent="0.25">
      <c r="A435" s="231"/>
      <c r="B435" s="231"/>
      <c r="C435" s="233"/>
      <c r="D435" s="231"/>
      <c r="E435" s="231"/>
      <c r="F435" s="231"/>
      <c r="G435" s="231"/>
    </row>
    <row r="436" spans="1:10" x14ac:dyDescent="0.25">
      <c r="A436" s="234" t="s">
        <v>118</v>
      </c>
      <c r="B436" s="234"/>
      <c r="C436" s="241"/>
      <c r="D436" s="235">
        <f>D431</f>
        <v>802564.35999999987</v>
      </c>
      <c r="E436" s="234"/>
      <c r="F436" s="235">
        <f>F431</f>
        <v>292670</v>
      </c>
      <c r="G436" s="235">
        <f>G431</f>
        <v>416692</v>
      </c>
    </row>
    <row r="437" spans="1:10" x14ac:dyDescent="0.25">
      <c r="A437" s="234"/>
      <c r="B437" s="234"/>
      <c r="C437" s="241"/>
      <c r="D437" s="235"/>
      <c r="E437" s="234"/>
      <c r="F437" s="235"/>
      <c r="G437" s="235"/>
    </row>
    <row r="438" spans="1:10" x14ac:dyDescent="0.25">
      <c r="A438" s="234" t="s">
        <v>119</v>
      </c>
      <c r="B438" s="234"/>
      <c r="C438" s="241"/>
      <c r="D438" s="235">
        <f t="shared" ref="D438:F438" si="1">-D436/3</f>
        <v>-267521.45333333331</v>
      </c>
      <c r="E438" s="234"/>
      <c r="F438" s="235">
        <f t="shared" si="1"/>
        <v>-97556.666666666672</v>
      </c>
      <c r="G438" s="235">
        <f t="shared" ref="G438" si="2">-G436/3</f>
        <v>-138897.33333333334</v>
      </c>
    </row>
    <row r="439" spans="1:10" x14ac:dyDescent="0.25">
      <c r="A439" s="234"/>
      <c r="B439" s="234"/>
      <c r="C439" s="241"/>
      <c r="D439" s="235"/>
      <c r="E439" s="234"/>
      <c r="F439" s="235"/>
      <c r="G439" s="235"/>
    </row>
    <row r="440" spans="1:10" x14ac:dyDescent="0.25">
      <c r="A440" s="234" t="s">
        <v>120</v>
      </c>
      <c r="B440" s="234"/>
      <c r="C440" s="241"/>
      <c r="D440" s="235">
        <f t="shared" ref="D440:F440" si="3">SUM(D436:D438)</f>
        <v>535042.9066666665</v>
      </c>
      <c r="E440" s="234"/>
      <c r="F440" s="235">
        <f t="shared" si="3"/>
        <v>195113.33333333331</v>
      </c>
      <c r="G440" s="235">
        <f t="shared" ref="G440" si="4">SUM(G436:G438)</f>
        <v>277794.66666666663</v>
      </c>
    </row>
    <row r="441" spans="1:10" x14ac:dyDescent="0.25">
      <c r="A441" s="234"/>
      <c r="B441" s="234"/>
      <c r="C441" s="241"/>
      <c r="D441" s="235"/>
      <c r="E441" s="234"/>
      <c r="F441" s="235"/>
      <c r="G441" s="235"/>
    </row>
    <row r="442" spans="1:10" x14ac:dyDescent="0.25">
      <c r="A442" s="234" t="s">
        <v>121</v>
      </c>
      <c r="B442" s="234"/>
      <c r="C442" s="241"/>
      <c r="D442" s="235">
        <f t="shared" ref="D442:F442" si="5">D440*0.15</f>
        <v>80256.435999999972</v>
      </c>
      <c r="E442" s="234"/>
      <c r="F442" s="235">
        <f t="shared" si="5"/>
        <v>29266.999999999996</v>
      </c>
      <c r="G442" s="235">
        <f t="shared" ref="G442" si="6">G440*0.15</f>
        <v>41669.19999999999</v>
      </c>
    </row>
    <row r="443" spans="1:10" x14ac:dyDescent="0.25">
      <c r="A443" s="229"/>
      <c r="B443" s="229"/>
      <c r="C443" s="229"/>
      <c r="D443" s="229"/>
      <c r="E443" s="229"/>
      <c r="F443" s="229"/>
      <c r="G443" s="229"/>
    </row>
    <row r="444" spans="1:10" x14ac:dyDescent="0.25">
      <c r="A444" s="229" t="s">
        <v>573</v>
      </c>
      <c r="B444" s="229"/>
      <c r="C444" s="229"/>
      <c r="D444" s="229"/>
      <c r="E444" s="229"/>
      <c r="F444" s="229"/>
      <c r="G444" s="229"/>
    </row>
    <row r="446" spans="1:10" x14ac:dyDescent="0.25">
      <c r="A446" t="s">
        <v>576</v>
      </c>
    </row>
    <row r="447" spans="1:10" x14ac:dyDescent="0.25">
      <c r="B447" s="243" t="s">
        <v>189</v>
      </c>
      <c r="C447" s="243"/>
      <c r="D447" s="243" t="s">
        <v>577</v>
      </c>
      <c r="E447" s="243"/>
      <c r="F447" s="243" t="s">
        <v>578</v>
      </c>
      <c r="G447" s="243" t="s">
        <v>173</v>
      </c>
      <c r="H447" s="243"/>
      <c r="I447" s="243" t="s">
        <v>579</v>
      </c>
      <c r="J447" s="243" t="s">
        <v>580</v>
      </c>
    </row>
    <row r="448" spans="1:10" x14ac:dyDescent="0.25">
      <c r="B448" s="243"/>
      <c r="C448" s="243"/>
      <c r="D448" s="244">
        <v>39961</v>
      </c>
      <c r="E448" s="243"/>
      <c r="F448" s="243">
        <v>2400</v>
      </c>
      <c r="G448" s="217">
        <f>20335.9+6.83</f>
        <v>20342.730000000003</v>
      </c>
      <c r="H448" s="243"/>
      <c r="I448" s="217">
        <f>+$I$465*F448</f>
        <v>-31967.999999999996</v>
      </c>
      <c r="J448" s="217">
        <f>I448+G448</f>
        <v>-11625.269999999993</v>
      </c>
    </row>
    <row r="449" spans="2:10" x14ac:dyDescent="0.25">
      <c r="B449" s="243"/>
      <c r="C449" s="243"/>
      <c r="D449" s="244">
        <v>40092</v>
      </c>
      <c r="E449" s="243"/>
      <c r="F449" s="243">
        <v>47</v>
      </c>
      <c r="G449" s="217">
        <v>442.27</v>
      </c>
      <c r="H449" s="243"/>
      <c r="I449" s="217">
        <f t="shared" ref="I449:I462" si="7">+$I$465*F449</f>
        <v>-626.04</v>
      </c>
      <c r="J449" s="217">
        <f t="shared" ref="J449:J462" si="8">I449+G449</f>
        <v>-183.76999999999998</v>
      </c>
    </row>
    <row r="450" spans="2:10" x14ac:dyDescent="0.25">
      <c r="B450" s="243"/>
      <c r="C450" s="243"/>
      <c r="D450" s="244">
        <v>40274</v>
      </c>
      <c r="E450" s="243"/>
      <c r="F450" s="243">
        <v>55</v>
      </c>
      <c r="G450" s="217">
        <v>606.65</v>
      </c>
      <c r="H450" s="243"/>
      <c r="I450" s="217">
        <f t="shared" si="7"/>
        <v>-732.59999999999991</v>
      </c>
      <c r="J450" s="217">
        <f t="shared" si="8"/>
        <v>-125.94999999999993</v>
      </c>
    </row>
    <row r="451" spans="2:10" x14ac:dyDescent="0.25">
      <c r="B451" s="243"/>
      <c r="C451" s="243"/>
      <c r="D451" s="244">
        <v>40413</v>
      </c>
      <c r="E451" s="243"/>
      <c r="F451" s="243">
        <v>43</v>
      </c>
      <c r="G451" s="217">
        <v>508.69</v>
      </c>
      <c r="H451" s="243"/>
      <c r="I451" s="217">
        <f t="shared" si="7"/>
        <v>-572.76</v>
      </c>
      <c r="J451" s="217">
        <f t="shared" si="8"/>
        <v>-64.069999999999993</v>
      </c>
    </row>
    <row r="452" spans="2:10" x14ac:dyDescent="0.25">
      <c r="B452" s="243"/>
      <c r="C452" s="243"/>
      <c r="D452" s="244">
        <v>40638</v>
      </c>
      <c r="E452" s="243"/>
      <c r="F452" s="243">
        <v>62</v>
      </c>
      <c r="G452" s="217">
        <v>718.58</v>
      </c>
      <c r="H452" s="243"/>
      <c r="I452" s="217">
        <f t="shared" si="7"/>
        <v>-825.83999999999992</v>
      </c>
      <c r="J452" s="217">
        <f t="shared" si="8"/>
        <v>-107.25999999999988</v>
      </c>
    </row>
    <row r="453" spans="2:10" x14ac:dyDescent="0.25">
      <c r="B453" s="243"/>
      <c r="C453" s="243"/>
      <c r="D453" s="244">
        <v>40820</v>
      </c>
      <c r="E453" s="243"/>
      <c r="F453" s="243">
        <v>49</v>
      </c>
      <c r="G453" s="217">
        <v>575.75</v>
      </c>
      <c r="H453" s="243"/>
      <c r="I453" s="217">
        <f t="shared" si="7"/>
        <v>-652.67999999999995</v>
      </c>
      <c r="J453" s="217">
        <f t="shared" si="8"/>
        <v>-76.92999999999995</v>
      </c>
    </row>
    <row r="454" spans="2:10" x14ac:dyDescent="0.25">
      <c r="B454" s="243"/>
      <c r="C454" s="243"/>
      <c r="D454" s="244">
        <v>41002</v>
      </c>
      <c r="E454" s="243"/>
      <c r="F454" s="243">
        <v>68</v>
      </c>
      <c r="G454" s="217">
        <v>805.8</v>
      </c>
      <c r="H454" s="243"/>
      <c r="I454" s="217">
        <f t="shared" si="7"/>
        <v>-905.75999999999988</v>
      </c>
      <c r="J454" s="217">
        <f t="shared" si="8"/>
        <v>-99.959999999999923</v>
      </c>
    </row>
    <row r="455" spans="2:10" x14ac:dyDescent="0.25">
      <c r="B455" s="243"/>
      <c r="C455" s="243"/>
      <c r="D455" s="244">
        <v>41184</v>
      </c>
      <c r="E455" s="243"/>
      <c r="F455" s="243">
        <v>48</v>
      </c>
      <c r="G455" s="217">
        <v>653.76</v>
      </c>
      <c r="H455" s="243"/>
      <c r="I455" s="217">
        <f t="shared" si="7"/>
        <v>-639.3599999999999</v>
      </c>
      <c r="J455" s="217">
        <f t="shared" si="8"/>
        <v>14.400000000000091</v>
      </c>
    </row>
    <row r="456" spans="2:10" x14ac:dyDescent="0.25">
      <c r="B456" s="243"/>
      <c r="C456" s="243"/>
      <c r="D456" s="244">
        <v>41366</v>
      </c>
      <c r="E456" s="243"/>
      <c r="F456" s="243">
        <v>66</v>
      </c>
      <c r="G456" s="217">
        <v>983.4</v>
      </c>
      <c r="H456" s="243"/>
      <c r="I456" s="217">
        <f t="shared" si="7"/>
        <v>-879.11999999999989</v>
      </c>
      <c r="J456" s="217">
        <f t="shared" si="8"/>
        <v>104.28000000000009</v>
      </c>
    </row>
    <row r="457" spans="2:10" x14ac:dyDescent="0.25">
      <c r="B457" s="243"/>
      <c r="C457" s="243"/>
      <c r="D457" s="244">
        <v>41548</v>
      </c>
      <c r="E457" s="243"/>
      <c r="F457" s="243">
        <v>62</v>
      </c>
      <c r="G457" s="217">
        <v>757.02</v>
      </c>
      <c r="H457" s="243"/>
      <c r="I457" s="217">
        <f t="shared" si="7"/>
        <v>-825.83999999999992</v>
      </c>
      <c r="J457" s="217">
        <f t="shared" si="8"/>
        <v>-68.819999999999936</v>
      </c>
    </row>
    <row r="458" spans="2:10" x14ac:dyDescent="0.25">
      <c r="B458" s="243"/>
      <c r="C458" s="243"/>
      <c r="D458" s="244">
        <v>41697</v>
      </c>
      <c r="E458" s="243"/>
      <c r="F458" s="243">
        <v>82</v>
      </c>
      <c r="G458" s="217">
        <v>924.96</v>
      </c>
      <c r="H458" s="243"/>
      <c r="I458" s="217">
        <f t="shared" si="7"/>
        <v>-1092.2399999999998</v>
      </c>
      <c r="J458" s="217">
        <f t="shared" si="8"/>
        <v>-167.27999999999975</v>
      </c>
    </row>
    <row r="459" spans="2:10" x14ac:dyDescent="0.25">
      <c r="B459" s="243"/>
      <c r="C459" s="243"/>
      <c r="D459" s="244">
        <v>41919</v>
      </c>
      <c r="E459" s="243"/>
      <c r="F459" s="243">
        <v>66</v>
      </c>
      <c r="G459" s="217">
        <v>599.28</v>
      </c>
      <c r="H459" s="243"/>
      <c r="I459" s="217">
        <f t="shared" si="7"/>
        <v>-879.11999999999989</v>
      </c>
      <c r="J459" s="217">
        <f t="shared" si="8"/>
        <v>-279.83999999999992</v>
      </c>
    </row>
    <row r="460" spans="2:10" x14ac:dyDescent="0.25">
      <c r="B460" s="243"/>
      <c r="C460" s="243"/>
      <c r="D460" s="244">
        <v>42101</v>
      </c>
      <c r="E460" s="243"/>
      <c r="F460" s="243">
        <v>64</v>
      </c>
      <c r="G460" s="217">
        <v>670.08</v>
      </c>
      <c r="H460" s="243"/>
      <c r="I460" s="217">
        <f t="shared" si="7"/>
        <v>-852.4799999999999</v>
      </c>
      <c r="J460" s="217">
        <f t="shared" si="8"/>
        <v>-182.39999999999986</v>
      </c>
    </row>
    <row r="461" spans="2:10" x14ac:dyDescent="0.25">
      <c r="B461" s="243"/>
      <c r="C461" s="243"/>
      <c r="D461" s="244">
        <v>43104</v>
      </c>
      <c r="E461" s="243"/>
      <c r="F461" s="243">
        <v>1200</v>
      </c>
      <c r="G461" s="217">
        <v>10157.950000000001</v>
      </c>
      <c r="H461" s="243"/>
      <c r="I461" s="217">
        <f t="shared" si="7"/>
        <v>-15983.999999999998</v>
      </c>
      <c r="J461" s="217">
        <f t="shared" si="8"/>
        <v>-5826.0499999999975</v>
      </c>
    </row>
    <row r="462" spans="2:10" x14ac:dyDescent="0.25">
      <c r="B462" s="243"/>
      <c r="C462" s="243"/>
      <c r="D462" s="244">
        <v>44015</v>
      </c>
      <c r="E462" s="243"/>
      <c r="F462" s="243">
        <v>1200</v>
      </c>
      <c r="G462" s="217">
        <v>10685.95</v>
      </c>
      <c r="H462" s="243"/>
      <c r="I462" s="217">
        <f t="shared" si="7"/>
        <v>-15983.999999999998</v>
      </c>
      <c r="J462" s="217">
        <f t="shared" si="8"/>
        <v>-5298.0499999999975</v>
      </c>
    </row>
    <row r="463" spans="2:10" x14ac:dyDescent="0.25">
      <c r="B463" s="243"/>
      <c r="C463" s="243"/>
      <c r="D463" s="243"/>
      <c r="E463" s="243"/>
      <c r="F463" s="243"/>
      <c r="G463" s="217"/>
      <c r="H463" s="246" t="s">
        <v>581</v>
      </c>
      <c r="I463" s="245">
        <f>SUM(I448:I462)</f>
        <v>-73419.839999999997</v>
      </c>
      <c r="J463" s="245">
        <f>SUM(J448:J462)</f>
        <v>-23986.969999999987</v>
      </c>
    </row>
    <row r="464" spans="2:10" x14ac:dyDescent="0.25">
      <c r="B464" s="243" t="s">
        <v>583</v>
      </c>
      <c r="C464" s="243"/>
      <c r="D464" s="244">
        <v>44326</v>
      </c>
      <c r="E464" s="243"/>
      <c r="F464" s="243">
        <f>SUM(F448:F463)</f>
        <v>5512</v>
      </c>
      <c r="G464" s="245">
        <f>SUM(G448:G463)</f>
        <v>49432.87000000001</v>
      </c>
      <c r="H464" s="246"/>
      <c r="I464" s="245">
        <v>-73419.839999999997</v>
      </c>
      <c r="J464" s="245"/>
    </row>
    <row r="465" spans="2:10" x14ac:dyDescent="0.25">
      <c r="B465" s="243"/>
      <c r="C465" s="243"/>
      <c r="D465" s="243"/>
      <c r="E465" s="243"/>
      <c r="F465" s="243"/>
      <c r="G465" s="245">
        <v>49432.87</v>
      </c>
      <c r="H465" s="243" t="s">
        <v>582</v>
      </c>
      <c r="I465" s="217">
        <f>I464/F464</f>
        <v>-13.319999999999999</v>
      </c>
      <c r="J465" s="217"/>
    </row>
    <row r="466" spans="2:10" x14ac:dyDescent="0.25">
      <c r="G466">
        <f>G464-G465</f>
        <v>0</v>
      </c>
    </row>
    <row r="467" spans="2:10" x14ac:dyDescent="0.25">
      <c r="B467" t="s">
        <v>449</v>
      </c>
      <c r="D467" s="243" t="s">
        <v>577</v>
      </c>
      <c r="E467" s="243"/>
      <c r="F467" s="243" t="s">
        <v>578</v>
      </c>
      <c r="G467" s="243" t="s">
        <v>173</v>
      </c>
      <c r="H467" s="243"/>
      <c r="I467" s="243" t="s">
        <v>579</v>
      </c>
      <c r="J467" s="243" t="s">
        <v>580</v>
      </c>
    </row>
    <row r="468" spans="2:10" x14ac:dyDescent="0.25">
      <c r="B468" s="244" t="s">
        <v>584</v>
      </c>
      <c r="D468" s="244">
        <v>43360</v>
      </c>
      <c r="E468" s="243"/>
      <c r="F468" s="243">
        <v>35714</v>
      </c>
      <c r="G468" s="217">
        <v>20728.5</v>
      </c>
      <c r="H468" s="243"/>
      <c r="I468" s="217">
        <v>-32856.879999999997</v>
      </c>
      <c r="J468" s="217">
        <f>I468+G468</f>
        <v>-12128.379999999997</v>
      </c>
    </row>
    <row r="469" spans="2:10" x14ac:dyDescent="0.25">
      <c r="E469" s="243"/>
      <c r="F469" s="243"/>
      <c r="G469" s="217"/>
      <c r="H469" s="243"/>
      <c r="I469" s="217"/>
      <c r="J469" s="217"/>
    </row>
  </sheetData>
  <mergeCells count="13">
    <mergeCell ref="B408:F408"/>
    <mergeCell ref="B396:F396"/>
    <mergeCell ref="B398:F398"/>
    <mergeCell ref="B400:F400"/>
    <mergeCell ref="B402:F402"/>
    <mergeCell ref="B404:F404"/>
    <mergeCell ref="B406:F406"/>
    <mergeCell ref="B394:F394"/>
    <mergeCell ref="B373:F373"/>
    <mergeCell ref="B375:F375"/>
    <mergeCell ref="B377:F377"/>
    <mergeCell ref="B381:F381"/>
    <mergeCell ref="B390:F390"/>
  </mergeCells>
  <pageMargins left="0.70866141732283505" right="0.70866141732283505" top="0.74803149606299202" bottom="0.74803149606299202" header="0.31496062992126" footer="0.31496062992126"/>
  <pageSetup paperSize="9" scale="80" fitToHeight="0" orientation="portrait" r:id="rId1"/>
  <headerFooter>
    <oddHeader xml:space="preserve">&amp;LWARTON NO.2 SUPERANNUATION FUND
A.B.N 95 325 309 492
</oddHeader>
    <oddFooter>&amp;L&amp;Z&amp;F&amp;R&amp;D</oddFooter>
  </headerFooter>
  <rowBreaks count="10" manualBreakCount="10">
    <brk id="30" max="16383" man="1"/>
    <brk id="69" max="16383" man="1"/>
    <brk id="158" max="16383" man="1"/>
    <brk id="209" max="16383" man="1"/>
    <brk id="238" max="16383" man="1"/>
    <brk id="284" max="16383" man="1"/>
    <brk id="327" max="16383" man="1"/>
    <brk id="367" max="16383" man="1"/>
    <brk id="408" max="16383" man="1"/>
    <brk id="40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Y187"/>
  <sheetViews>
    <sheetView topLeftCell="A169" zoomScaleNormal="100" workbookViewId="0">
      <selection activeCell="G183" sqref="G183"/>
    </sheetView>
  </sheetViews>
  <sheetFormatPr defaultRowHeight="15" x14ac:dyDescent="0.25"/>
  <cols>
    <col min="2" max="2" width="36.28515625" customWidth="1"/>
    <col min="3" max="3" width="12.7109375" customWidth="1"/>
    <col min="4" max="4" width="9.7109375" customWidth="1"/>
    <col min="5" max="5" width="12.7109375" customWidth="1"/>
    <col min="7" max="7" width="11" customWidth="1"/>
    <col min="9" max="9" width="10.85546875" customWidth="1"/>
    <col min="11" max="11" width="10.7109375" customWidth="1"/>
    <col min="12" max="12" width="12.7109375" customWidth="1"/>
  </cols>
  <sheetData>
    <row r="1" spans="1:20" ht="14.45" x14ac:dyDescent="0.3">
      <c r="B1" t="s">
        <v>39</v>
      </c>
      <c r="R1" t="s">
        <v>309</v>
      </c>
    </row>
    <row r="2" spans="1:20" ht="14.45" x14ac:dyDescent="0.3">
      <c r="B2" t="s">
        <v>40</v>
      </c>
      <c r="R2" t="s">
        <v>304</v>
      </c>
    </row>
    <row r="3" spans="1:20" ht="14.45" x14ac:dyDescent="0.3">
      <c r="R3" s="50">
        <v>38533</v>
      </c>
      <c r="T3">
        <v>1000</v>
      </c>
    </row>
    <row r="4" spans="1:20" ht="14.45" x14ac:dyDescent="0.3">
      <c r="B4" t="s">
        <v>77</v>
      </c>
      <c r="R4" s="50">
        <v>38898</v>
      </c>
      <c r="T4">
        <v>1000</v>
      </c>
    </row>
    <row r="5" spans="1:20" ht="14.45" x14ac:dyDescent="0.3">
      <c r="B5" t="s">
        <v>65</v>
      </c>
      <c r="Q5" t="s">
        <v>310</v>
      </c>
      <c r="R5" s="50">
        <v>39261</v>
      </c>
      <c r="T5">
        <v>1000</v>
      </c>
    </row>
    <row r="6" spans="1:20" ht="14.45" x14ac:dyDescent="0.3">
      <c r="C6" s="1"/>
      <c r="D6" s="1"/>
      <c r="E6" s="1"/>
      <c r="R6" s="50">
        <v>39629</v>
      </c>
      <c r="T6">
        <v>1000</v>
      </c>
    </row>
    <row r="7" spans="1:20" ht="14.45" x14ac:dyDescent="0.3">
      <c r="C7" s="1"/>
      <c r="D7" s="1"/>
      <c r="E7" s="1"/>
      <c r="R7" s="50">
        <v>39994</v>
      </c>
      <c r="T7">
        <v>1000</v>
      </c>
    </row>
    <row r="8" spans="1:20" ht="14.45" x14ac:dyDescent="0.3">
      <c r="A8" s="15"/>
      <c r="B8" s="15"/>
      <c r="C8" s="15"/>
      <c r="D8" s="15"/>
      <c r="E8" s="15"/>
      <c r="R8" s="50">
        <v>40359</v>
      </c>
      <c r="T8">
        <v>1000</v>
      </c>
    </row>
    <row r="9" spans="1:20" ht="14.45" x14ac:dyDescent="0.3">
      <c r="R9" s="50">
        <v>40721</v>
      </c>
      <c r="T9">
        <v>0</v>
      </c>
    </row>
    <row r="10" spans="1:20" ht="14.45" x14ac:dyDescent="0.3">
      <c r="A10" s="1"/>
      <c r="B10" s="3" t="s">
        <v>94</v>
      </c>
      <c r="C10" s="99" t="s">
        <v>90</v>
      </c>
      <c r="D10" s="99"/>
      <c r="E10" s="99" t="s">
        <v>89</v>
      </c>
      <c r="F10" s="99"/>
      <c r="G10" s="99" t="s">
        <v>91</v>
      </c>
      <c r="H10" s="99"/>
      <c r="I10" s="99" t="s">
        <v>92</v>
      </c>
      <c r="J10" s="99"/>
      <c r="K10" s="99" t="s">
        <v>93</v>
      </c>
      <c r="L10" s="99"/>
      <c r="R10" t="s">
        <v>305</v>
      </c>
    </row>
    <row r="11" spans="1:20" ht="14.45" x14ac:dyDescent="0.3">
      <c r="B11" s="3"/>
      <c r="C11" s="3"/>
      <c r="D11" s="3"/>
      <c r="E11" s="3"/>
      <c r="F11" s="3"/>
      <c r="G11" s="3"/>
      <c r="H11" s="3"/>
      <c r="I11" s="3"/>
      <c r="J11" s="3"/>
      <c r="K11" s="3"/>
      <c r="L11" s="3"/>
      <c r="R11" s="50">
        <v>39286</v>
      </c>
      <c r="T11">
        <v>3000</v>
      </c>
    </row>
    <row r="12" spans="1:20" ht="14.45" x14ac:dyDescent="0.3">
      <c r="B12" s="3" t="s">
        <v>79</v>
      </c>
      <c r="C12" s="5">
        <v>8015</v>
      </c>
      <c r="D12" s="11">
        <f>C12/K12</f>
        <v>1.7196286546131749E-2</v>
      </c>
      <c r="E12" s="5">
        <v>1897</v>
      </c>
      <c r="F12" s="11">
        <f>E12/K12</f>
        <v>4.0700381257656798E-3</v>
      </c>
      <c r="G12" s="5">
        <v>450229</v>
      </c>
      <c r="H12" s="11">
        <f>G12/K12</f>
        <v>0.96597216411457898</v>
      </c>
      <c r="I12" s="5">
        <v>5948</v>
      </c>
      <c r="J12" s="11">
        <f>I12/K12</f>
        <v>1.2761511213523598E-2</v>
      </c>
      <c r="K12" s="36">
        <f>C12+E12+G12+I12</f>
        <v>466089</v>
      </c>
      <c r="L12" s="3"/>
      <c r="R12" s="50">
        <v>40099</v>
      </c>
      <c r="T12">
        <v>1513</v>
      </c>
    </row>
    <row r="13" spans="1:20" ht="14.45" x14ac:dyDescent="0.3">
      <c r="B13" s="3" t="s">
        <v>80</v>
      </c>
      <c r="C13" s="5">
        <v>808</v>
      </c>
      <c r="D13" s="11">
        <f t="shared" ref="D13:D19" si="0">C13/K13</f>
        <v>1.7199540210311209E-2</v>
      </c>
      <c r="E13" s="5">
        <v>191</v>
      </c>
      <c r="F13" s="11">
        <f t="shared" ref="F13:F19" si="1">E13/K13</f>
        <v>4.0657328962493081E-3</v>
      </c>
      <c r="G13" s="5">
        <v>45379</v>
      </c>
      <c r="H13" s="11">
        <f t="shared" ref="H13:H19" si="2">G13/K13</f>
        <v>0.96596279109370342</v>
      </c>
      <c r="I13" s="5">
        <v>600</v>
      </c>
      <c r="J13" s="11">
        <f t="shared" ref="J13:J19" si="3">I13/K13</f>
        <v>1.2771935799736046E-2</v>
      </c>
      <c r="K13" s="36">
        <f t="shared" ref="K13:K18" si="4">C13+E13+G13+I13</f>
        <v>46978</v>
      </c>
      <c r="L13" s="3"/>
      <c r="R13" s="50">
        <v>40708</v>
      </c>
      <c r="T13">
        <v>1000</v>
      </c>
    </row>
    <row r="14" spans="1:20" ht="14.45" x14ac:dyDescent="0.3">
      <c r="B14" s="3" t="s">
        <v>81</v>
      </c>
      <c r="C14" s="5">
        <v>-2</v>
      </c>
      <c r="D14" s="11">
        <f t="shared" si="0"/>
        <v>2.197802197802198E-2</v>
      </c>
      <c r="E14" s="5">
        <v>0</v>
      </c>
      <c r="F14" s="11">
        <f t="shared" si="1"/>
        <v>0</v>
      </c>
      <c r="G14" s="5">
        <v>-88</v>
      </c>
      <c r="H14" s="11">
        <f t="shared" si="2"/>
        <v>0.96703296703296704</v>
      </c>
      <c r="I14" s="5">
        <v>-1</v>
      </c>
      <c r="J14" s="11">
        <f t="shared" si="3"/>
        <v>1.098901098901099E-2</v>
      </c>
      <c r="K14" s="36">
        <f t="shared" si="4"/>
        <v>-91</v>
      </c>
      <c r="L14" s="3"/>
      <c r="R14" t="s">
        <v>306</v>
      </c>
    </row>
    <row r="15" spans="1:20" ht="14.45" x14ac:dyDescent="0.3">
      <c r="B15" s="3" t="s">
        <v>83</v>
      </c>
      <c r="C15" s="5">
        <v>0</v>
      </c>
      <c r="D15" s="11">
        <f t="shared" si="0"/>
        <v>0</v>
      </c>
      <c r="E15" s="5">
        <v>0</v>
      </c>
      <c r="F15" s="11">
        <f t="shared" si="1"/>
        <v>0</v>
      </c>
      <c r="G15" s="5">
        <v>0</v>
      </c>
      <c r="H15" s="11">
        <f t="shared" si="2"/>
        <v>0</v>
      </c>
      <c r="I15" s="5">
        <v>1035</v>
      </c>
      <c r="J15" s="11">
        <f t="shared" si="3"/>
        <v>1</v>
      </c>
      <c r="K15" s="36">
        <f t="shared" si="4"/>
        <v>1035</v>
      </c>
      <c r="L15" s="3"/>
      <c r="R15" t="s">
        <v>80</v>
      </c>
    </row>
    <row r="16" spans="1:20" ht="14.45" x14ac:dyDescent="0.3">
      <c r="B16" s="3" t="s">
        <v>82</v>
      </c>
      <c r="C16" s="5">
        <v>2513</v>
      </c>
      <c r="D16" s="11">
        <f t="shared" si="0"/>
        <v>8.5148917426218954E-2</v>
      </c>
      <c r="E16" s="5">
        <v>1000</v>
      </c>
      <c r="F16" s="11">
        <f t="shared" si="1"/>
        <v>3.3883373428658554E-2</v>
      </c>
      <c r="G16" s="5">
        <v>25000</v>
      </c>
      <c r="H16" s="11">
        <f t="shared" si="2"/>
        <v>0.84708433571646391</v>
      </c>
      <c r="I16" s="5">
        <v>1000</v>
      </c>
      <c r="J16" s="11">
        <f t="shared" si="3"/>
        <v>3.3883373428658554E-2</v>
      </c>
      <c r="K16" s="36">
        <f t="shared" si="4"/>
        <v>29513</v>
      </c>
      <c r="L16" s="3"/>
      <c r="R16" s="50">
        <v>38898</v>
      </c>
      <c r="T16">
        <v>95</v>
      </c>
    </row>
    <row r="17" spans="2:20" ht="14.45" x14ac:dyDescent="0.3">
      <c r="B17" s="3" t="s">
        <v>85</v>
      </c>
      <c r="C17" s="5"/>
      <c r="D17" s="11">
        <f t="shared" si="0"/>
        <v>0</v>
      </c>
      <c r="E17" s="5"/>
      <c r="F17" s="11">
        <f t="shared" si="1"/>
        <v>0</v>
      </c>
      <c r="G17" s="5"/>
      <c r="H17" s="11">
        <f t="shared" si="2"/>
        <v>0</v>
      </c>
      <c r="I17" s="5">
        <v>-155</v>
      </c>
      <c r="J17" s="11">
        <f t="shared" si="3"/>
        <v>1</v>
      </c>
      <c r="K17" s="36">
        <f t="shared" si="4"/>
        <v>-155</v>
      </c>
      <c r="L17" s="3"/>
      <c r="R17" s="50">
        <v>39263</v>
      </c>
      <c r="T17">
        <v>349</v>
      </c>
    </row>
    <row r="18" spans="2:20" ht="14.45" x14ac:dyDescent="0.3">
      <c r="B18" s="3" t="s">
        <v>86</v>
      </c>
      <c r="C18" s="5"/>
      <c r="D18" s="11">
        <f t="shared" si="0"/>
        <v>0</v>
      </c>
      <c r="E18" s="5"/>
      <c r="F18" s="11">
        <f t="shared" si="1"/>
        <v>0</v>
      </c>
      <c r="G18" s="5"/>
      <c r="H18" s="11">
        <f t="shared" si="2"/>
        <v>0</v>
      </c>
      <c r="I18" s="5">
        <v>-1029</v>
      </c>
      <c r="J18" s="11">
        <f t="shared" si="3"/>
        <v>1</v>
      </c>
      <c r="K18" s="36">
        <f t="shared" si="4"/>
        <v>-1029</v>
      </c>
      <c r="L18" s="3"/>
      <c r="R18" s="50">
        <v>39629</v>
      </c>
      <c r="T18">
        <v>98</v>
      </c>
    </row>
    <row r="19" spans="2:20" ht="14.45" x14ac:dyDescent="0.3">
      <c r="B19" s="3" t="s">
        <v>84</v>
      </c>
      <c r="C19" s="36">
        <f>SUM(C12:C18)</f>
        <v>11334</v>
      </c>
      <c r="D19" s="11">
        <f t="shared" si="0"/>
        <v>2.0898329461223587E-2</v>
      </c>
      <c r="E19" s="36">
        <f>SUM(E12:E18)</f>
        <v>3088</v>
      </c>
      <c r="F19" s="11">
        <f t="shared" si="1"/>
        <v>5.6938451893646051E-3</v>
      </c>
      <c r="G19" s="36">
        <f>SUM(G12:G18)</f>
        <v>520520</v>
      </c>
      <c r="H19" s="11">
        <f t="shared" si="2"/>
        <v>0.95976693587048711</v>
      </c>
      <c r="I19" s="36">
        <f>SUM(I12:I18)</f>
        <v>7398</v>
      </c>
      <c r="J19" s="11">
        <f t="shared" si="3"/>
        <v>1.364088947892466E-2</v>
      </c>
      <c r="K19" s="36">
        <f>SUM(K12:K18)</f>
        <v>542340</v>
      </c>
      <c r="L19" s="3"/>
      <c r="R19" s="50">
        <v>39994</v>
      </c>
      <c r="T19">
        <v>-987</v>
      </c>
    </row>
    <row r="20" spans="2:20" ht="14.45" x14ac:dyDescent="0.3">
      <c r="C20" s="2"/>
      <c r="D20" s="2"/>
      <c r="E20" s="2"/>
      <c r="R20" s="50">
        <v>40359</v>
      </c>
      <c r="T20">
        <v>808</v>
      </c>
    </row>
    <row r="21" spans="2:20" ht="14.45" x14ac:dyDescent="0.3">
      <c r="B21" s="3" t="s">
        <v>95</v>
      </c>
      <c r="C21" s="98" t="s">
        <v>90</v>
      </c>
      <c r="D21" s="98"/>
      <c r="E21" s="98" t="s">
        <v>89</v>
      </c>
      <c r="F21" s="98"/>
      <c r="G21" s="98" t="s">
        <v>91</v>
      </c>
      <c r="H21" s="98"/>
      <c r="I21" s="98" t="s">
        <v>92</v>
      </c>
      <c r="J21" s="98"/>
      <c r="K21" s="98" t="s">
        <v>93</v>
      </c>
      <c r="L21" s="98"/>
      <c r="M21" s="97"/>
      <c r="R21" s="50">
        <v>40724</v>
      </c>
      <c r="T21">
        <v>835</v>
      </c>
    </row>
    <row r="22" spans="2:20" ht="14.45" x14ac:dyDescent="0.3">
      <c r="B22" s="3"/>
      <c r="C22" s="3"/>
      <c r="D22" s="3"/>
      <c r="E22" s="3"/>
      <c r="F22" s="3"/>
      <c r="G22" s="3"/>
      <c r="H22" s="3"/>
      <c r="I22" s="3"/>
      <c r="J22" s="3"/>
      <c r="K22" s="3"/>
      <c r="L22" s="3"/>
      <c r="R22" s="50">
        <v>41090</v>
      </c>
      <c r="T22">
        <v>-1032</v>
      </c>
    </row>
    <row r="23" spans="2:20" ht="14.45" x14ac:dyDescent="0.3">
      <c r="B23" s="3" t="s">
        <v>79</v>
      </c>
      <c r="C23" s="5">
        <v>11334</v>
      </c>
      <c r="D23" s="11">
        <f>C23/K23</f>
        <v>2.0898329461223587E-2</v>
      </c>
      <c r="E23" s="5">
        <v>3088</v>
      </c>
      <c r="F23" s="11">
        <f>E23/K23</f>
        <v>5.6938451893646051E-3</v>
      </c>
      <c r="G23" s="5">
        <v>520520</v>
      </c>
      <c r="H23" s="11">
        <f>G23/K23</f>
        <v>0.95976693587048711</v>
      </c>
      <c r="I23" s="5">
        <v>7398</v>
      </c>
      <c r="J23" s="11">
        <f>I23/K23</f>
        <v>1.364088947892466E-2</v>
      </c>
      <c r="K23" s="36">
        <f>C23+E23+G23+I23</f>
        <v>542340</v>
      </c>
      <c r="L23" s="36">
        <f>C23+E23+G23+I23</f>
        <v>542340</v>
      </c>
      <c r="R23" s="50">
        <v>41455</v>
      </c>
      <c r="T23">
        <v>2525</v>
      </c>
    </row>
    <row r="24" spans="2:20" ht="14.45" x14ac:dyDescent="0.3">
      <c r="B24" s="3" t="s">
        <v>80</v>
      </c>
      <c r="C24" s="5" t="e">
        <f>K24*D24</f>
        <v>#REF!</v>
      </c>
      <c r="D24" s="11">
        <v>2.0899999999999998E-2</v>
      </c>
      <c r="E24" s="5" t="e">
        <f>K24*F24</f>
        <v>#REF!</v>
      </c>
      <c r="F24" s="11">
        <v>5.7000000000000002E-3</v>
      </c>
      <c r="G24" s="5" t="e">
        <f>K24*H24</f>
        <v>#REF!</v>
      </c>
      <c r="H24" s="11">
        <v>0.95979999999999999</v>
      </c>
      <c r="I24" s="5" t="e">
        <f>K24*J24</f>
        <v>#REF!</v>
      </c>
      <c r="J24" s="11">
        <v>1.3599999999999999E-2</v>
      </c>
      <c r="K24" s="36" t="e">
        <f>C41</f>
        <v>#REF!</v>
      </c>
      <c r="L24" s="36" t="e">
        <f t="shared" ref="L24:L30" si="5">C24+E24+G24+I24</f>
        <v>#REF!</v>
      </c>
      <c r="R24" t="s">
        <v>307</v>
      </c>
    </row>
    <row r="25" spans="2:20" ht="14.45" x14ac:dyDescent="0.3">
      <c r="B25" s="3" t="s">
        <v>81</v>
      </c>
      <c r="C25" s="5">
        <f>K25*D25</f>
        <v>41.650370616218609</v>
      </c>
      <c r="D25" s="11">
        <f>D23</f>
        <v>2.0898329461223587E-2</v>
      </c>
      <c r="E25" s="5">
        <f>K25*F25</f>
        <v>11.347833462403658</v>
      </c>
      <c r="F25" s="11">
        <f>F23</f>
        <v>5.6938451893646051E-3</v>
      </c>
      <c r="G25" s="5">
        <f>K25*H25</f>
        <v>1912.8155031898809</v>
      </c>
      <c r="H25" s="11">
        <f>H23</f>
        <v>0.95976693587048711</v>
      </c>
      <c r="I25" s="5">
        <f>K25*J25</f>
        <v>27.186292731496849</v>
      </c>
      <c r="J25" s="11">
        <f>J23</f>
        <v>1.364088947892466E-2</v>
      </c>
      <c r="K25" s="36">
        <v>1993</v>
      </c>
      <c r="L25" s="36">
        <f t="shared" si="5"/>
        <v>1993</v>
      </c>
      <c r="R25" s="50">
        <v>38533</v>
      </c>
      <c r="T25">
        <v>0</v>
      </c>
    </row>
    <row r="26" spans="2:20" ht="14.45" x14ac:dyDescent="0.3">
      <c r="B26" s="3" t="s">
        <v>83</v>
      </c>
      <c r="C26" s="5">
        <v>0</v>
      </c>
      <c r="D26" s="11">
        <f>C26/K26</f>
        <v>0</v>
      </c>
      <c r="E26" s="5">
        <v>0</v>
      </c>
      <c r="F26" s="11">
        <f>E26/K26</f>
        <v>0</v>
      </c>
      <c r="G26" s="5">
        <v>0</v>
      </c>
      <c r="H26" s="11">
        <f>G26/K26</f>
        <v>0</v>
      </c>
      <c r="I26" s="5">
        <v>985</v>
      </c>
      <c r="J26" s="11">
        <f>I26/K26</f>
        <v>1</v>
      </c>
      <c r="K26" s="36">
        <f>C26+E26+G26+I26</f>
        <v>985</v>
      </c>
      <c r="L26" s="36">
        <f t="shared" si="5"/>
        <v>985</v>
      </c>
      <c r="R26" s="50">
        <v>38898</v>
      </c>
      <c r="T26">
        <v>6</v>
      </c>
    </row>
    <row r="27" spans="2:20" ht="14.45" x14ac:dyDescent="0.3">
      <c r="B27" s="3" t="s">
        <v>82</v>
      </c>
      <c r="C27" s="5">
        <v>1000</v>
      </c>
      <c r="D27" s="11"/>
      <c r="E27" s="5">
        <v>2000</v>
      </c>
      <c r="F27" s="11"/>
      <c r="G27" s="5">
        <v>25300</v>
      </c>
      <c r="H27" s="11"/>
      <c r="I27" s="5"/>
      <c r="J27" s="11"/>
      <c r="K27" s="36">
        <f>C27+E27+G27+I27</f>
        <v>28300</v>
      </c>
      <c r="L27" s="36">
        <f t="shared" si="5"/>
        <v>28300</v>
      </c>
      <c r="R27" s="50">
        <v>39263</v>
      </c>
      <c r="T27">
        <v>-9</v>
      </c>
    </row>
    <row r="28" spans="2:20" ht="14.45" x14ac:dyDescent="0.3">
      <c r="B28" s="3" t="s">
        <v>85</v>
      </c>
      <c r="C28" s="5"/>
      <c r="D28" s="11">
        <f>C28/K28</f>
        <v>0</v>
      </c>
      <c r="E28" s="5"/>
      <c r="F28" s="11">
        <f>E28/K28</f>
        <v>0</v>
      </c>
      <c r="G28" s="5"/>
      <c r="H28" s="11">
        <f>G28/K28</f>
        <v>0</v>
      </c>
      <c r="I28" s="5">
        <f>I26*-0.15</f>
        <v>-147.75</v>
      </c>
      <c r="J28" s="11">
        <f>I28/K28</f>
        <v>1</v>
      </c>
      <c r="K28" s="36">
        <f>C28+E28+G28+I28</f>
        <v>-147.75</v>
      </c>
      <c r="L28" s="36">
        <f t="shared" si="5"/>
        <v>-147.75</v>
      </c>
      <c r="R28" s="50">
        <v>39629</v>
      </c>
    </row>
    <row r="29" spans="2:20" ht="14.45" x14ac:dyDescent="0.3">
      <c r="B29" s="3" t="s">
        <v>86</v>
      </c>
      <c r="C29" s="5"/>
      <c r="D29" s="11"/>
      <c r="E29" s="5"/>
      <c r="F29" s="11"/>
      <c r="G29" s="5"/>
      <c r="H29" s="11"/>
      <c r="I29" s="5">
        <v>0</v>
      </c>
      <c r="J29" s="11"/>
      <c r="K29" s="36">
        <f>C29+E29+G29+I29</f>
        <v>0</v>
      </c>
      <c r="L29" s="36">
        <f t="shared" si="5"/>
        <v>0</v>
      </c>
      <c r="R29" s="50">
        <v>39994</v>
      </c>
      <c r="T29">
        <v>181</v>
      </c>
    </row>
    <row r="30" spans="2:20" x14ac:dyDescent="0.25">
      <c r="B30" s="3" t="s">
        <v>84</v>
      </c>
      <c r="C30" s="36" t="e">
        <f>SUM(C23:C29)</f>
        <v>#REF!</v>
      </c>
      <c r="D30" s="11" t="e">
        <f>C30/K30</f>
        <v>#REF!</v>
      </c>
      <c r="E30" s="36" t="e">
        <f>SUM(E23:E29)</f>
        <v>#REF!</v>
      </c>
      <c r="F30" s="11" t="e">
        <f>E30/K30</f>
        <v>#REF!</v>
      </c>
      <c r="G30" s="36" t="e">
        <f>SUM(G23:G29)</f>
        <v>#REF!</v>
      </c>
      <c r="H30" s="11" t="e">
        <f>G30/K30</f>
        <v>#REF!</v>
      </c>
      <c r="I30" s="36" t="e">
        <f>SUM(I23:I29)</f>
        <v>#REF!</v>
      </c>
      <c r="J30" s="11" t="e">
        <f>I30/K30</f>
        <v>#REF!</v>
      </c>
      <c r="K30" s="36" t="e">
        <f>SUM(K23:K29)</f>
        <v>#REF!</v>
      </c>
      <c r="L30" s="36" t="e">
        <f t="shared" si="5"/>
        <v>#REF!</v>
      </c>
      <c r="R30" s="50">
        <v>40359</v>
      </c>
      <c r="T30">
        <v>-2</v>
      </c>
    </row>
    <row r="31" spans="2:20" x14ac:dyDescent="0.25">
      <c r="B31" s="3"/>
      <c r="C31" s="5"/>
      <c r="D31" s="5"/>
      <c r="E31" s="5"/>
      <c r="F31" s="3"/>
      <c r="G31" s="3"/>
      <c r="H31" s="3"/>
      <c r="I31" s="3"/>
      <c r="J31" s="3"/>
      <c r="K31" s="36" t="e">
        <f>C30+E30+G30+I30</f>
        <v>#REF!</v>
      </c>
      <c r="L31" s="3"/>
      <c r="R31" s="50">
        <v>40724</v>
      </c>
      <c r="T31">
        <v>42</v>
      </c>
    </row>
    <row r="32" spans="2:20" x14ac:dyDescent="0.25">
      <c r="C32" s="2" t="s">
        <v>212</v>
      </c>
      <c r="D32" s="2"/>
      <c r="E32" s="2"/>
      <c r="R32" s="50">
        <v>41090</v>
      </c>
      <c r="T32">
        <v>240</v>
      </c>
    </row>
    <row r="33" spans="1:25" x14ac:dyDescent="0.25">
      <c r="B33" t="s">
        <v>96</v>
      </c>
      <c r="C33" s="2" t="s">
        <v>212</v>
      </c>
      <c r="D33" s="2"/>
      <c r="E33" s="2" t="s">
        <v>262</v>
      </c>
      <c r="G33" s="2" t="s">
        <v>256</v>
      </c>
      <c r="I33" t="s">
        <v>301</v>
      </c>
      <c r="R33" s="50">
        <v>41455</v>
      </c>
      <c r="T33">
        <v>-45</v>
      </c>
      <c r="W33" s="50">
        <v>38533</v>
      </c>
      <c r="X33">
        <f>T3</f>
        <v>1000</v>
      </c>
      <c r="Y33">
        <v>1000</v>
      </c>
    </row>
    <row r="34" spans="1:25" x14ac:dyDescent="0.25">
      <c r="A34" s="1"/>
      <c r="B34" t="s">
        <v>66</v>
      </c>
      <c r="C34" s="2" t="e">
        <f>#REF!</f>
        <v>#REF!</v>
      </c>
      <c r="D34" s="2"/>
      <c r="E34" s="2">
        <v>15858</v>
      </c>
      <c r="G34">
        <v>23067</v>
      </c>
      <c r="I34">
        <v>31096</v>
      </c>
      <c r="W34" s="50">
        <v>38898</v>
      </c>
      <c r="X34">
        <f>X33+T4+T16+T26</f>
        <v>2101</v>
      </c>
      <c r="Y34">
        <v>2102</v>
      </c>
    </row>
    <row r="35" spans="1:25" x14ac:dyDescent="0.25">
      <c r="B35" t="s">
        <v>67</v>
      </c>
      <c r="C35" s="2" t="e">
        <f>#REF!</f>
        <v>#REF!</v>
      </c>
      <c r="D35" s="2"/>
      <c r="E35" s="2">
        <v>228</v>
      </c>
      <c r="G35" t="e">
        <f>#REF!</f>
        <v>#REF!</v>
      </c>
      <c r="I35">
        <v>105</v>
      </c>
      <c r="W35" s="50">
        <v>39263</v>
      </c>
      <c r="X35">
        <f>X34+T5+T17+T27</f>
        <v>3441</v>
      </c>
      <c r="Y35">
        <v>3442</v>
      </c>
    </row>
    <row r="36" spans="1:25" x14ac:dyDescent="0.25">
      <c r="B36" t="s">
        <v>263</v>
      </c>
      <c r="C36" s="2" t="e">
        <f>#REF!</f>
        <v>#REF!</v>
      </c>
      <c r="D36" s="2"/>
      <c r="E36" s="2"/>
      <c r="G36">
        <v>6156</v>
      </c>
      <c r="I36">
        <v>0</v>
      </c>
      <c r="R36" t="s">
        <v>308</v>
      </c>
      <c r="W36" s="50">
        <v>39629</v>
      </c>
      <c r="X36">
        <f>X35+T5+T11+T18+T28</f>
        <v>7539</v>
      </c>
      <c r="Y36">
        <v>7821</v>
      </c>
    </row>
    <row r="37" spans="1:25" x14ac:dyDescent="0.25">
      <c r="B37" t="s">
        <v>68</v>
      </c>
      <c r="C37" s="2" t="e">
        <f>#REF!</f>
        <v>#REF!</v>
      </c>
      <c r="D37" s="2"/>
      <c r="E37" s="2">
        <v>31043</v>
      </c>
      <c r="G37">
        <v>-76677</v>
      </c>
      <c r="I37">
        <v>93080</v>
      </c>
      <c r="R37" s="50">
        <v>40359</v>
      </c>
      <c r="W37" s="50">
        <v>39994</v>
      </c>
      <c r="X37">
        <f>X36+T7+T19+T29</f>
        <v>7733</v>
      </c>
      <c r="Y37">
        <v>8015</v>
      </c>
    </row>
    <row r="38" spans="1:25" x14ac:dyDescent="0.25">
      <c r="B38" s="21" t="s">
        <v>97</v>
      </c>
      <c r="C38" s="20">
        <v>-150</v>
      </c>
      <c r="D38" s="20"/>
      <c r="E38" s="19">
        <v>-150</v>
      </c>
      <c r="G38" t="e">
        <f>-#REF!</f>
        <v>#REF!</v>
      </c>
      <c r="I38">
        <v>-380</v>
      </c>
      <c r="K38">
        <v>11007</v>
      </c>
      <c r="R38" s="50">
        <v>40724</v>
      </c>
      <c r="W38" s="50">
        <v>40359</v>
      </c>
      <c r="X38">
        <f>X37+T8+T12+T20+T30</f>
        <v>11052</v>
      </c>
      <c r="Y38">
        <v>11334</v>
      </c>
    </row>
    <row r="39" spans="1:25" x14ac:dyDescent="0.25">
      <c r="B39" s="21" t="s">
        <v>241</v>
      </c>
      <c r="C39" s="20"/>
      <c r="D39" s="20"/>
      <c r="E39" s="19"/>
      <c r="G39" t="e">
        <f>-#REF!</f>
        <v>#REF!</v>
      </c>
      <c r="I39">
        <v>-1100</v>
      </c>
      <c r="K39">
        <v>127</v>
      </c>
      <c r="R39" s="50">
        <v>41090</v>
      </c>
      <c r="W39" s="50">
        <v>40724</v>
      </c>
      <c r="X39">
        <f>X38+T13+T9+T21+T31</f>
        <v>12929</v>
      </c>
      <c r="Y39">
        <v>13211</v>
      </c>
    </row>
    <row r="40" spans="1:25" x14ac:dyDescent="0.25">
      <c r="A40" s="1"/>
      <c r="B40" s="21" t="s">
        <v>72</v>
      </c>
      <c r="C40" s="19">
        <v>0</v>
      </c>
      <c r="D40" s="20"/>
      <c r="E40" s="25">
        <v>-1</v>
      </c>
      <c r="G40" t="e">
        <f>-#REF!</f>
        <v>#REF!</v>
      </c>
      <c r="I40">
        <v>0</v>
      </c>
      <c r="K40">
        <f>SUM(K38:K39)</f>
        <v>11134</v>
      </c>
      <c r="R40" s="50">
        <v>41455</v>
      </c>
      <c r="W40" s="50">
        <v>41090</v>
      </c>
      <c r="X40">
        <f>X39+T22+T32</f>
        <v>12137</v>
      </c>
      <c r="Y40">
        <v>12419</v>
      </c>
    </row>
    <row r="41" spans="1:25" x14ac:dyDescent="0.25">
      <c r="C41" s="22" t="e">
        <f>SUM(C34:C40)</f>
        <v>#REF!</v>
      </c>
      <c r="D41" s="20"/>
      <c r="E41" s="22">
        <f>SUM(E34:E40)</f>
        <v>46978</v>
      </c>
      <c r="G41" t="e">
        <f>SUM(G34:G40)</f>
        <v>#REF!</v>
      </c>
      <c r="I41">
        <f>SUM(I34:I40)</f>
        <v>122801</v>
      </c>
      <c r="W41" s="50">
        <v>41455</v>
      </c>
      <c r="X41">
        <f>X40+T23+T33</f>
        <v>14617</v>
      </c>
      <c r="Y41">
        <v>14899</v>
      </c>
    </row>
    <row r="42" spans="1:25" x14ac:dyDescent="0.25">
      <c r="C42" s="19"/>
      <c r="D42" s="19"/>
      <c r="E42" s="19"/>
      <c r="T42">
        <f>SUM(T3:T40)</f>
        <v>14617</v>
      </c>
    </row>
    <row r="43" spans="1:25" x14ac:dyDescent="0.25">
      <c r="B43" s="3" t="s">
        <v>261</v>
      </c>
      <c r="C43" s="98" t="s">
        <v>90</v>
      </c>
      <c r="D43" s="98"/>
      <c r="E43" s="98" t="s">
        <v>89</v>
      </c>
      <c r="F43" s="98"/>
      <c r="G43" s="98" t="s">
        <v>91</v>
      </c>
      <c r="H43" s="98"/>
      <c r="I43" s="98" t="s">
        <v>92</v>
      </c>
      <c r="J43" s="98"/>
      <c r="K43" s="98" t="s">
        <v>93</v>
      </c>
      <c r="L43" s="98"/>
      <c r="T43">
        <v>14899</v>
      </c>
    </row>
    <row r="44" spans="1:25" x14ac:dyDescent="0.25">
      <c r="A44" s="1"/>
      <c r="B44" s="3"/>
      <c r="C44" s="3"/>
      <c r="D44" s="3"/>
      <c r="E44" s="3"/>
      <c r="F44" s="3"/>
      <c r="G44" s="3"/>
      <c r="H44" s="3"/>
      <c r="I44" s="3"/>
      <c r="J44" s="3"/>
      <c r="K44" s="3"/>
      <c r="L44" s="3"/>
      <c r="T44">
        <f>T42-T43</f>
        <v>-282</v>
      </c>
    </row>
    <row r="45" spans="1:25" x14ac:dyDescent="0.25">
      <c r="B45" s="3" t="s">
        <v>79</v>
      </c>
      <c r="C45" s="5" t="e">
        <f>C30</f>
        <v>#REF!</v>
      </c>
      <c r="D45" s="11" t="e">
        <f>C45/K45</f>
        <v>#REF!</v>
      </c>
      <c r="E45" s="5" t="e">
        <f>E30</f>
        <v>#REF!</v>
      </c>
      <c r="F45" s="11" t="e">
        <f>E45/K45</f>
        <v>#REF!</v>
      </c>
      <c r="G45" s="5" t="e">
        <f>G30</f>
        <v>#REF!</v>
      </c>
      <c r="H45" s="11" t="e">
        <f>G45/K45</f>
        <v>#REF!</v>
      </c>
      <c r="I45" s="5" t="e">
        <f>I30</f>
        <v>#REF!</v>
      </c>
      <c r="J45" s="11" t="e">
        <f>I45/K45</f>
        <v>#REF!</v>
      </c>
      <c r="K45" s="36" t="e">
        <f>C45+E45+G45+I45</f>
        <v>#REF!</v>
      </c>
      <c r="L45" s="36" t="e">
        <f>C45+E45+G45+I45</f>
        <v>#REF!</v>
      </c>
    </row>
    <row r="46" spans="1:25" x14ac:dyDescent="0.25">
      <c r="B46" s="3" t="s">
        <v>80</v>
      </c>
      <c r="C46" s="5" t="e">
        <f>K46*D46</f>
        <v>#REF!</v>
      </c>
      <c r="D46" s="11" t="e">
        <f>D45</f>
        <v>#REF!</v>
      </c>
      <c r="E46" s="5" t="e">
        <f>K46*F46</f>
        <v>#REF!</v>
      </c>
      <c r="F46" s="11" t="e">
        <f>F45</f>
        <v>#REF!</v>
      </c>
      <c r="G46" s="5" t="e">
        <f>K46*H46</f>
        <v>#REF!</v>
      </c>
      <c r="H46" s="11" t="e">
        <f>H45</f>
        <v>#REF!</v>
      </c>
      <c r="I46" s="5" t="e">
        <f>K46*J46</f>
        <v>#REF!</v>
      </c>
      <c r="J46" s="11" t="e">
        <f>J45</f>
        <v>#REF!</v>
      </c>
      <c r="K46" s="36" t="e">
        <f>G41</f>
        <v>#REF!</v>
      </c>
      <c r="L46" s="36" t="e">
        <f>C46+E46+G46+I46</f>
        <v>#REF!</v>
      </c>
    </row>
    <row r="47" spans="1:25" x14ac:dyDescent="0.25">
      <c r="B47" s="3" t="s">
        <v>81</v>
      </c>
      <c r="C47" s="5" t="e">
        <f>K47*D47</f>
        <v>#REF!</v>
      </c>
      <c r="D47" s="11" t="e">
        <f>D45</f>
        <v>#REF!</v>
      </c>
      <c r="E47" s="5" t="e">
        <f>K47*F47</f>
        <v>#REF!</v>
      </c>
      <c r="F47" s="11" t="e">
        <f>F45</f>
        <v>#REF!</v>
      </c>
      <c r="G47" s="5" t="e">
        <f>K47*H47</f>
        <v>#REF!</v>
      </c>
      <c r="H47" s="11" t="e">
        <f>H45</f>
        <v>#REF!</v>
      </c>
      <c r="I47" s="5" t="e">
        <f>K47*J47</f>
        <v>#REF!</v>
      </c>
      <c r="J47" s="11" t="e">
        <f>J45</f>
        <v>#REF!</v>
      </c>
      <c r="K47" s="36">
        <v>11134</v>
      </c>
      <c r="L47" s="36" t="e">
        <f t="shared" ref="L47:L52" si="6">C47+E47+G47+I47</f>
        <v>#REF!</v>
      </c>
      <c r="O47">
        <f>1993-148</f>
        <v>1845</v>
      </c>
    </row>
    <row r="48" spans="1:25" x14ac:dyDescent="0.25">
      <c r="A48" s="1"/>
      <c r="B48" s="3" t="s">
        <v>83</v>
      </c>
      <c r="C48" s="5">
        <v>0</v>
      </c>
      <c r="D48" s="11">
        <f>C48/K48</f>
        <v>0</v>
      </c>
      <c r="E48" s="5">
        <v>32</v>
      </c>
      <c r="F48" s="11">
        <f>E48/K48</f>
        <v>3.7691401648998819E-2</v>
      </c>
      <c r="G48" s="5">
        <v>0</v>
      </c>
      <c r="H48" s="11">
        <f>G48/K48</f>
        <v>0</v>
      </c>
      <c r="I48" s="5">
        <v>817</v>
      </c>
      <c r="J48" s="11">
        <f>I48/K48</f>
        <v>0.96230859835100113</v>
      </c>
      <c r="K48" s="36">
        <f>C48+E48+G48+I48</f>
        <v>849</v>
      </c>
      <c r="L48" s="36">
        <f t="shared" si="6"/>
        <v>849</v>
      </c>
    </row>
    <row r="49" spans="2:20" x14ac:dyDescent="0.25">
      <c r="B49" s="3" t="s">
        <v>82</v>
      </c>
      <c r="C49" s="5">
        <v>0</v>
      </c>
      <c r="D49" s="11"/>
      <c r="E49" s="5">
        <v>2000</v>
      </c>
      <c r="F49" s="11"/>
      <c r="G49" s="5">
        <v>24700</v>
      </c>
      <c r="H49" s="11"/>
      <c r="I49" s="5"/>
      <c r="J49" s="11"/>
      <c r="K49" s="36">
        <f>C49+E49+G49+I49</f>
        <v>26700</v>
      </c>
      <c r="L49" s="36">
        <f t="shared" si="6"/>
        <v>26700</v>
      </c>
    </row>
    <row r="50" spans="2:20" x14ac:dyDescent="0.25">
      <c r="B50" s="3" t="s">
        <v>85</v>
      </c>
      <c r="C50" s="5"/>
      <c r="D50" s="11">
        <f>C50/K50</f>
        <v>0</v>
      </c>
      <c r="E50" s="5">
        <f>E48*-0.15</f>
        <v>-4.8</v>
      </c>
      <c r="F50" s="11">
        <f>E50/K50</f>
        <v>3.7397740553174914E-2</v>
      </c>
      <c r="G50" s="5"/>
      <c r="H50" s="11">
        <f>G50/K50</f>
        <v>0</v>
      </c>
      <c r="I50" s="5">
        <f>I48*-0.15-1</f>
        <v>-123.55</v>
      </c>
      <c r="J50" s="11">
        <f>I50/K50</f>
        <v>0.96260225944682509</v>
      </c>
      <c r="K50" s="36">
        <f>C50+E50+G50+I50</f>
        <v>-128.35</v>
      </c>
      <c r="L50" s="36">
        <f t="shared" si="6"/>
        <v>-128.35</v>
      </c>
    </row>
    <row r="51" spans="2:20" x14ac:dyDescent="0.25">
      <c r="B51" s="3" t="s">
        <v>86</v>
      </c>
      <c r="C51" s="5"/>
      <c r="D51" s="11"/>
      <c r="E51" s="5"/>
      <c r="F51" s="11"/>
      <c r="G51" s="5"/>
      <c r="H51" s="11"/>
      <c r="I51" s="5">
        <v>0</v>
      </c>
      <c r="J51" s="11"/>
      <c r="K51" s="36">
        <f>C51+E51+G51+I51</f>
        <v>0</v>
      </c>
      <c r="L51" s="36">
        <f t="shared" si="6"/>
        <v>0</v>
      </c>
    </row>
    <row r="52" spans="2:20" x14ac:dyDescent="0.25">
      <c r="B52" s="3" t="s">
        <v>84</v>
      </c>
      <c r="C52" s="36" t="e">
        <f>SUM(C45:C51)</f>
        <v>#REF!</v>
      </c>
      <c r="D52" s="11" t="e">
        <f>C52/K52</f>
        <v>#REF!</v>
      </c>
      <c r="E52" s="36" t="e">
        <f>SUM(E45:E51)</f>
        <v>#REF!</v>
      </c>
      <c r="F52" s="11" t="e">
        <f>E52/K52</f>
        <v>#REF!</v>
      </c>
      <c r="G52" s="36" t="e">
        <f>SUM(G45:G51)</f>
        <v>#REF!</v>
      </c>
      <c r="H52" s="11" t="e">
        <f>G52/K52</f>
        <v>#REF!</v>
      </c>
      <c r="I52" s="36" t="e">
        <f>SUM(I45:I51)</f>
        <v>#REF!</v>
      </c>
      <c r="J52" s="11" t="e">
        <f>I52/K52</f>
        <v>#REF!</v>
      </c>
      <c r="K52" s="36" t="e">
        <f>SUM(K45:K51)</f>
        <v>#REF!</v>
      </c>
      <c r="L52" s="36" t="e">
        <f t="shared" si="6"/>
        <v>#REF!</v>
      </c>
    </row>
    <row r="53" spans="2:20" x14ac:dyDescent="0.25">
      <c r="B53" s="3"/>
      <c r="C53" s="5"/>
      <c r="D53" s="5"/>
      <c r="E53" s="5"/>
      <c r="F53" s="3"/>
      <c r="G53" s="3"/>
      <c r="H53" s="3"/>
      <c r="I53" s="3"/>
      <c r="J53" s="3"/>
      <c r="K53" s="36" t="e">
        <f>C52+E52+G52+I52</f>
        <v>#REF!</v>
      </c>
      <c r="L53" s="3"/>
      <c r="R53" t="s">
        <v>303</v>
      </c>
    </row>
    <row r="54" spans="2:20" x14ac:dyDescent="0.25">
      <c r="C54" s="2"/>
      <c r="D54" s="2"/>
      <c r="E54" s="2"/>
    </row>
    <row r="55" spans="2:20" x14ac:dyDescent="0.25">
      <c r="C55" s="2"/>
      <c r="D55" s="2"/>
      <c r="E55" s="2"/>
      <c r="R55" t="s">
        <v>304</v>
      </c>
    </row>
    <row r="56" spans="2:20" x14ac:dyDescent="0.25">
      <c r="B56" s="3" t="s">
        <v>302</v>
      </c>
      <c r="C56" s="98" t="s">
        <v>90</v>
      </c>
      <c r="D56" s="98"/>
      <c r="E56" s="98" t="s">
        <v>89</v>
      </c>
      <c r="F56" s="98"/>
      <c r="G56" s="98" t="s">
        <v>91</v>
      </c>
      <c r="H56" s="98"/>
      <c r="I56" s="98" t="s">
        <v>92</v>
      </c>
      <c r="J56" s="98"/>
      <c r="K56" s="98" t="s">
        <v>93</v>
      </c>
      <c r="L56" s="98"/>
      <c r="R56" s="50">
        <v>39629</v>
      </c>
      <c r="T56">
        <v>1000</v>
      </c>
    </row>
    <row r="57" spans="2:20" x14ac:dyDescent="0.25">
      <c r="B57" s="3"/>
      <c r="C57" s="3"/>
      <c r="D57" s="3"/>
      <c r="E57" s="3"/>
      <c r="F57" s="3"/>
      <c r="G57" s="3"/>
      <c r="H57" s="3"/>
      <c r="I57" s="3"/>
      <c r="J57" s="3"/>
      <c r="K57" s="3"/>
      <c r="L57" s="3"/>
      <c r="R57" s="50">
        <v>39994</v>
      </c>
      <c r="T57">
        <v>1000</v>
      </c>
    </row>
    <row r="58" spans="2:20" x14ac:dyDescent="0.25">
      <c r="B58" s="3" t="s">
        <v>79</v>
      </c>
      <c r="C58" s="5" t="e">
        <f>C52</f>
        <v>#REF!</v>
      </c>
      <c r="D58" s="11" t="e">
        <f>C58/K58</f>
        <v>#REF!</v>
      </c>
      <c r="E58" s="5" t="e">
        <f>E52</f>
        <v>#REF!</v>
      </c>
      <c r="F58" s="11" t="e">
        <f>E58/K58</f>
        <v>#REF!</v>
      </c>
      <c r="G58" s="5" t="e">
        <f>G52</f>
        <v>#REF!</v>
      </c>
      <c r="H58" s="11" t="e">
        <f>G58/K58</f>
        <v>#REF!</v>
      </c>
      <c r="I58" s="5" t="e">
        <f>I52</f>
        <v>#REF!</v>
      </c>
      <c r="J58" s="11" t="e">
        <f>I58/K58</f>
        <v>#REF!</v>
      </c>
      <c r="K58" s="36" t="e">
        <f>C58+E58+G58+I58</f>
        <v>#REF!</v>
      </c>
      <c r="L58" s="36" t="e">
        <f>C58+E58+G58+I58</f>
        <v>#REF!</v>
      </c>
      <c r="R58" s="50">
        <v>40359</v>
      </c>
      <c r="T58">
        <v>1000</v>
      </c>
    </row>
    <row r="59" spans="2:20" x14ac:dyDescent="0.25">
      <c r="B59" s="3" t="s">
        <v>80</v>
      </c>
      <c r="C59" s="5" t="e">
        <f>I41*D59</f>
        <v>#REF!</v>
      </c>
      <c r="D59" s="11" t="e">
        <f>D58</f>
        <v>#REF!</v>
      </c>
      <c r="E59" s="5" t="e">
        <f>I41*F59</f>
        <v>#REF!</v>
      </c>
      <c r="F59" s="11" t="e">
        <f>F58</f>
        <v>#REF!</v>
      </c>
      <c r="G59" s="5" t="e">
        <f>I41*H59</f>
        <v>#REF!</v>
      </c>
      <c r="H59" s="11" t="e">
        <f>H58</f>
        <v>#REF!</v>
      </c>
      <c r="I59" s="5" t="e">
        <f>I41*J59</f>
        <v>#REF!</v>
      </c>
      <c r="J59" s="11" t="e">
        <f>J58</f>
        <v>#REF!</v>
      </c>
      <c r="K59" s="36" t="e">
        <f>C59+E59+G59+I59</f>
        <v>#REF!</v>
      </c>
      <c r="L59" s="36" t="e">
        <f>C59+E59+G59+I59</f>
        <v>#REF!</v>
      </c>
      <c r="R59" s="50">
        <v>40721</v>
      </c>
      <c r="T59">
        <v>1000</v>
      </c>
    </row>
    <row r="60" spans="2:20" x14ac:dyDescent="0.25">
      <c r="B60" s="3" t="s">
        <v>81</v>
      </c>
      <c r="C60" s="5" t="e">
        <f>K60*D60</f>
        <v>#REF!</v>
      </c>
      <c r="D60" s="11" t="e">
        <f>D58</f>
        <v>#REF!</v>
      </c>
      <c r="E60" s="5" t="e">
        <f>K60*F60</f>
        <v>#REF!</v>
      </c>
      <c r="F60" s="11" t="e">
        <f>F58</f>
        <v>#REF!</v>
      </c>
      <c r="G60" s="5" t="e">
        <f>K60*H60</f>
        <v>#REF!</v>
      </c>
      <c r="H60" s="11" t="e">
        <f>H58</f>
        <v>#REF!</v>
      </c>
      <c r="I60" s="5" t="e">
        <f>K60*J60</f>
        <v>#REF!</v>
      </c>
      <c r="J60" s="11" t="e">
        <f>J58</f>
        <v>#REF!</v>
      </c>
      <c r="K60" s="36">
        <v>-2196</v>
      </c>
      <c r="L60" s="36" t="e">
        <f t="shared" ref="L60:L65" si="7">C60+E60+G60+I60</f>
        <v>#REF!</v>
      </c>
      <c r="R60" s="50">
        <v>41066</v>
      </c>
      <c r="T60">
        <v>1000</v>
      </c>
    </row>
    <row r="61" spans="2:20" x14ac:dyDescent="0.25">
      <c r="B61" s="3" t="s">
        <v>83</v>
      </c>
      <c r="C61" s="5">
        <v>0</v>
      </c>
      <c r="D61" s="11">
        <f>C61/K61</f>
        <v>0</v>
      </c>
      <c r="E61" s="5">
        <v>7</v>
      </c>
      <c r="F61" s="11">
        <f>E61/K61</f>
        <v>1.0558069381598794E-2</v>
      </c>
      <c r="G61" s="5">
        <v>0</v>
      </c>
      <c r="H61" s="11">
        <f>G61/K61</f>
        <v>0</v>
      </c>
      <c r="I61" s="5">
        <v>656</v>
      </c>
      <c r="J61" s="11">
        <f>I61/K61</f>
        <v>0.98944193061840124</v>
      </c>
      <c r="K61" s="36">
        <f>C61+E61+G61+I61</f>
        <v>663</v>
      </c>
      <c r="L61" s="36">
        <f t="shared" si="7"/>
        <v>663</v>
      </c>
    </row>
    <row r="62" spans="2:20" x14ac:dyDescent="0.25">
      <c r="B62" s="3" t="s">
        <v>82</v>
      </c>
      <c r="C62" s="5">
        <v>0</v>
      </c>
      <c r="D62" s="11"/>
      <c r="E62" s="5">
        <v>0</v>
      </c>
      <c r="F62" s="11"/>
      <c r="G62" s="5">
        <v>0</v>
      </c>
      <c r="H62" s="11"/>
      <c r="I62" s="5"/>
      <c r="J62" s="11"/>
      <c r="K62" s="36">
        <f>C62+E62+G62+I62</f>
        <v>0</v>
      </c>
      <c r="L62" s="36">
        <f t="shared" si="7"/>
        <v>0</v>
      </c>
      <c r="R62" t="s">
        <v>305</v>
      </c>
    </row>
    <row r="63" spans="2:20" x14ac:dyDescent="0.25">
      <c r="B63" s="3" t="s">
        <v>85</v>
      </c>
      <c r="C63" s="5"/>
      <c r="D63" s="11">
        <f>C63/K63</f>
        <v>0</v>
      </c>
      <c r="E63" s="5">
        <f>E61*-0.15</f>
        <v>-1.05</v>
      </c>
      <c r="F63" s="11">
        <f>E63/K63</f>
        <v>1.0452961672473868E-2</v>
      </c>
      <c r="G63" s="5"/>
      <c r="H63" s="11">
        <f>G63/K63</f>
        <v>0</v>
      </c>
      <c r="I63" s="5">
        <f>I61*-0.15-1</f>
        <v>-99.399999999999991</v>
      </c>
      <c r="J63" s="11">
        <f>I63/K63</f>
        <v>0.98954703832752611</v>
      </c>
      <c r="K63" s="36">
        <f>C63+E63+G63+I63</f>
        <v>-100.44999999999999</v>
      </c>
      <c r="L63" s="36">
        <f t="shared" si="7"/>
        <v>-100.44999999999999</v>
      </c>
      <c r="R63" s="50">
        <v>40708</v>
      </c>
      <c r="T63">
        <v>1000</v>
      </c>
    </row>
    <row r="64" spans="2:20" x14ac:dyDescent="0.25">
      <c r="B64" s="3" t="s">
        <v>86</v>
      </c>
      <c r="C64" s="5"/>
      <c r="D64" s="11"/>
      <c r="E64" s="5"/>
      <c r="F64" s="11"/>
      <c r="G64" s="5"/>
      <c r="H64" s="11"/>
      <c r="I64" s="5">
        <v>0</v>
      </c>
      <c r="J64" s="11"/>
      <c r="K64" s="36">
        <f>C64+E64+G64+I64</f>
        <v>0</v>
      </c>
      <c r="L64" s="36">
        <f t="shared" si="7"/>
        <v>0</v>
      </c>
      <c r="R64" s="50">
        <v>41045</v>
      </c>
      <c r="T64">
        <v>1000</v>
      </c>
    </row>
    <row r="65" spans="2:20" x14ac:dyDescent="0.25">
      <c r="B65" s="3" t="s">
        <v>84</v>
      </c>
      <c r="C65" s="36" t="e">
        <f>SUM(C58:C64)</f>
        <v>#REF!</v>
      </c>
      <c r="D65" s="11" t="e">
        <f>C65/K65</f>
        <v>#REF!</v>
      </c>
      <c r="E65" s="36" t="e">
        <f>SUM(E58:E64)</f>
        <v>#REF!</v>
      </c>
      <c r="F65" s="11" t="e">
        <f>E65/K65</f>
        <v>#REF!</v>
      </c>
      <c r="G65" s="36" t="e">
        <f>SUM(G58:G64)</f>
        <v>#REF!</v>
      </c>
      <c r="H65" s="11" t="e">
        <f>G65/K65</f>
        <v>#REF!</v>
      </c>
      <c r="I65" s="36" t="e">
        <f>SUM(I58:I64)</f>
        <v>#REF!</v>
      </c>
      <c r="J65" s="11" t="e">
        <f>I65/K65</f>
        <v>#REF!</v>
      </c>
      <c r="K65" s="36" t="e">
        <f>SUM(K58:K64)</f>
        <v>#REF!</v>
      </c>
      <c r="L65" s="36" t="e">
        <f t="shared" si="7"/>
        <v>#REF!</v>
      </c>
    </row>
    <row r="66" spans="2:20" x14ac:dyDescent="0.25">
      <c r="B66" s="3"/>
      <c r="C66" s="5"/>
      <c r="D66" s="5"/>
      <c r="E66" s="5"/>
      <c r="F66" s="3"/>
      <c r="G66" s="3"/>
      <c r="H66" s="3"/>
      <c r="I66" s="3"/>
      <c r="J66" s="3"/>
      <c r="K66" s="36" t="e">
        <f>C65+E65+G65+I65</f>
        <v>#REF!</v>
      </c>
      <c r="L66" s="3"/>
      <c r="R66" t="s">
        <v>306</v>
      </c>
    </row>
    <row r="67" spans="2:20" x14ac:dyDescent="0.25">
      <c r="R67" s="50">
        <v>41090</v>
      </c>
      <c r="T67">
        <v>6.75</v>
      </c>
    </row>
    <row r="68" spans="2:20" x14ac:dyDescent="0.25">
      <c r="B68" s="3" t="s">
        <v>320</v>
      </c>
      <c r="C68" s="98" t="s">
        <v>90</v>
      </c>
      <c r="D68" s="98"/>
      <c r="E68" s="98" t="s">
        <v>89</v>
      </c>
      <c r="F68" s="98"/>
      <c r="G68" s="98" t="s">
        <v>91</v>
      </c>
      <c r="H68" s="98"/>
      <c r="I68" s="98" t="s">
        <v>92</v>
      </c>
      <c r="J68" s="98"/>
      <c r="K68" s="98" t="s">
        <v>93</v>
      </c>
      <c r="L68" s="98"/>
      <c r="R68" s="50">
        <v>41455</v>
      </c>
      <c r="T68">
        <v>32.4</v>
      </c>
    </row>
    <row r="69" spans="2:20" x14ac:dyDescent="0.25">
      <c r="B69" s="3"/>
      <c r="C69" s="3"/>
      <c r="D69" s="3"/>
      <c r="E69" s="3"/>
      <c r="F69" s="3"/>
      <c r="G69" s="3"/>
      <c r="H69" s="3"/>
      <c r="I69" s="3"/>
      <c r="J69" s="3"/>
      <c r="K69" s="3"/>
      <c r="L69" s="3"/>
    </row>
    <row r="70" spans="2:20" x14ac:dyDescent="0.25">
      <c r="B70" s="3" t="s">
        <v>79</v>
      </c>
      <c r="C70" s="5" t="e">
        <f>C65</f>
        <v>#REF!</v>
      </c>
      <c r="D70" s="11" t="e">
        <f>C70/K70</f>
        <v>#REF!</v>
      </c>
      <c r="E70" s="5" t="e">
        <f>E65</f>
        <v>#REF!</v>
      </c>
      <c r="F70" s="11" t="e">
        <f>E70/K70</f>
        <v>#REF!</v>
      </c>
      <c r="G70" s="5" t="e">
        <f>G65</f>
        <v>#REF!</v>
      </c>
      <c r="H70" s="11" t="e">
        <f>G70/K70</f>
        <v>#REF!</v>
      </c>
      <c r="I70" s="5" t="e">
        <f>I65</f>
        <v>#REF!</v>
      </c>
      <c r="J70" s="11" t="e">
        <f>I70/K70</f>
        <v>#REF!</v>
      </c>
      <c r="K70" s="36" t="e">
        <f>C70+E70+G70+I70</f>
        <v>#REF!</v>
      </c>
      <c r="L70" s="36" t="e">
        <f>C70+E70+G70+I70</f>
        <v>#REF!</v>
      </c>
      <c r="R70" t="s">
        <v>80</v>
      </c>
    </row>
    <row r="71" spans="2:20" x14ac:dyDescent="0.25">
      <c r="B71" s="3" t="s">
        <v>80</v>
      </c>
      <c r="C71" s="5" t="e">
        <f>K71*D71</f>
        <v>#REF!</v>
      </c>
      <c r="D71" s="11" t="e">
        <f>D70</f>
        <v>#REF!</v>
      </c>
      <c r="E71" s="5" t="e">
        <f>F71*K71</f>
        <v>#REF!</v>
      </c>
      <c r="F71" s="11" t="e">
        <f>F70</f>
        <v>#REF!</v>
      </c>
      <c r="G71" s="5" t="e">
        <f>H71*K71</f>
        <v>#REF!</v>
      </c>
      <c r="H71" s="11" t="e">
        <f>H70</f>
        <v>#REF!</v>
      </c>
      <c r="I71" s="5" t="e">
        <f>K71*J71</f>
        <v>#REF!</v>
      </c>
      <c r="J71" s="11" t="e">
        <f>J70</f>
        <v>#REF!</v>
      </c>
      <c r="K71" s="36">
        <v>107381</v>
      </c>
      <c r="L71" s="36" t="e">
        <f>C71+E71+G71+I71</f>
        <v>#REF!</v>
      </c>
      <c r="R71" s="50">
        <v>39629</v>
      </c>
      <c r="T71">
        <v>0</v>
      </c>
    </row>
    <row r="72" spans="2:20" x14ac:dyDescent="0.25">
      <c r="B72" s="3" t="s">
        <v>81</v>
      </c>
      <c r="C72" s="5" t="e">
        <f>K72*D72</f>
        <v>#REF!</v>
      </c>
      <c r="D72" s="11" t="e">
        <f>D70</f>
        <v>#REF!</v>
      </c>
      <c r="E72" s="5" t="e">
        <f>K72*F72</f>
        <v>#REF!</v>
      </c>
      <c r="F72" s="11" t="e">
        <f>F70</f>
        <v>#REF!</v>
      </c>
      <c r="G72" s="5" t="e">
        <f>K72*H72</f>
        <v>#REF!</v>
      </c>
      <c r="H72" s="11" t="e">
        <f>H70</f>
        <v>#REF!</v>
      </c>
      <c r="I72" s="5" t="e">
        <f>K72*J72</f>
        <v>#REF!</v>
      </c>
      <c r="J72" s="11" t="e">
        <f>J70</f>
        <v>#REF!</v>
      </c>
      <c r="K72" s="36">
        <f>-1632+96</f>
        <v>-1536</v>
      </c>
      <c r="L72" s="36" t="e">
        <f t="shared" ref="L72:L78" si="8">C72+E72+G72+I72</f>
        <v>#REF!</v>
      </c>
      <c r="R72" s="50">
        <v>39994</v>
      </c>
      <c r="T72">
        <v>-126</v>
      </c>
    </row>
    <row r="73" spans="2:20" x14ac:dyDescent="0.25">
      <c r="B73" s="3" t="s">
        <v>83</v>
      </c>
      <c r="C73" s="5">
        <v>0</v>
      </c>
      <c r="D73" s="11">
        <v>0</v>
      </c>
      <c r="E73" s="5">
        <v>0</v>
      </c>
      <c r="F73" s="11">
        <v>0</v>
      </c>
      <c r="G73" s="5">
        <v>0</v>
      </c>
      <c r="H73" s="11">
        <v>0</v>
      </c>
      <c r="I73" s="5">
        <v>636</v>
      </c>
      <c r="J73" s="11">
        <v>0</v>
      </c>
      <c r="K73" s="36">
        <f>C73+E73+G73+I73</f>
        <v>636</v>
      </c>
      <c r="L73" s="36">
        <f t="shared" si="8"/>
        <v>636</v>
      </c>
      <c r="R73" s="50">
        <v>40359</v>
      </c>
      <c r="T73">
        <v>191</v>
      </c>
    </row>
    <row r="74" spans="2:20" x14ac:dyDescent="0.25">
      <c r="B74" s="3" t="s">
        <v>82</v>
      </c>
      <c r="C74" s="5">
        <v>1500</v>
      </c>
      <c r="D74" s="11"/>
      <c r="E74" s="5">
        <v>2000</v>
      </c>
      <c r="F74" s="11"/>
      <c r="G74" s="5">
        <v>0</v>
      </c>
      <c r="H74" s="11"/>
      <c r="I74" s="5"/>
      <c r="J74" s="11"/>
      <c r="K74" s="36">
        <f>C74+E74+G74+I74</f>
        <v>3500</v>
      </c>
      <c r="L74" s="36">
        <f t="shared" si="8"/>
        <v>3500</v>
      </c>
      <c r="R74" s="50">
        <v>40724</v>
      </c>
      <c r="T74">
        <v>228</v>
      </c>
    </row>
    <row r="75" spans="2:20" x14ac:dyDescent="0.25">
      <c r="B75" s="3" t="s">
        <v>331</v>
      </c>
      <c r="C75" s="5"/>
      <c r="D75" s="11"/>
      <c r="E75" s="5"/>
      <c r="F75" s="11"/>
      <c r="G75" s="5">
        <v>-5089</v>
      </c>
      <c r="H75" s="11"/>
      <c r="I75" s="5"/>
      <c r="J75" s="11"/>
      <c r="K75" s="36">
        <f>C75+E75+G75+I75</f>
        <v>-5089</v>
      </c>
      <c r="L75" s="36">
        <v>-5089</v>
      </c>
      <c r="R75" s="50"/>
    </row>
    <row r="76" spans="2:20" x14ac:dyDescent="0.25">
      <c r="B76" s="3" t="s">
        <v>85</v>
      </c>
      <c r="C76" s="5"/>
      <c r="D76" s="11">
        <f>C76/K76</f>
        <v>0</v>
      </c>
      <c r="E76" s="5">
        <f>E73*-0.15</f>
        <v>0</v>
      </c>
      <c r="F76" s="11">
        <f>E76/K76</f>
        <v>0</v>
      </c>
      <c r="G76" s="5"/>
      <c r="H76" s="11">
        <f>G76/K76</f>
        <v>0</v>
      </c>
      <c r="I76" s="5">
        <f>I73*-0.15-1</f>
        <v>-96.399999999999991</v>
      </c>
      <c r="J76" s="11">
        <f>I76/K76</f>
        <v>1</v>
      </c>
      <c r="K76" s="36">
        <f>C76+E76+G76+I76</f>
        <v>-96.399999999999991</v>
      </c>
      <c r="L76" s="36">
        <f t="shared" si="8"/>
        <v>-96.399999999999991</v>
      </c>
      <c r="R76" s="50">
        <v>41090</v>
      </c>
      <c r="T76">
        <v>-416</v>
      </c>
    </row>
    <row r="77" spans="2:20" x14ac:dyDescent="0.25">
      <c r="B77" s="3" t="s">
        <v>86</v>
      </c>
      <c r="C77" s="5"/>
      <c r="D77" s="11"/>
      <c r="E77" s="5"/>
      <c r="F77" s="11"/>
      <c r="G77" s="5"/>
      <c r="H77" s="11"/>
      <c r="I77" s="5">
        <v>0</v>
      </c>
      <c r="J77" s="11"/>
      <c r="K77" s="36">
        <f>C77+E77+G77+I77</f>
        <v>0</v>
      </c>
      <c r="L77" s="36">
        <f t="shared" si="8"/>
        <v>0</v>
      </c>
      <c r="R77" s="50">
        <v>41455</v>
      </c>
      <c r="T77">
        <v>1430</v>
      </c>
    </row>
    <row r="78" spans="2:20" x14ac:dyDescent="0.25">
      <c r="B78" s="3" t="s">
        <v>84</v>
      </c>
      <c r="C78" s="36" t="e">
        <f>SUM(C70:C77)</f>
        <v>#REF!</v>
      </c>
      <c r="D78" s="11" t="e">
        <f>C78/K78</f>
        <v>#REF!</v>
      </c>
      <c r="E78" s="36" t="e">
        <f>SUM(E70:E77)</f>
        <v>#REF!</v>
      </c>
      <c r="F78" s="11" t="e">
        <f>E78/K78</f>
        <v>#REF!</v>
      </c>
      <c r="G78" s="36" t="e">
        <f>SUM(G70:G77)</f>
        <v>#REF!</v>
      </c>
      <c r="H78" s="11" t="e">
        <f>G78/K78</f>
        <v>#REF!</v>
      </c>
      <c r="I78" s="36" t="e">
        <f>SUM(I70:I77)</f>
        <v>#REF!</v>
      </c>
      <c r="J78" s="11" t="e">
        <f>I78/K78</f>
        <v>#REF!</v>
      </c>
      <c r="K78" s="36" t="e">
        <f>SUM(K70:K77)</f>
        <v>#REF!</v>
      </c>
      <c r="L78" s="36" t="e">
        <f t="shared" si="8"/>
        <v>#REF!</v>
      </c>
    </row>
    <row r="79" spans="2:20" x14ac:dyDescent="0.25">
      <c r="B79" s="3"/>
      <c r="C79" s="5"/>
      <c r="D79" s="5"/>
      <c r="E79" s="5"/>
      <c r="F79" s="3"/>
      <c r="G79" s="3"/>
      <c r="H79" s="3"/>
      <c r="I79" s="3"/>
      <c r="J79" s="3"/>
      <c r="K79" s="36" t="e">
        <f>C78+E78+G78+I78</f>
        <v>#REF!</v>
      </c>
      <c r="L79" s="3"/>
      <c r="R79" t="s">
        <v>307</v>
      </c>
    </row>
    <row r="80" spans="2:20" x14ac:dyDescent="0.25">
      <c r="R80" s="50">
        <v>39629</v>
      </c>
      <c r="T80">
        <v>0</v>
      </c>
    </row>
    <row r="81" spans="2:24" x14ac:dyDescent="0.25">
      <c r="B81" s="3" t="s">
        <v>363</v>
      </c>
      <c r="C81" s="98" t="s">
        <v>90</v>
      </c>
      <c r="D81" s="98"/>
      <c r="E81" s="98" t="s">
        <v>89</v>
      </c>
      <c r="F81" s="98"/>
      <c r="G81" s="98" t="s">
        <v>91</v>
      </c>
      <c r="H81" s="98"/>
      <c r="I81" s="98" t="s">
        <v>92</v>
      </c>
      <c r="J81" s="98"/>
      <c r="K81" s="98" t="s">
        <v>93</v>
      </c>
      <c r="L81" s="98"/>
      <c r="R81" s="50">
        <v>39994</v>
      </c>
      <c r="T81">
        <v>23</v>
      </c>
    </row>
    <row r="82" spans="2:24" x14ac:dyDescent="0.25">
      <c r="B82" s="3"/>
      <c r="C82" s="3"/>
      <c r="D82" s="3"/>
      <c r="E82" s="3"/>
      <c r="F82" s="3"/>
      <c r="G82" s="3"/>
      <c r="H82" s="3"/>
      <c r="I82" s="3"/>
      <c r="J82" s="3"/>
      <c r="K82" s="3"/>
      <c r="L82" s="3"/>
      <c r="R82" s="50">
        <v>40359</v>
      </c>
      <c r="T82">
        <v>0</v>
      </c>
    </row>
    <row r="83" spans="2:24" x14ac:dyDescent="0.25">
      <c r="B83" s="3" t="s">
        <v>79</v>
      </c>
      <c r="C83" s="5" t="e">
        <f>C78</f>
        <v>#REF!</v>
      </c>
      <c r="D83" s="11" t="e">
        <f>C83/K83</f>
        <v>#REF!</v>
      </c>
      <c r="E83" s="5" t="e">
        <f>E78</f>
        <v>#REF!</v>
      </c>
      <c r="F83" s="11" t="e">
        <f>E83/K83</f>
        <v>#REF!</v>
      </c>
      <c r="G83" s="5" t="e">
        <f>G78</f>
        <v>#REF!</v>
      </c>
      <c r="H83" s="11" t="e">
        <f>G83/K83</f>
        <v>#REF!</v>
      </c>
      <c r="I83" s="5" t="e">
        <f>I78</f>
        <v>#REF!</v>
      </c>
      <c r="J83" s="11" t="e">
        <f>I83/K83</f>
        <v>#REF!</v>
      </c>
      <c r="K83" s="36" t="e">
        <f>C83+E83+G83+I83</f>
        <v>#REF!</v>
      </c>
      <c r="L83" s="36" t="e">
        <f>C83+E83+G83+I83</f>
        <v>#REF!</v>
      </c>
      <c r="R83" s="50">
        <v>40724</v>
      </c>
      <c r="T83">
        <v>11</v>
      </c>
    </row>
    <row r="84" spans="2:24" x14ac:dyDescent="0.25">
      <c r="B84" s="3" t="s">
        <v>80</v>
      </c>
      <c r="C84" s="5" t="e">
        <f>K84*D84</f>
        <v>#REF!</v>
      </c>
      <c r="D84" s="11" t="e">
        <f>D83</f>
        <v>#REF!</v>
      </c>
      <c r="E84" s="5" t="e">
        <f>F84*K84</f>
        <v>#REF!</v>
      </c>
      <c r="F84" s="11" t="e">
        <f>F83</f>
        <v>#REF!</v>
      </c>
      <c r="G84" s="5" t="e">
        <f>H84*K84</f>
        <v>#REF!</v>
      </c>
      <c r="H84" s="11" t="e">
        <f>H83</f>
        <v>#REF!</v>
      </c>
      <c r="I84" s="5" t="e">
        <f>K84*J84</f>
        <v>#REF!</v>
      </c>
      <c r="J84" s="11" t="e">
        <f>J83</f>
        <v>#REF!</v>
      </c>
      <c r="K84" s="36">
        <f>25927-619</f>
        <v>25308</v>
      </c>
      <c r="L84" s="36" t="e">
        <f>C84+E84+G84+I84</f>
        <v>#REF!</v>
      </c>
      <c r="R84" s="50">
        <v>41090</v>
      </c>
      <c r="T84">
        <v>97</v>
      </c>
    </row>
    <row r="85" spans="2:24" x14ac:dyDescent="0.25">
      <c r="B85" s="3" t="s">
        <v>81</v>
      </c>
      <c r="C85" s="5" t="e">
        <f>K85*D85</f>
        <v>#REF!</v>
      </c>
      <c r="D85" s="11" t="e">
        <f>D83</f>
        <v>#REF!</v>
      </c>
      <c r="E85" s="5" t="e">
        <f>K85*F85</f>
        <v>#REF!</v>
      </c>
      <c r="F85" s="11" t="e">
        <f>F83</f>
        <v>#REF!</v>
      </c>
      <c r="G85" s="5" t="e">
        <f>K85*H85</f>
        <v>#REF!</v>
      </c>
      <c r="H85" s="11" t="e">
        <f>H83</f>
        <v>#REF!</v>
      </c>
      <c r="I85" s="5" t="e">
        <f>K85*J85</f>
        <v>#REF!</v>
      </c>
      <c r="J85" s="11" t="e">
        <f>J83</f>
        <v>#REF!</v>
      </c>
      <c r="K85" s="36">
        <f>8607+94</f>
        <v>8701</v>
      </c>
      <c r="L85" s="36" t="e">
        <f t="shared" ref="L85:L87" si="9">C85+E85+G85+I85</f>
        <v>#REF!</v>
      </c>
      <c r="R85" s="50">
        <v>41455</v>
      </c>
      <c r="T85">
        <v>-26</v>
      </c>
    </row>
    <row r="86" spans="2:24" x14ac:dyDescent="0.25">
      <c r="B86" s="3" t="s">
        <v>83</v>
      </c>
      <c r="C86" s="5">
        <v>0</v>
      </c>
      <c r="D86" s="11">
        <v>0</v>
      </c>
      <c r="E86" s="5">
        <v>0</v>
      </c>
      <c r="F86" s="11">
        <v>0</v>
      </c>
      <c r="G86" s="5">
        <v>0</v>
      </c>
      <c r="H86" s="11">
        <v>0</v>
      </c>
      <c r="I86" s="5">
        <v>619</v>
      </c>
      <c r="J86" s="11">
        <v>0</v>
      </c>
      <c r="K86" s="36">
        <f>C86+E86+G86+I86</f>
        <v>619</v>
      </c>
      <c r="L86" s="36">
        <f t="shared" si="9"/>
        <v>619</v>
      </c>
    </row>
    <row r="87" spans="2:24" x14ac:dyDescent="0.25">
      <c r="B87" s="3" t="s">
        <v>364</v>
      </c>
      <c r="C87" s="5">
        <v>5021</v>
      </c>
      <c r="D87" s="11"/>
      <c r="E87" s="5">
        <v>0</v>
      </c>
      <c r="F87" s="11"/>
      <c r="G87" s="5">
        <v>0</v>
      </c>
      <c r="H87" s="11"/>
      <c r="I87" s="5"/>
      <c r="J87" s="11"/>
      <c r="K87" s="36">
        <f>C87+E87+G87+I87</f>
        <v>5021</v>
      </c>
      <c r="L87" s="36">
        <f t="shared" si="9"/>
        <v>5021</v>
      </c>
    </row>
    <row r="88" spans="2:24" x14ac:dyDescent="0.25">
      <c r="B88" s="3" t="s">
        <v>331</v>
      </c>
      <c r="C88" s="5"/>
      <c r="D88" s="11"/>
      <c r="E88" s="5"/>
      <c r="F88" s="11"/>
      <c r="G88" s="5">
        <v>-5250</v>
      </c>
      <c r="H88" s="11"/>
      <c r="I88" s="5"/>
      <c r="J88" s="11"/>
      <c r="K88" s="36">
        <f>C88+E88+G88+I88</f>
        <v>-5250</v>
      </c>
      <c r="L88" s="36">
        <v>-5089</v>
      </c>
      <c r="R88" t="s">
        <v>308</v>
      </c>
      <c r="W88" s="50">
        <v>39629</v>
      </c>
      <c r="X88">
        <f>T56</f>
        <v>1000</v>
      </c>
    </row>
    <row r="89" spans="2:24" x14ac:dyDescent="0.25">
      <c r="B89" s="3" t="s">
        <v>85</v>
      </c>
      <c r="C89" s="5"/>
      <c r="D89" s="11">
        <f>C89/K89</f>
        <v>0</v>
      </c>
      <c r="E89" s="5">
        <f>E86*-0.15</f>
        <v>0</v>
      </c>
      <c r="F89" s="11">
        <f>E89/K89</f>
        <v>0</v>
      </c>
      <c r="G89" s="5"/>
      <c r="H89" s="11">
        <f>G89/K89</f>
        <v>0</v>
      </c>
      <c r="I89" s="5">
        <f>I86*-0.15-1</f>
        <v>-93.85</v>
      </c>
      <c r="J89" s="11">
        <f>I89/K89</f>
        <v>1</v>
      </c>
      <c r="K89" s="36">
        <f>C89+E89+G89+I89</f>
        <v>-93.85</v>
      </c>
      <c r="L89" s="36">
        <f t="shared" ref="L89:L91" si="10">C89+E89+G89+I89</f>
        <v>-93.85</v>
      </c>
      <c r="R89" s="50">
        <v>40359</v>
      </c>
      <c r="W89" s="50">
        <v>39994</v>
      </c>
      <c r="X89">
        <f>X88+T72+T81+T57</f>
        <v>1897</v>
      </c>
    </row>
    <row r="90" spans="2:24" x14ac:dyDescent="0.25">
      <c r="B90" s="3" t="s">
        <v>86</v>
      </c>
      <c r="C90" s="5"/>
      <c r="D90" s="11"/>
      <c r="E90" s="5"/>
      <c r="F90" s="11"/>
      <c r="G90" s="5"/>
      <c r="H90" s="11"/>
      <c r="I90" s="5">
        <v>0</v>
      </c>
      <c r="J90" s="11"/>
      <c r="K90" s="36">
        <f>C90+E90+G90+I90</f>
        <v>0</v>
      </c>
      <c r="L90" s="36">
        <f t="shared" si="10"/>
        <v>0</v>
      </c>
      <c r="R90" s="50">
        <v>40724</v>
      </c>
      <c r="W90" s="50">
        <v>40359</v>
      </c>
      <c r="X90">
        <f>X89+T58+T73+T82+T89</f>
        <v>3088</v>
      </c>
    </row>
    <row r="91" spans="2:24" x14ac:dyDescent="0.25">
      <c r="B91" s="3" t="s">
        <v>84</v>
      </c>
      <c r="C91" s="36" t="e">
        <f>SUM(C83:C90)</f>
        <v>#REF!</v>
      </c>
      <c r="D91" s="11" t="e">
        <f>C91/K91</f>
        <v>#REF!</v>
      </c>
      <c r="E91" s="36" t="e">
        <f>SUM(E83:E90)</f>
        <v>#REF!</v>
      </c>
      <c r="F91" s="11" t="e">
        <f>E91/K91</f>
        <v>#REF!</v>
      </c>
      <c r="G91" s="36" t="e">
        <f>SUM(G83:G90)</f>
        <v>#REF!</v>
      </c>
      <c r="H91" s="11" t="e">
        <f>G91/K91</f>
        <v>#REF!</v>
      </c>
      <c r="I91" s="36" t="e">
        <f>SUM(I83:I90)</f>
        <v>#REF!</v>
      </c>
      <c r="J91" s="11" t="e">
        <f>I91/K91</f>
        <v>#REF!</v>
      </c>
      <c r="K91" s="36" t="e">
        <f>SUM(K83:K90)</f>
        <v>#REF!</v>
      </c>
      <c r="L91" s="36" t="e">
        <f t="shared" si="10"/>
        <v>#REF!</v>
      </c>
      <c r="R91" s="50">
        <v>41090</v>
      </c>
      <c r="T91">
        <v>-5</v>
      </c>
      <c r="W91" s="50">
        <v>40724</v>
      </c>
      <c r="X91">
        <f>X90+T59+T63+T74+T83+T90</f>
        <v>5327</v>
      </c>
    </row>
    <row r="92" spans="2:24" x14ac:dyDescent="0.25">
      <c r="B92" s="3"/>
      <c r="C92" s="5"/>
      <c r="D92" s="5"/>
      <c r="E92" s="5"/>
      <c r="F92" s="3"/>
      <c r="G92" s="3"/>
      <c r="H92" s="3"/>
      <c r="I92" s="3"/>
      <c r="J92" s="3"/>
      <c r="K92" s="36" t="e">
        <f>C91+E91+G91+I91</f>
        <v>#REF!</v>
      </c>
      <c r="L92" s="3"/>
      <c r="R92" s="50">
        <v>41455</v>
      </c>
      <c r="T92">
        <v>-1</v>
      </c>
      <c r="W92" s="50">
        <v>41090</v>
      </c>
      <c r="X92">
        <f>X91+T60+T64+T67+T76+T84+T91</f>
        <v>7009.75</v>
      </c>
    </row>
    <row r="93" spans="2:24" x14ac:dyDescent="0.25">
      <c r="W93" s="50">
        <v>41455</v>
      </c>
      <c r="X93">
        <f>X92+T68+T77+T85+T92</f>
        <v>8445.15</v>
      </c>
    </row>
    <row r="94" spans="2:24" x14ac:dyDescent="0.25">
      <c r="B94" s="3" t="s">
        <v>389</v>
      </c>
      <c r="C94" s="98" t="s">
        <v>90</v>
      </c>
      <c r="D94" s="98"/>
      <c r="E94" s="98" t="s">
        <v>89</v>
      </c>
      <c r="F94" s="98"/>
      <c r="G94" s="98" t="s">
        <v>91</v>
      </c>
      <c r="H94" s="98"/>
      <c r="I94" s="98" t="s">
        <v>92</v>
      </c>
      <c r="J94" s="98"/>
      <c r="K94" s="98" t="s">
        <v>93</v>
      </c>
      <c r="L94" s="98"/>
      <c r="T94">
        <f>SUM(T56:T92)</f>
        <v>8445.15</v>
      </c>
    </row>
    <row r="95" spans="2:24" x14ac:dyDescent="0.25">
      <c r="B95" s="3"/>
      <c r="C95" s="3"/>
      <c r="D95" s="3"/>
      <c r="E95" s="3"/>
      <c r="F95" s="3"/>
      <c r="G95" s="3"/>
      <c r="H95" s="3"/>
      <c r="I95" s="3"/>
      <c r="J95" s="3"/>
      <c r="K95" s="3"/>
      <c r="L95" s="3"/>
    </row>
    <row r="96" spans="2:24" x14ac:dyDescent="0.25">
      <c r="B96" s="3" t="s">
        <v>79</v>
      </c>
      <c r="C96" s="5" t="e">
        <f>C91</f>
        <v>#REF!</v>
      </c>
      <c r="D96" s="11" t="e">
        <f>C96/K96</f>
        <v>#REF!</v>
      </c>
      <c r="E96" s="5" t="e">
        <f>E91</f>
        <v>#REF!</v>
      </c>
      <c r="F96" s="11" t="e">
        <f>E96/K96</f>
        <v>#REF!</v>
      </c>
      <c r="G96" s="5" t="e">
        <f>G91</f>
        <v>#REF!</v>
      </c>
      <c r="H96" s="11" t="e">
        <f>G96/K96</f>
        <v>#REF!</v>
      </c>
      <c r="I96" s="5" t="e">
        <f>I91</f>
        <v>#REF!</v>
      </c>
      <c r="J96" s="11" t="e">
        <f>I96/K96</f>
        <v>#REF!</v>
      </c>
      <c r="K96" s="36" t="e">
        <f>C96+E96+G96+I96</f>
        <v>#REF!</v>
      </c>
      <c r="L96" s="36" t="e">
        <f>C96+E96+G96+I96</f>
        <v>#REF!</v>
      </c>
    </row>
    <row r="97" spans="2:12" x14ac:dyDescent="0.25">
      <c r="B97" s="3" t="s">
        <v>80</v>
      </c>
      <c r="C97" s="5" t="e">
        <f>K97*D97</f>
        <v>#REF!</v>
      </c>
      <c r="D97" s="11" t="e">
        <f>D96</f>
        <v>#REF!</v>
      </c>
      <c r="E97" s="5" t="e">
        <f>F97*K97</f>
        <v>#REF!</v>
      </c>
      <c r="F97" s="11" t="e">
        <f>F96</f>
        <v>#REF!</v>
      </c>
      <c r="G97" s="5" t="e">
        <f>H97*K97</f>
        <v>#REF!</v>
      </c>
      <c r="H97" s="11" t="e">
        <f>H96</f>
        <v>#REF!</v>
      </c>
      <c r="I97" s="5" t="e">
        <f>K97*J97</f>
        <v>#REF!</v>
      </c>
      <c r="J97" s="11" t="e">
        <f>J96</f>
        <v>#REF!</v>
      </c>
      <c r="K97" s="36" t="e">
        <f>#REF!-#REF!</f>
        <v>#REF!</v>
      </c>
      <c r="L97" s="36" t="e">
        <f>C97+E97+G97+I97</f>
        <v>#REF!</v>
      </c>
    </row>
    <row r="98" spans="2:12" x14ac:dyDescent="0.25">
      <c r="B98" s="3" t="s">
        <v>81</v>
      </c>
      <c r="C98" s="5" t="e">
        <f>K98*D98</f>
        <v>#REF!</v>
      </c>
      <c r="D98" s="11" t="e">
        <f>D96</f>
        <v>#REF!</v>
      </c>
      <c r="E98" s="5" t="e">
        <f>K98*F98</f>
        <v>#REF!</v>
      </c>
      <c r="F98" s="11" t="e">
        <f>F96</f>
        <v>#REF!</v>
      </c>
      <c r="G98" s="5" t="e">
        <f>K98*H98</f>
        <v>#REF!</v>
      </c>
      <c r="H98" s="11" t="e">
        <f>H96</f>
        <v>#REF!</v>
      </c>
      <c r="I98" s="5" t="e">
        <f>K98*J98</f>
        <v>#REF!</v>
      </c>
      <c r="J98" s="11" t="e">
        <f>J96</f>
        <v>#REF!</v>
      </c>
      <c r="K98" s="36">
        <v>8630</v>
      </c>
      <c r="L98" s="36" t="e">
        <f t="shared" ref="L98:L100" si="11">C98+E98+G98+I98</f>
        <v>#REF!</v>
      </c>
    </row>
    <row r="99" spans="2:12" x14ac:dyDescent="0.25">
      <c r="B99" s="3" t="s">
        <v>83</v>
      </c>
      <c r="C99" s="5" t="e">
        <f>#REF!</f>
        <v>#REF!</v>
      </c>
      <c r="D99" s="11">
        <v>0</v>
      </c>
      <c r="E99" s="5">
        <v>0</v>
      </c>
      <c r="F99" s="11">
        <v>0</v>
      </c>
      <c r="G99" s="5">
        <v>0</v>
      </c>
      <c r="H99" s="11">
        <v>0</v>
      </c>
      <c r="I99" s="5">
        <v>943</v>
      </c>
      <c r="J99" s="11">
        <v>0</v>
      </c>
      <c r="K99" s="36" t="e">
        <f>C99+E99+G99+I99</f>
        <v>#REF!</v>
      </c>
      <c r="L99" s="36" t="e">
        <f t="shared" si="11"/>
        <v>#REF!</v>
      </c>
    </row>
    <row r="100" spans="2:12" x14ac:dyDescent="0.25">
      <c r="B100" s="3" t="s">
        <v>364</v>
      </c>
      <c r="C100" s="5">
        <v>0</v>
      </c>
      <c r="D100" s="11"/>
      <c r="E100" s="5">
        <v>0</v>
      </c>
      <c r="F100" s="11"/>
      <c r="G100" s="5">
        <v>0</v>
      </c>
      <c r="H100" s="11"/>
      <c r="I100" s="5"/>
      <c r="J100" s="11"/>
      <c r="K100" s="36">
        <f>C100+E100+G100+I100</f>
        <v>0</v>
      </c>
      <c r="L100" s="36">
        <f t="shared" si="11"/>
        <v>0</v>
      </c>
    </row>
    <row r="101" spans="2:12" x14ac:dyDescent="0.25">
      <c r="B101" s="3" t="s">
        <v>331</v>
      </c>
      <c r="C101" s="5"/>
      <c r="D101" s="11"/>
      <c r="E101" s="5"/>
      <c r="F101" s="11"/>
      <c r="G101" s="5">
        <v>-4310</v>
      </c>
      <c r="H101" s="11"/>
      <c r="I101" s="5"/>
      <c r="J101" s="11"/>
      <c r="K101" s="36">
        <f>C101+E101+G101+I101</f>
        <v>-4310</v>
      </c>
      <c r="L101" s="36">
        <v>-5089</v>
      </c>
    </row>
    <row r="102" spans="2:12" x14ac:dyDescent="0.25">
      <c r="B102" s="3" t="s">
        <v>85</v>
      </c>
      <c r="C102" s="5" t="e">
        <f>C99*-0.15</f>
        <v>#REF!</v>
      </c>
      <c r="D102" s="11" t="e">
        <f>C102/K102</f>
        <v>#REF!</v>
      </c>
      <c r="E102" s="5">
        <f>E99*-0.15</f>
        <v>0</v>
      </c>
      <c r="F102" s="11" t="e">
        <f>E102/K102</f>
        <v>#REF!</v>
      </c>
      <c r="G102" s="5"/>
      <c r="H102" s="11" t="e">
        <f>G102/K102</f>
        <v>#REF!</v>
      </c>
      <c r="I102" s="5">
        <f>I99*-0.15-1</f>
        <v>-142.44999999999999</v>
      </c>
      <c r="J102" s="11" t="e">
        <f>I102/K102</f>
        <v>#REF!</v>
      </c>
      <c r="K102" s="36" t="e">
        <f>C102+E102+G102+I102</f>
        <v>#REF!</v>
      </c>
      <c r="L102" s="36" t="e">
        <f t="shared" ref="L102:L104" si="12">C102+E102+G102+I102</f>
        <v>#REF!</v>
      </c>
    </row>
    <row r="103" spans="2:12" x14ac:dyDescent="0.25">
      <c r="B103" s="3" t="s">
        <v>86</v>
      </c>
      <c r="C103" s="5"/>
      <c r="D103" s="11"/>
      <c r="E103" s="5"/>
      <c r="F103" s="11"/>
      <c r="G103" s="5"/>
      <c r="H103" s="11"/>
      <c r="I103" s="5">
        <v>0</v>
      </c>
      <c r="J103" s="11"/>
      <c r="K103" s="36">
        <f>C103+E103+G103+I103</f>
        <v>0</v>
      </c>
      <c r="L103" s="36">
        <f t="shared" si="12"/>
        <v>0</v>
      </c>
    </row>
    <row r="104" spans="2:12" x14ac:dyDescent="0.25">
      <c r="B104" s="3" t="s">
        <v>84</v>
      </c>
      <c r="C104" s="36" t="e">
        <f>SUM(C96:C103)</f>
        <v>#REF!</v>
      </c>
      <c r="D104" s="11" t="e">
        <f>C104/K104</f>
        <v>#REF!</v>
      </c>
      <c r="E104" s="36" t="e">
        <f>SUM(E96:E103)</f>
        <v>#REF!</v>
      </c>
      <c r="F104" s="11" t="e">
        <f>E104/K104</f>
        <v>#REF!</v>
      </c>
      <c r="G104" s="36" t="e">
        <f>SUM(G96:G103)</f>
        <v>#REF!</v>
      </c>
      <c r="H104" s="11" t="e">
        <f>G104/K104</f>
        <v>#REF!</v>
      </c>
      <c r="I104" s="36" t="e">
        <f>SUM(I96:I103)</f>
        <v>#REF!</v>
      </c>
      <c r="J104" s="11" t="e">
        <f>I104/K104</f>
        <v>#REF!</v>
      </c>
      <c r="K104" s="36" t="e">
        <f>SUM(K96:K103)</f>
        <v>#REF!</v>
      </c>
      <c r="L104" s="36" t="e">
        <f t="shared" si="12"/>
        <v>#REF!</v>
      </c>
    </row>
    <row r="105" spans="2:12" x14ac:dyDescent="0.25">
      <c r="B105" s="3"/>
      <c r="C105" s="5"/>
      <c r="D105" s="5"/>
      <c r="E105" s="5"/>
      <c r="F105" s="3"/>
      <c r="G105" s="3"/>
      <c r="H105" s="3"/>
      <c r="I105" s="3"/>
      <c r="J105" s="3"/>
      <c r="K105" s="36" t="e">
        <f>C104+E104+G104+I104</f>
        <v>#REF!</v>
      </c>
      <c r="L105" s="3"/>
    </row>
    <row r="107" spans="2:12" x14ac:dyDescent="0.25">
      <c r="B107" s="3" t="s">
        <v>407</v>
      </c>
      <c r="C107" s="98" t="s">
        <v>90</v>
      </c>
      <c r="D107" s="98"/>
      <c r="E107" s="98" t="s">
        <v>89</v>
      </c>
      <c r="F107" s="98"/>
      <c r="G107" s="98" t="s">
        <v>91</v>
      </c>
      <c r="H107" s="98"/>
      <c r="I107" s="98" t="s">
        <v>92</v>
      </c>
      <c r="J107" s="98"/>
      <c r="K107" s="98" t="s">
        <v>93</v>
      </c>
      <c r="L107" s="98"/>
    </row>
    <row r="108" spans="2:12" x14ac:dyDescent="0.25">
      <c r="B108" s="3"/>
      <c r="C108" s="3"/>
      <c r="D108" s="3"/>
      <c r="E108" s="3"/>
      <c r="F108" s="3"/>
      <c r="G108" s="3"/>
      <c r="H108" s="3"/>
      <c r="I108" s="3"/>
      <c r="J108" s="3"/>
      <c r="K108" s="3"/>
      <c r="L108" s="3"/>
    </row>
    <row r="109" spans="2:12" x14ac:dyDescent="0.25">
      <c r="B109" s="3" t="s">
        <v>79</v>
      </c>
      <c r="C109" s="5" t="e">
        <f>C104</f>
        <v>#REF!</v>
      </c>
      <c r="D109" s="11" t="e">
        <f>C109/K109</f>
        <v>#REF!</v>
      </c>
      <c r="E109" s="5" t="e">
        <f>E104</f>
        <v>#REF!</v>
      </c>
      <c r="F109" s="11" t="e">
        <f>E109/K109</f>
        <v>#REF!</v>
      </c>
      <c r="G109" s="5" t="e">
        <f>G104</f>
        <v>#REF!</v>
      </c>
      <c r="H109" s="11" t="e">
        <f>G109/K109</f>
        <v>#REF!</v>
      </c>
      <c r="I109" s="5" t="e">
        <f>I104</f>
        <v>#REF!</v>
      </c>
      <c r="J109" s="11" t="e">
        <f>I109/K109</f>
        <v>#REF!</v>
      </c>
      <c r="K109" s="36" t="e">
        <f>C109+E109+G109+I109</f>
        <v>#REF!</v>
      </c>
      <c r="L109" s="36" t="e">
        <f>C109+E109+G109+I109</f>
        <v>#REF!</v>
      </c>
    </row>
    <row r="110" spans="2:12" x14ac:dyDescent="0.25">
      <c r="B110" s="3" t="s">
        <v>80</v>
      </c>
      <c r="C110" s="5" t="e">
        <f>K110*D110</f>
        <v>#REF!</v>
      </c>
      <c r="D110" s="11" t="e">
        <f>D109</f>
        <v>#REF!</v>
      </c>
      <c r="E110" s="5" t="e">
        <f>F110*K110</f>
        <v>#REF!</v>
      </c>
      <c r="F110" s="11" t="e">
        <f>F109</f>
        <v>#REF!</v>
      </c>
      <c r="G110" s="5" t="e">
        <f>H110*K110</f>
        <v>#REF!</v>
      </c>
      <c r="H110" s="11" t="e">
        <f>H109</f>
        <v>#REF!</v>
      </c>
      <c r="I110" s="5" t="e">
        <f>K110*J110</f>
        <v>#REF!</v>
      </c>
      <c r="J110" s="11" t="e">
        <f>J109</f>
        <v>#REF!</v>
      </c>
      <c r="K110" s="36" t="e">
        <f>#REF!-#REF!</f>
        <v>#REF!</v>
      </c>
      <c r="L110" s="36" t="e">
        <f>C110+E110+G110+I110</f>
        <v>#REF!</v>
      </c>
    </row>
    <row r="111" spans="2:12" x14ac:dyDescent="0.25">
      <c r="B111" s="3" t="s">
        <v>81</v>
      </c>
      <c r="C111" s="5" t="e">
        <f>K111*D111</f>
        <v>#REF!</v>
      </c>
      <c r="D111" s="11" t="e">
        <f>D109</f>
        <v>#REF!</v>
      </c>
      <c r="E111" s="5" t="e">
        <f>K111*F111</f>
        <v>#REF!</v>
      </c>
      <c r="F111" s="11" t="e">
        <f>F109</f>
        <v>#REF!</v>
      </c>
      <c r="G111" s="5" t="e">
        <f>K111*H111</f>
        <v>#REF!</v>
      </c>
      <c r="H111" s="11" t="e">
        <f>H109</f>
        <v>#REF!</v>
      </c>
      <c r="I111" s="5" t="e">
        <f>K111*J111</f>
        <v>#REF!</v>
      </c>
      <c r="J111" s="11" t="e">
        <f>J109</f>
        <v>#REF!</v>
      </c>
      <c r="K111" s="36" t="e">
        <f>#REF!-K115</f>
        <v>#REF!</v>
      </c>
      <c r="L111" s="36" t="e">
        <f t="shared" ref="L111:L113" si="13">C111+E111+G111+I111</f>
        <v>#REF!</v>
      </c>
    </row>
    <row r="112" spans="2:12" x14ac:dyDescent="0.25">
      <c r="B112" s="3" t="s">
        <v>83</v>
      </c>
      <c r="C112" s="5" t="e">
        <f>#REF!</f>
        <v>#REF!</v>
      </c>
      <c r="D112" s="11">
        <v>0</v>
      </c>
      <c r="E112" s="5">
        <v>0</v>
      </c>
      <c r="F112" s="11">
        <v>0</v>
      </c>
      <c r="G112" s="5">
        <v>0</v>
      </c>
      <c r="H112" s="11">
        <v>0</v>
      </c>
      <c r="I112" s="5">
        <v>0</v>
      </c>
      <c r="J112" s="11">
        <v>0</v>
      </c>
      <c r="K112" s="36" t="e">
        <f>C112+E112+G112+I112</f>
        <v>#REF!</v>
      </c>
      <c r="L112" s="36" t="e">
        <f t="shared" si="13"/>
        <v>#REF!</v>
      </c>
    </row>
    <row r="113" spans="2:12" ht="30" x14ac:dyDescent="0.25">
      <c r="B113" s="173" t="s">
        <v>408</v>
      </c>
      <c r="C113" s="5">
        <v>0</v>
      </c>
      <c r="D113" s="11"/>
      <c r="E113" s="5">
        <v>0</v>
      </c>
      <c r="F113" s="11"/>
      <c r="G113" s="5">
        <v>0</v>
      </c>
      <c r="H113" s="11"/>
      <c r="I113" s="5" t="e">
        <f>#REF!</f>
        <v>#REF!</v>
      </c>
      <c r="J113" s="11"/>
      <c r="K113" s="36" t="e">
        <f>C113+E113+G113+I113</f>
        <v>#REF!</v>
      </c>
      <c r="L113" s="36" t="e">
        <f t="shared" si="13"/>
        <v>#REF!</v>
      </c>
    </row>
    <row r="114" spans="2:12" x14ac:dyDescent="0.25">
      <c r="B114" s="3" t="s">
        <v>331</v>
      </c>
      <c r="C114" s="5"/>
      <c r="D114" s="11"/>
      <c r="E114" s="5"/>
      <c r="F114" s="11"/>
      <c r="G114" s="5">
        <v>-4192</v>
      </c>
      <c r="H114" s="11"/>
      <c r="I114" s="5"/>
      <c r="J114" s="11"/>
      <c r="K114" s="36">
        <f>C114+E114+G114+I114</f>
        <v>-4192</v>
      </c>
      <c r="L114" s="36">
        <v>-5089</v>
      </c>
    </row>
    <row r="115" spans="2:12" x14ac:dyDescent="0.25">
      <c r="B115" s="3" t="s">
        <v>85</v>
      </c>
      <c r="C115" s="5" t="e">
        <f>C112*-0.15</f>
        <v>#REF!</v>
      </c>
      <c r="D115" s="11" t="e">
        <f>C115/K115</f>
        <v>#REF!</v>
      </c>
      <c r="E115" s="5">
        <f>E112*-0.15</f>
        <v>0</v>
      </c>
      <c r="F115" s="11" t="e">
        <f>E115/K115</f>
        <v>#REF!</v>
      </c>
      <c r="G115" s="5"/>
      <c r="H115" s="11" t="e">
        <f>G115/K115</f>
        <v>#REF!</v>
      </c>
      <c r="I115" s="5">
        <v>0</v>
      </c>
      <c r="J115" s="11" t="e">
        <f>I115/K115</f>
        <v>#REF!</v>
      </c>
      <c r="K115" s="36" t="e">
        <f>C115+E115+G115+I115</f>
        <v>#REF!</v>
      </c>
      <c r="L115" s="36" t="e">
        <f t="shared" ref="L115:L117" si="14">C115+E115+G115+I115</f>
        <v>#REF!</v>
      </c>
    </row>
    <row r="116" spans="2:12" x14ac:dyDescent="0.25">
      <c r="B116" s="3" t="s">
        <v>86</v>
      </c>
      <c r="C116" s="5"/>
      <c r="D116" s="11"/>
      <c r="E116" s="5"/>
      <c r="F116" s="11"/>
      <c r="G116" s="5"/>
      <c r="H116" s="11"/>
      <c r="I116" s="5">
        <v>0</v>
      </c>
      <c r="J116" s="11"/>
      <c r="K116" s="36">
        <f>C116+E116+G116+I116</f>
        <v>0</v>
      </c>
      <c r="L116" s="36">
        <f t="shared" si="14"/>
        <v>0</v>
      </c>
    </row>
    <row r="117" spans="2:12" x14ac:dyDescent="0.25">
      <c r="B117" s="3" t="s">
        <v>84</v>
      </c>
      <c r="C117" s="36" t="e">
        <f>SUM(C109:C116)</f>
        <v>#REF!</v>
      </c>
      <c r="D117" s="11" t="e">
        <f>C117/K117</f>
        <v>#REF!</v>
      </c>
      <c r="E117" s="36" t="e">
        <f>SUM(E109:E116)</f>
        <v>#REF!</v>
      </c>
      <c r="F117" s="11" t="e">
        <f>E117/K117</f>
        <v>#REF!</v>
      </c>
      <c r="G117" s="36" t="e">
        <f>SUM(G109:G116)</f>
        <v>#REF!</v>
      </c>
      <c r="H117" s="11" t="e">
        <f>G117/K117</f>
        <v>#REF!</v>
      </c>
      <c r="I117" s="36" t="e">
        <f>SUM(I109:I116)</f>
        <v>#REF!</v>
      </c>
      <c r="J117" s="11" t="e">
        <f>I117/K117</f>
        <v>#REF!</v>
      </c>
      <c r="K117" s="36" t="e">
        <f>SUM(K109:K116)</f>
        <v>#REF!</v>
      </c>
      <c r="L117" s="36" t="e">
        <f t="shared" si="14"/>
        <v>#REF!</v>
      </c>
    </row>
    <row r="118" spans="2:12" x14ac:dyDescent="0.25">
      <c r="B118" s="3"/>
      <c r="C118" s="5"/>
      <c r="D118" s="5"/>
      <c r="E118" s="5"/>
      <c r="F118" s="3"/>
      <c r="G118" s="3"/>
      <c r="H118" s="3"/>
      <c r="I118" s="3"/>
      <c r="J118" s="3"/>
      <c r="K118" s="36" t="e">
        <f>C117+E117+G117+I117</f>
        <v>#REF!</v>
      </c>
      <c r="L118" s="3"/>
    </row>
    <row r="120" spans="2:12" x14ac:dyDescent="0.25">
      <c r="B120" s="3" t="s">
        <v>445</v>
      </c>
      <c r="C120" s="98" t="s">
        <v>90</v>
      </c>
      <c r="D120" s="98"/>
      <c r="E120" s="98" t="s">
        <v>89</v>
      </c>
      <c r="F120" s="98"/>
      <c r="G120" s="98" t="s">
        <v>91</v>
      </c>
      <c r="H120" s="98"/>
      <c r="I120" s="98" t="s">
        <v>92</v>
      </c>
      <c r="J120" s="98"/>
      <c r="K120" s="98" t="s">
        <v>93</v>
      </c>
      <c r="L120" s="98"/>
    </row>
    <row r="121" spans="2:12" x14ac:dyDescent="0.25">
      <c r="B121" s="3"/>
      <c r="C121" s="3"/>
      <c r="D121" s="3"/>
      <c r="E121" s="3"/>
      <c r="F121" s="3"/>
      <c r="G121" s="3"/>
      <c r="H121" s="3"/>
      <c r="I121" s="3"/>
      <c r="J121" s="3"/>
      <c r="K121" s="3"/>
      <c r="L121" s="3"/>
    </row>
    <row r="122" spans="2:12" x14ac:dyDescent="0.25">
      <c r="B122" s="3" t="s">
        <v>79</v>
      </c>
      <c r="C122" s="5" t="e">
        <f>C117</f>
        <v>#REF!</v>
      </c>
      <c r="D122" s="11" t="e">
        <f>C122/K122</f>
        <v>#REF!</v>
      </c>
      <c r="E122" s="5" t="e">
        <f>E117</f>
        <v>#REF!</v>
      </c>
      <c r="F122" s="11" t="e">
        <f>E122/K122</f>
        <v>#REF!</v>
      </c>
      <c r="G122" s="5" t="e">
        <f>G117</f>
        <v>#REF!</v>
      </c>
      <c r="H122" s="11" t="e">
        <f>G122/K122</f>
        <v>#REF!</v>
      </c>
      <c r="I122" s="5" t="e">
        <f>I117</f>
        <v>#REF!</v>
      </c>
      <c r="J122" s="11" t="e">
        <f>I122/K122</f>
        <v>#REF!</v>
      </c>
      <c r="K122" s="36" t="e">
        <f>C122+E122+G122+I122</f>
        <v>#REF!</v>
      </c>
      <c r="L122" s="36" t="e">
        <f>C122+E122+G122+I122</f>
        <v>#REF!</v>
      </c>
    </row>
    <row r="123" spans="2:12" x14ac:dyDescent="0.25">
      <c r="B123" s="3" t="s">
        <v>80</v>
      </c>
      <c r="C123" s="5" t="e">
        <f>K123*D123</f>
        <v>#REF!</v>
      </c>
      <c r="D123" s="11" t="e">
        <f>D122</f>
        <v>#REF!</v>
      </c>
      <c r="E123" s="5" t="e">
        <f>F123*K123</f>
        <v>#REF!</v>
      </c>
      <c r="F123" s="11" t="e">
        <f>F122</f>
        <v>#REF!</v>
      </c>
      <c r="G123" s="5" t="e">
        <f>H123*K123</f>
        <v>#REF!</v>
      </c>
      <c r="H123" s="11" t="e">
        <f>H122</f>
        <v>#REF!</v>
      </c>
      <c r="I123" s="5" t="e">
        <f>K123*J123</f>
        <v>#REF!</v>
      </c>
      <c r="J123" s="11" t="e">
        <f>J122</f>
        <v>#REF!</v>
      </c>
      <c r="K123" s="36">
        <v>145262</v>
      </c>
      <c r="L123" s="36" t="e">
        <f>C123+E123+G123+I123</f>
        <v>#REF!</v>
      </c>
    </row>
    <row r="124" spans="2:12" x14ac:dyDescent="0.25">
      <c r="B124" s="3" t="s">
        <v>457</v>
      </c>
      <c r="C124" s="5">
        <v>-77</v>
      </c>
      <c r="D124" s="11"/>
      <c r="E124" s="5">
        <v>-25</v>
      </c>
      <c r="F124" s="11"/>
      <c r="G124" s="5">
        <v>-1668</v>
      </c>
      <c r="H124" s="11"/>
      <c r="I124" s="5">
        <v>-489</v>
      </c>
      <c r="J124" s="11"/>
      <c r="K124" s="36">
        <v>-2259</v>
      </c>
      <c r="L124" s="36"/>
    </row>
    <row r="125" spans="2:12" x14ac:dyDescent="0.25">
      <c r="B125" s="3" t="s">
        <v>81</v>
      </c>
      <c r="C125" s="5" t="e">
        <f>K125*D125</f>
        <v>#REF!</v>
      </c>
      <c r="D125" s="11" t="e">
        <f>D122</f>
        <v>#REF!</v>
      </c>
      <c r="E125" s="5" t="e">
        <f>K125*F125</f>
        <v>#REF!</v>
      </c>
      <c r="F125" s="11" t="e">
        <f>F122</f>
        <v>#REF!</v>
      </c>
      <c r="G125" s="5" t="e">
        <f>K125*H125</f>
        <v>#REF!</v>
      </c>
      <c r="H125" s="11" t="e">
        <f>H122</f>
        <v>#REF!</v>
      </c>
      <c r="I125" s="5" t="e">
        <f>K125*J125</f>
        <v>#REF!</v>
      </c>
      <c r="J125" s="11" t="e">
        <f>J122</f>
        <v>#REF!</v>
      </c>
      <c r="K125" s="36">
        <v>-617</v>
      </c>
      <c r="L125" s="36" t="e">
        <f t="shared" ref="L125:L127" si="15">C125+E125+G125+I125</f>
        <v>#REF!</v>
      </c>
    </row>
    <row r="126" spans="2:12" x14ac:dyDescent="0.25">
      <c r="B126" s="3" t="s">
        <v>83</v>
      </c>
      <c r="C126" s="5">
        <v>4386</v>
      </c>
      <c r="D126" s="11">
        <v>0</v>
      </c>
      <c r="E126" s="5">
        <v>0</v>
      </c>
      <c r="F126" s="11">
        <v>0</v>
      </c>
      <c r="G126" s="5">
        <v>0</v>
      </c>
      <c r="H126" s="11">
        <v>0</v>
      </c>
      <c r="I126" s="5">
        <v>2796</v>
      </c>
      <c r="J126" s="11">
        <v>0</v>
      </c>
      <c r="K126" s="36">
        <f>C126+E126+G126+I126</f>
        <v>7182</v>
      </c>
      <c r="L126" s="36">
        <f t="shared" si="15"/>
        <v>7182</v>
      </c>
    </row>
    <row r="127" spans="2:12" ht="30" x14ac:dyDescent="0.25">
      <c r="B127" s="173" t="s">
        <v>408</v>
      </c>
      <c r="C127" s="5">
        <v>0</v>
      </c>
      <c r="D127" s="11"/>
      <c r="E127" s="5">
        <v>0</v>
      </c>
      <c r="F127" s="11"/>
      <c r="G127" s="5">
        <v>0</v>
      </c>
      <c r="H127" s="11"/>
      <c r="I127" s="5" t="e">
        <f>#REF!</f>
        <v>#REF!</v>
      </c>
      <c r="J127" s="11"/>
      <c r="K127" s="36" t="e">
        <f>C127+E127+G127+I127</f>
        <v>#REF!</v>
      </c>
      <c r="L127" s="36" t="e">
        <f t="shared" si="15"/>
        <v>#REF!</v>
      </c>
    </row>
    <row r="128" spans="2:12" x14ac:dyDescent="0.25">
      <c r="B128" s="3" t="s">
        <v>331</v>
      </c>
      <c r="C128" s="5"/>
      <c r="D128" s="11"/>
      <c r="E128" s="5"/>
      <c r="F128" s="11"/>
      <c r="G128" s="5">
        <v>-5117</v>
      </c>
      <c r="H128" s="11"/>
      <c r="I128" s="5"/>
      <c r="J128" s="11"/>
      <c r="K128" s="36">
        <f>C128+E128+G128+I128</f>
        <v>-5117</v>
      </c>
      <c r="L128" s="36">
        <v>-5117</v>
      </c>
    </row>
    <row r="129" spans="2:12" x14ac:dyDescent="0.25">
      <c r="B129" s="3" t="s">
        <v>85</v>
      </c>
      <c r="C129" s="5">
        <f>C126*-0.15</f>
        <v>-657.9</v>
      </c>
      <c r="D129" s="11">
        <f>C129/K129</f>
        <v>0.6106934001670844</v>
      </c>
      <c r="E129" s="5">
        <f>E126*-0.15</f>
        <v>0</v>
      </c>
      <c r="F129" s="11">
        <f>E129/K129</f>
        <v>0</v>
      </c>
      <c r="G129" s="5"/>
      <c r="H129" s="11">
        <f>G129/K129</f>
        <v>0</v>
      </c>
      <c r="I129" s="5">
        <f>I126*-0.15</f>
        <v>-419.4</v>
      </c>
      <c r="J129" s="11">
        <f>I129/K129</f>
        <v>0.3893065998329156</v>
      </c>
      <c r="K129" s="36">
        <f>C129+E129+G129+I129</f>
        <v>-1077.3</v>
      </c>
      <c r="L129" s="36">
        <f t="shared" ref="L129:L131" si="16">C129+E129+G129+I129</f>
        <v>-1077.3</v>
      </c>
    </row>
    <row r="130" spans="2:12" x14ac:dyDescent="0.25">
      <c r="B130" s="3" t="s">
        <v>86</v>
      </c>
      <c r="C130" s="5"/>
      <c r="D130" s="11"/>
      <c r="E130" s="5"/>
      <c r="F130" s="11"/>
      <c r="G130" s="5"/>
      <c r="H130" s="11"/>
      <c r="I130" s="5">
        <v>0</v>
      </c>
      <c r="J130" s="11"/>
      <c r="K130" s="36">
        <f>C130+E130+G130+I130</f>
        <v>0</v>
      </c>
      <c r="L130" s="36">
        <f t="shared" si="16"/>
        <v>0</v>
      </c>
    </row>
    <row r="131" spans="2:12" x14ac:dyDescent="0.25">
      <c r="B131" s="3" t="s">
        <v>84</v>
      </c>
      <c r="C131" s="36" t="e">
        <f>SUM(C122:C130)</f>
        <v>#REF!</v>
      </c>
      <c r="D131" s="11" t="e">
        <f>C131/K131</f>
        <v>#REF!</v>
      </c>
      <c r="E131" s="36" t="e">
        <f>SUM(E122:E130)</f>
        <v>#REF!</v>
      </c>
      <c r="F131" s="11" t="e">
        <f>E131/K131</f>
        <v>#REF!</v>
      </c>
      <c r="G131" s="36" t="e">
        <f>SUM(G122:G130)</f>
        <v>#REF!</v>
      </c>
      <c r="H131" s="11" t="e">
        <f>G131/K131</f>
        <v>#REF!</v>
      </c>
      <c r="I131" s="36" t="e">
        <f>SUM(I122:I130)</f>
        <v>#REF!</v>
      </c>
      <c r="J131" s="11" t="e">
        <f>I131/K131</f>
        <v>#REF!</v>
      </c>
      <c r="K131" s="36" t="e">
        <f>SUM(K122:K130)</f>
        <v>#REF!</v>
      </c>
      <c r="L131" s="36" t="e">
        <f t="shared" si="16"/>
        <v>#REF!</v>
      </c>
    </row>
    <row r="132" spans="2:12" ht="15.75" thickBot="1" x14ac:dyDescent="0.3">
      <c r="B132" s="3"/>
      <c r="C132" s="197"/>
      <c r="D132" s="197"/>
      <c r="E132" s="197"/>
      <c r="F132" s="37"/>
      <c r="G132" s="37"/>
      <c r="H132" s="37"/>
      <c r="I132" s="37"/>
      <c r="J132" s="37"/>
      <c r="K132" s="198" t="e">
        <f>C131+E131+G131+I131</f>
        <v>#REF!</v>
      </c>
      <c r="L132" s="3"/>
    </row>
    <row r="133" spans="2:12" ht="15.75" thickBot="1" x14ac:dyDescent="0.3">
      <c r="C133" s="199">
        <v>50395</v>
      </c>
      <c r="D133" s="200"/>
      <c r="E133" s="200">
        <v>15364</v>
      </c>
      <c r="F133" s="200"/>
      <c r="G133" s="200">
        <v>1012207</v>
      </c>
      <c r="H133" s="200"/>
      <c r="I133" s="200">
        <v>300704</v>
      </c>
      <c r="J133" s="200"/>
      <c r="K133" s="201">
        <v>1378670</v>
      </c>
    </row>
    <row r="134" spans="2:12" x14ac:dyDescent="0.25">
      <c r="C134" s="45"/>
      <c r="D134" s="45"/>
      <c r="E134" s="45"/>
      <c r="F134" s="45"/>
      <c r="G134" s="45"/>
      <c r="H134" s="45"/>
      <c r="I134" s="45"/>
      <c r="J134" s="45"/>
      <c r="K134" s="45"/>
    </row>
    <row r="135" spans="2:12" x14ac:dyDescent="0.25">
      <c r="B135" t="s">
        <v>39</v>
      </c>
      <c r="C135" s="45"/>
      <c r="D135" s="45"/>
      <c r="E135" s="45"/>
      <c r="F135" s="45"/>
      <c r="G135" s="45"/>
      <c r="H135" s="45"/>
      <c r="I135" s="45"/>
      <c r="J135" s="45"/>
      <c r="K135" s="45"/>
    </row>
    <row r="136" spans="2:12" x14ac:dyDescent="0.25">
      <c r="B136" t="s">
        <v>40</v>
      </c>
      <c r="C136" s="45"/>
      <c r="D136" s="45"/>
      <c r="E136" s="45"/>
      <c r="F136" s="45"/>
      <c r="G136" s="45"/>
      <c r="H136" s="45"/>
      <c r="I136" s="45"/>
      <c r="J136" s="45"/>
      <c r="K136" s="45"/>
    </row>
    <row r="137" spans="2:12" x14ac:dyDescent="0.25">
      <c r="C137" s="45"/>
      <c r="D137" s="45"/>
      <c r="E137" s="45"/>
      <c r="F137" s="45"/>
      <c r="G137" s="45"/>
      <c r="H137" s="45"/>
      <c r="I137" s="45"/>
      <c r="J137" s="45"/>
      <c r="K137" s="45"/>
    </row>
    <row r="138" spans="2:12" x14ac:dyDescent="0.25">
      <c r="B138" t="s">
        <v>77</v>
      </c>
      <c r="C138" s="45"/>
      <c r="D138" s="45"/>
      <c r="E138" s="45"/>
      <c r="F138" s="45"/>
      <c r="G138" s="45"/>
      <c r="H138" s="45"/>
      <c r="I138" s="45"/>
      <c r="J138" s="45"/>
      <c r="K138" s="45"/>
    </row>
    <row r="139" spans="2:12" x14ac:dyDescent="0.25">
      <c r="B139" t="s">
        <v>501</v>
      </c>
      <c r="C139" s="45"/>
      <c r="D139" s="45"/>
      <c r="E139" s="45"/>
      <c r="F139" s="45"/>
      <c r="G139" s="45"/>
      <c r="H139" s="45"/>
      <c r="I139" s="45"/>
      <c r="J139" s="45"/>
      <c r="K139" s="45"/>
    </row>
    <row r="141" spans="2:12" x14ac:dyDescent="0.25">
      <c r="B141" s="3" t="s">
        <v>464</v>
      </c>
      <c r="C141" s="98" t="s">
        <v>90</v>
      </c>
      <c r="D141" s="98"/>
      <c r="E141" s="98" t="s">
        <v>89</v>
      </c>
      <c r="F141" s="98"/>
      <c r="G141" s="98" t="s">
        <v>91</v>
      </c>
      <c r="H141" s="98"/>
      <c r="I141" s="98" t="s">
        <v>92</v>
      </c>
      <c r="J141" s="98"/>
      <c r="K141" s="98" t="s">
        <v>93</v>
      </c>
      <c r="L141" s="98"/>
    </row>
    <row r="142" spans="2:12" x14ac:dyDescent="0.25">
      <c r="B142" s="3"/>
      <c r="C142" s="3"/>
      <c r="D142" s="3"/>
      <c r="E142" s="3"/>
      <c r="F142" s="3"/>
      <c r="G142" s="3"/>
      <c r="H142" s="3"/>
      <c r="I142" s="3"/>
      <c r="J142" s="3"/>
      <c r="K142" s="3"/>
      <c r="L142" s="3"/>
    </row>
    <row r="143" spans="2:12" x14ac:dyDescent="0.25">
      <c r="B143" s="3" t="s">
        <v>79</v>
      </c>
      <c r="C143" s="5">
        <v>50395</v>
      </c>
      <c r="D143" s="11">
        <f>C143/K143</f>
        <v>3.6553344890365352E-2</v>
      </c>
      <c r="E143" s="5">
        <v>15364</v>
      </c>
      <c r="F143" s="11">
        <f>E143/K143</f>
        <v>1.11440736361856E-2</v>
      </c>
      <c r="G143" s="5">
        <v>1012207</v>
      </c>
      <c r="H143" s="11">
        <f>G143/K143</f>
        <v>0.73419092313606593</v>
      </c>
      <c r="I143" s="5">
        <v>300704</v>
      </c>
      <c r="J143" s="11">
        <f>I143/K143</f>
        <v>0.21811165833738314</v>
      </c>
      <c r="K143" s="36">
        <f>C143+E143+G143+I143</f>
        <v>1378670</v>
      </c>
      <c r="L143" s="36">
        <f>C143+E143+G143+I143</f>
        <v>1378670</v>
      </c>
    </row>
    <row r="144" spans="2:12" x14ac:dyDescent="0.25">
      <c r="B144" s="3" t="s">
        <v>80</v>
      </c>
      <c r="C144" s="5">
        <v>7198</v>
      </c>
      <c r="D144" s="11">
        <f>D143</f>
        <v>3.6553344890365352E-2</v>
      </c>
      <c r="E144" s="5">
        <v>2194</v>
      </c>
      <c r="F144" s="11">
        <f>F143</f>
        <v>1.11440736361856E-2</v>
      </c>
      <c r="G144" s="5">
        <v>144576</v>
      </c>
      <c r="H144" s="11">
        <f>H143</f>
        <v>0.73419092313606593</v>
      </c>
      <c r="I144" s="5">
        <v>42950</v>
      </c>
      <c r="J144" s="11">
        <f>J143</f>
        <v>0.21811165833738314</v>
      </c>
      <c r="K144" s="36">
        <v>196919</v>
      </c>
      <c r="L144" s="36">
        <f>C144+E144+G144+I144</f>
        <v>196918</v>
      </c>
    </row>
    <row r="145" spans="2:12" x14ac:dyDescent="0.25">
      <c r="B145" s="3" t="s">
        <v>457</v>
      </c>
      <c r="C145" s="5">
        <v>0</v>
      </c>
      <c r="D145" s="11"/>
      <c r="E145" s="5">
        <v>0</v>
      </c>
      <c r="F145" s="11"/>
      <c r="G145" s="5">
        <v>0</v>
      </c>
      <c r="H145" s="11"/>
      <c r="I145" s="5">
        <v>0</v>
      </c>
      <c r="J145" s="11"/>
      <c r="K145" s="36">
        <v>0</v>
      </c>
      <c r="L145" s="36"/>
    </row>
    <row r="146" spans="2:12" x14ac:dyDescent="0.25">
      <c r="B146" s="3" t="s">
        <v>81</v>
      </c>
      <c r="C146" s="5">
        <v>30</v>
      </c>
      <c r="D146" s="11">
        <f>D143</f>
        <v>3.6553344890365352E-2</v>
      </c>
      <c r="E146" s="5">
        <v>9</v>
      </c>
      <c r="F146" s="11">
        <f>F143</f>
        <v>1.11440736361856E-2</v>
      </c>
      <c r="G146" s="5">
        <v>582</v>
      </c>
      <c r="H146" s="11">
        <f>H143</f>
        <v>0.73419092313606593</v>
      </c>
      <c r="I146" s="5">
        <v>172</v>
      </c>
      <c r="J146" s="11">
        <f>J143</f>
        <v>0.21811165833738314</v>
      </c>
      <c r="K146" s="36">
        <v>793</v>
      </c>
      <c r="L146" s="36">
        <f t="shared" ref="L146:L148" si="17">C146+E146+G146+I146</f>
        <v>793</v>
      </c>
    </row>
    <row r="147" spans="2:12" x14ac:dyDescent="0.25">
      <c r="B147" s="3" t="s">
        <v>83</v>
      </c>
      <c r="C147" s="5">
        <v>0</v>
      </c>
      <c r="D147" s="11">
        <v>0</v>
      </c>
      <c r="E147" s="5">
        <v>0</v>
      </c>
      <c r="F147" s="11">
        <v>0</v>
      </c>
      <c r="G147" s="5">
        <v>0</v>
      </c>
      <c r="H147" s="11">
        <v>0</v>
      </c>
      <c r="I147" s="5">
        <v>21698</v>
      </c>
      <c r="J147" s="11">
        <v>0</v>
      </c>
      <c r="K147" s="36">
        <f>C147+E147+G147+I147</f>
        <v>21698</v>
      </c>
      <c r="L147" s="36">
        <f t="shared" si="17"/>
        <v>21698</v>
      </c>
    </row>
    <row r="148" spans="2:12" ht="30" x14ac:dyDescent="0.25">
      <c r="B148" s="173" t="s">
        <v>408</v>
      </c>
      <c r="C148" s="5">
        <v>0</v>
      </c>
      <c r="D148" s="11"/>
      <c r="E148" s="5">
        <v>0</v>
      </c>
      <c r="F148" s="11"/>
      <c r="G148" s="5">
        <v>0</v>
      </c>
      <c r="H148" s="11"/>
      <c r="I148" s="5">
        <v>0</v>
      </c>
      <c r="J148" s="11"/>
      <c r="K148" s="36">
        <f>C148+E148+G148+I148</f>
        <v>0</v>
      </c>
      <c r="L148" s="36">
        <f t="shared" si="17"/>
        <v>0</v>
      </c>
    </row>
    <row r="149" spans="2:12" x14ac:dyDescent="0.25">
      <c r="B149" s="3" t="s">
        <v>331</v>
      </c>
      <c r="C149" s="5"/>
      <c r="D149" s="11"/>
      <c r="E149" s="5"/>
      <c r="F149" s="11"/>
      <c r="G149" s="5">
        <v>-3750</v>
      </c>
      <c r="H149" s="11"/>
      <c r="I149" s="5"/>
      <c r="J149" s="11"/>
      <c r="K149" s="36">
        <f>C149+E149+G149+I149</f>
        <v>-3750</v>
      </c>
      <c r="L149" s="36">
        <v>-5117</v>
      </c>
    </row>
    <row r="150" spans="2:12" x14ac:dyDescent="0.25">
      <c r="B150" s="3" t="s">
        <v>85</v>
      </c>
      <c r="C150" s="5">
        <f>C147*-0.15</f>
        <v>0</v>
      </c>
      <c r="D150" s="11">
        <f>C150/K150</f>
        <v>0</v>
      </c>
      <c r="E150" s="5">
        <f>E147*-0.15</f>
        <v>0</v>
      </c>
      <c r="F150" s="11">
        <f>E150/K150</f>
        <v>0</v>
      </c>
      <c r="G150" s="5"/>
      <c r="H150" s="11">
        <f>G150/K150</f>
        <v>0</v>
      </c>
      <c r="I150" s="5">
        <f>I147*-0.15</f>
        <v>-3254.7</v>
      </c>
      <c r="J150" s="11">
        <f>I150/K150</f>
        <v>1</v>
      </c>
      <c r="K150" s="36">
        <f>C150+E150+G150+I150</f>
        <v>-3254.7</v>
      </c>
      <c r="L150" s="36">
        <f t="shared" ref="L150:L153" si="18">C150+E150+G150+I150</f>
        <v>-3254.7</v>
      </c>
    </row>
    <row r="151" spans="2:12" x14ac:dyDescent="0.25">
      <c r="B151" s="3" t="s">
        <v>86</v>
      </c>
      <c r="C151" s="5"/>
      <c r="D151" s="11"/>
      <c r="E151" s="5"/>
      <c r="F151" s="11"/>
      <c r="G151" s="5"/>
      <c r="H151" s="11"/>
      <c r="I151" s="5">
        <v>0</v>
      </c>
      <c r="J151" s="11"/>
      <c r="K151" s="36">
        <v>0</v>
      </c>
      <c r="L151" s="36">
        <f t="shared" si="18"/>
        <v>0</v>
      </c>
    </row>
    <row r="152" spans="2:12" x14ac:dyDescent="0.25">
      <c r="B152" s="10" t="s">
        <v>190</v>
      </c>
      <c r="C152" s="5"/>
      <c r="D152" s="11"/>
      <c r="E152" s="5">
        <v>1</v>
      </c>
      <c r="F152" s="11"/>
      <c r="G152" s="5">
        <v>1</v>
      </c>
      <c r="H152" s="11"/>
      <c r="I152" s="5">
        <v>-1</v>
      </c>
      <c r="J152" s="11"/>
      <c r="K152" s="36">
        <f>SUM(C152:J152)</f>
        <v>1</v>
      </c>
      <c r="L152" s="36"/>
    </row>
    <row r="153" spans="2:12" x14ac:dyDescent="0.25">
      <c r="B153" s="3" t="s">
        <v>84</v>
      </c>
      <c r="C153" s="36">
        <f>SUM(C143:C152)</f>
        <v>57623</v>
      </c>
      <c r="D153" s="11">
        <f>C153/K153</f>
        <v>3.6216364985136161E-2</v>
      </c>
      <c r="E153" s="36">
        <f>SUM(E143:E152)</f>
        <v>17568</v>
      </c>
      <c r="F153" s="11">
        <f>E153/K153</f>
        <v>1.1041582355289938E-2</v>
      </c>
      <c r="G153" s="36">
        <f>SUM(G143:G152)</f>
        <v>1153616</v>
      </c>
      <c r="H153" s="11">
        <f>G153/K153</f>
        <v>0.72505385191143878</v>
      </c>
      <c r="I153" s="36">
        <f>SUM(I143:I152)</f>
        <v>362268.3</v>
      </c>
      <c r="J153" s="11">
        <f>I153/K153</f>
        <v>0.2276875722427642</v>
      </c>
      <c r="K153" s="36">
        <f>SUM(K143:K152)</f>
        <v>1591076.3</v>
      </c>
      <c r="L153" s="36">
        <f t="shared" si="18"/>
        <v>1591075.3</v>
      </c>
    </row>
    <row r="154" spans="2:12" ht="15.75" thickBot="1" x14ac:dyDescent="0.3">
      <c r="B154" s="3"/>
      <c r="C154" s="197"/>
      <c r="D154" s="197"/>
      <c r="E154" s="197"/>
      <c r="F154" s="37"/>
      <c r="G154" s="37"/>
      <c r="H154" s="37"/>
      <c r="I154" s="37"/>
      <c r="J154" s="37"/>
      <c r="K154" s="198">
        <f>C153+E153+G153+I153</f>
        <v>1591075.3</v>
      </c>
      <c r="L154" s="3"/>
    </row>
    <row r="155" spans="2:12" ht="15.75" thickBot="1" x14ac:dyDescent="0.3">
      <c r="D155" s="200"/>
      <c r="E155" s="200"/>
      <c r="F155" s="200"/>
      <c r="G155" s="200"/>
      <c r="H155" s="205"/>
      <c r="I155" s="200"/>
      <c r="J155" s="200"/>
      <c r="K155" s="201"/>
    </row>
    <row r="157" spans="2:12" x14ac:dyDescent="0.25">
      <c r="B157" s="3" t="s">
        <v>505</v>
      </c>
      <c r="C157" s="98" t="s">
        <v>90</v>
      </c>
      <c r="D157" s="98"/>
      <c r="E157" s="98" t="s">
        <v>89</v>
      </c>
      <c r="F157" s="98"/>
      <c r="G157" s="98" t="s">
        <v>91</v>
      </c>
      <c r="H157" s="98"/>
      <c r="I157" s="98" t="s">
        <v>92</v>
      </c>
      <c r="J157" s="98"/>
      <c r="K157" s="98" t="s">
        <v>93</v>
      </c>
      <c r="L157" s="98"/>
    </row>
    <row r="158" spans="2:12" x14ac:dyDescent="0.25">
      <c r="B158" s="3"/>
      <c r="C158" s="3"/>
      <c r="D158" s="3"/>
      <c r="E158" s="3"/>
      <c r="F158" s="3"/>
      <c r="G158" s="3"/>
      <c r="H158" s="3"/>
      <c r="I158" s="3"/>
      <c r="J158" s="3"/>
      <c r="K158" s="3"/>
      <c r="L158" s="3"/>
    </row>
    <row r="159" spans="2:12" x14ac:dyDescent="0.25">
      <c r="B159" s="3" t="s">
        <v>79</v>
      </c>
      <c r="C159" s="5">
        <f>C153</f>
        <v>57623</v>
      </c>
      <c r="D159" s="11">
        <f>C159/K159</f>
        <v>3.6216387747330374E-2</v>
      </c>
      <c r="E159" s="5">
        <f>E153</f>
        <v>17568</v>
      </c>
      <c r="F159" s="11">
        <f>E159/K159</f>
        <v>1.1041589294988113E-2</v>
      </c>
      <c r="G159" s="5">
        <f>G153</f>
        <v>1153616</v>
      </c>
      <c r="H159" s="11">
        <f>G159/K159</f>
        <v>0.72505430761196532</v>
      </c>
      <c r="I159" s="5">
        <f>I153</f>
        <v>362268.3</v>
      </c>
      <c r="J159" s="11">
        <f>I159/K159</f>
        <v>0.22768771534571619</v>
      </c>
      <c r="K159" s="36">
        <f>C159+E159+G159+I159</f>
        <v>1591075.3</v>
      </c>
      <c r="L159" s="36">
        <f>C159+E159+G159+I159</f>
        <v>1591075.3</v>
      </c>
    </row>
    <row r="160" spans="2:12" x14ac:dyDescent="0.25">
      <c r="B160" s="3" t="s">
        <v>527</v>
      </c>
      <c r="C160" s="5"/>
      <c r="D160" s="11"/>
      <c r="E160" s="5"/>
      <c r="F160" s="11"/>
      <c r="G160" s="5">
        <v>924175</v>
      </c>
      <c r="H160" s="11"/>
      <c r="I160" s="5"/>
      <c r="J160" s="11"/>
      <c r="K160" s="36">
        <f>C160+E160+G160+I160</f>
        <v>924175</v>
      </c>
      <c r="L160" s="36"/>
    </row>
    <row r="161" spans="2:17" x14ac:dyDescent="0.25">
      <c r="B161" s="224" t="s">
        <v>528</v>
      </c>
      <c r="C161" s="225">
        <f>SUM(C159:C160)</f>
        <v>57623</v>
      </c>
      <c r="D161" s="226">
        <f>C161/K161</f>
        <v>2.2909449608255691E-2</v>
      </c>
      <c r="E161" s="225">
        <f>SUM(E159:E160)</f>
        <v>17568</v>
      </c>
      <c r="F161" s="226">
        <f>E161/K161</f>
        <v>6.9845931436724219E-3</v>
      </c>
      <c r="G161" s="225">
        <f>SUM(G159:G160)</f>
        <v>2077791</v>
      </c>
      <c r="H161" s="226">
        <f>G161/K161</f>
        <v>0.82607722976914078</v>
      </c>
      <c r="I161" s="225">
        <f>SUM(I159:I160)</f>
        <v>362268.3</v>
      </c>
      <c r="J161" s="226">
        <f>I161/K161</f>
        <v>0.14402872747893122</v>
      </c>
      <c r="K161" s="225">
        <f>SUM(K159:K160)</f>
        <v>2515250.2999999998</v>
      </c>
      <c r="L161" s="227"/>
    </row>
    <row r="162" spans="2:17" x14ac:dyDescent="0.25">
      <c r="B162" s="3" t="s">
        <v>80</v>
      </c>
      <c r="C162" s="5">
        <f>K162*D162</f>
        <v>-1765.6575518455977</v>
      </c>
      <c r="D162" s="11">
        <f>D159</f>
        <v>3.6216387747330374E-2</v>
      </c>
      <c r="E162" s="5">
        <f>F162*K162</f>
        <v>-538.31060289855543</v>
      </c>
      <c r="F162" s="11">
        <f>F159</f>
        <v>1.1041589294988113E-2</v>
      </c>
      <c r="G162" s="5">
        <f>H162*K162</f>
        <v>-35348.572659006146</v>
      </c>
      <c r="H162" s="11">
        <f>H159</f>
        <v>0.72505430761196532</v>
      </c>
      <c r="I162" s="5">
        <f>K162*J162</f>
        <v>-11100.459186249702</v>
      </c>
      <c r="J162" s="11">
        <f>J159</f>
        <v>0.22768771534571619</v>
      </c>
      <c r="K162" s="36">
        <v>-48753</v>
      </c>
      <c r="L162" s="36">
        <f>C162+E162+G162+I162</f>
        <v>-48753</v>
      </c>
    </row>
    <row r="163" spans="2:17" x14ac:dyDescent="0.25">
      <c r="B163" s="3" t="s">
        <v>457</v>
      </c>
      <c r="C163" s="5">
        <v>0</v>
      </c>
      <c r="D163" s="11"/>
      <c r="E163" s="5">
        <v>0</v>
      </c>
      <c r="F163" s="11"/>
      <c r="G163" s="5">
        <v>0</v>
      </c>
      <c r="H163" s="11"/>
      <c r="I163" s="5">
        <v>0</v>
      </c>
      <c r="J163" s="11"/>
      <c r="K163" s="36">
        <v>0</v>
      </c>
      <c r="L163" s="36"/>
    </row>
    <row r="164" spans="2:17" x14ac:dyDescent="0.25">
      <c r="B164" s="3" t="s">
        <v>81</v>
      </c>
      <c r="C164" s="5">
        <v>833</v>
      </c>
      <c r="D164" s="11">
        <f>D159</f>
        <v>3.6216387747330374E-2</v>
      </c>
      <c r="E164" s="5">
        <v>253</v>
      </c>
      <c r="F164" s="11">
        <f>F159</f>
        <v>1.1041589294988113E-2</v>
      </c>
      <c r="G164" s="5">
        <v>16678</v>
      </c>
      <c r="H164" s="11">
        <f>H159</f>
        <v>0.72505430761196532</v>
      </c>
      <c r="I164" s="5">
        <v>5237</v>
      </c>
      <c r="J164" s="11">
        <f>J159</f>
        <v>0.22768771534571619</v>
      </c>
      <c r="K164" s="36">
        <v>23001</v>
      </c>
      <c r="L164" s="36">
        <v>23001</v>
      </c>
      <c r="N164" t="s">
        <v>542</v>
      </c>
    </row>
    <row r="165" spans="2:17" x14ac:dyDescent="0.25">
      <c r="B165" s="3" t="s">
        <v>83</v>
      </c>
      <c r="C165" s="5">
        <v>0</v>
      </c>
      <c r="D165" s="11">
        <v>0</v>
      </c>
      <c r="E165" s="5">
        <v>0</v>
      </c>
      <c r="F165" s="11">
        <v>0</v>
      </c>
      <c r="G165" s="5">
        <v>27868</v>
      </c>
      <c r="H165" s="11">
        <f>G165/K165</f>
        <v>0.48681130559340391</v>
      </c>
      <c r="I165" s="5">
        <v>29378</v>
      </c>
      <c r="J165" s="11">
        <f>I165/K165</f>
        <v>0.51318869440659609</v>
      </c>
      <c r="K165" s="36">
        <f>C165+E165+G165+I165</f>
        <v>57246</v>
      </c>
      <c r="L165" s="36">
        <f t="shared" ref="L165:L166" si="19">C165+E165+G165+I165</f>
        <v>57246</v>
      </c>
    </row>
    <row r="166" spans="2:17" ht="30" x14ac:dyDescent="0.25">
      <c r="B166" s="173" t="s">
        <v>408</v>
      </c>
      <c r="C166" s="5">
        <v>0</v>
      </c>
      <c r="D166" s="11"/>
      <c r="E166" s="5">
        <v>0</v>
      </c>
      <c r="F166" s="11"/>
      <c r="G166" s="5">
        <v>0</v>
      </c>
      <c r="H166" s="11"/>
      <c r="I166" s="5">
        <v>0</v>
      </c>
      <c r="J166" s="11"/>
      <c r="K166" s="36">
        <f>C166+E166+G166+I166</f>
        <v>0</v>
      </c>
      <c r="L166" s="36">
        <f t="shared" si="19"/>
        <v>0</v>
      </c>
      <c r="Q166">
        <f>3255/21698</f>
        <v>0.15001382615909301</v>
      </c>
    </row>
    <row r="167" spans="2:17" x14ac:dyDescent="0.25">
      <c r="B167" s="3" t="s">
        <v>331</v>
      </c>
      <c r="C167" s="5"/>
      <c r="D167" s="11"/>
      <c r="E167" s="5"/>
      <c r="F167" s="11"/>
      <c r="G167" s="5">
        <v>-7550</v>
      </c>
      <c r="H167" s="11"/>
      <c r="I167" s="5"/>
      <c r="J167" s="11"/>
      <c r="K167" s="36">
        <f>C167+E167+G167+I167</f>
        <v>-7550</v>
      </c>
      <c r="L167" s="36">
        <v>-5117</v>
      </c>
    </row>
    <row r="168" spans="2:17" x14ac:dyDescent="0.25">
      <c r="B168" s="3" t="s">
        <v>85</v>
      </c>
      <c r="C168" s="5">
        <f>C165*-0.15</f>
        <v>0</v>
      </c>
      <c r="D168" s="11">
        <f>C168/K168</f>
        <v>0</v>
      </c>
      <c r="E168" s="5">
        <f>E165*-0.15</f>
        <v>0</v>
      </c>
      <c r="F168" s="11">
        <f>E168/K168</f>
        <v>0</v>
      </c>
      <c r="G168" s="5">
        <f>-L168*H168</f>
        <v>-4180.2</v>
      </c>
      <c r="H168" s="11">
        <f>H165</f>
        <v>0.48681130559340391</v>
      </c>
      <c r="I168" s="5">
        <f>-L168*J168</f>
        <v>-4406.7</v>
      </c>
      <c r="J168" s="11">
        <f>J165</f>
        <v>0.51318869440659609</v>
      </c>
      <c r="K168" s="36">
        <f>C168+E168+G168+I168</f>
        <v>-8586.9</v>
      </c>
      <c r="L168" s="36">
        <f>0.15*L165</f>
        <v>8586.9</v>
      </c>
    </row>
    <row r="169" spans="2:17" x14ac:dyDescent="0.25">
      <c r="B169" s="3" t="s">
        <v>86</v>
      </c>
      <c r="C169" s="5"/>
      <c r="D169" s="11"/>
      <c r="E169" s="5"/>
      <c r="F169" s="11"/>
      <c r="G169" s="5"/>
      <c r="H169" s="11"/>
      <c r="I169" s="5">
        <v>0</v>
      </c>
      <c r="J169" s="11"/>
      <c r="K169" s="36">
        <v>0</v>
      </c>
      <c r="L169" s="36">
        <f t="shared" ref="L169:L170" si="20">C169+E169+G169+I169</f>
        <v>0</v>
      </c>
    </row>
    <row r="170" spans="2:17" x14ac:dyDescent="0.25">
      <c r="B170" s="3" t="s">
        <v>84</v>
      </c>
      <c r="C170" s="36">
        <f>SUM(C161:C169)</f>
        <v>56690.342448154399</v>
      </c>
      <c r="D170" s="11">
        <f>C170/K170</f>
        <v>2.2401871759386464E-2</v>
      </c>
      <c r="E170" s="36">
        <f>SUM(E161:E169)</f>
        <v>17282.689397101443</v>
      </c>
      <c r="F170" s="11">
        <f>E170/K170</f>
        <v>6.8294629175198983E-3</v>
      </c>
      <c r="G170" s="36">
        <f>SUM(G161:G169)</f>
        <v>2075258.2273409939</v>
      </c>
      <c r="H170" s="11">
        <f>G170/K170</f>
        <v>0.82006328889301205</v>
      </c>
      <c r="I170" s="36">
        <f>SUM(I161:I169)</f>
        <v>381376.14081375027</v>
      </c>
      <c r="J170" s="11">
        <f>I170/K170</f>
        <v>0.15070537643008169</v>
      </c>
      <c r="K170" s="36">
        <f>SUM(K161:K169)</f>
        <v>2530607.4</v>
      </c>
      <c r="L170" s="36">
        <f t="shared" si="20"/>
        <v>2530607.4</v>
      </c>
    </row>
    <row r="171" spans="2:17" ht="15.75" thickBot="1" x14ac:dyDescent="0.3">
      <c r="B171" s="3"/>
      <c r="C171" s="197"/>
      <c r="D171" s="197"/>
      <c r="E171" s="197"/>
      <c r="F171" s="37"/>
      <c r="G171" s="37"/>
      <c r="H171" s="37"/>
      <c r="I171" s="37"/>
      <c r="J171" s="37"/>
      <c r="K171" s="198">
        <f>C170+E170+G170+I170</f>
        <v>2530607.4</v>
      </c>
      <c r="L171" s="3"/>
    </row>
    <row r="172" spans="2:17" ht="15.75" thickBot="1" x14ac:dyDescent="0.3">
      <c r="D172" s="200"/>
      <c r="E172" s="200"/>
      <c r="F172" s="200"/>
      <c r="G172" s="200"/>
      <c r="H172" s="205"/>
      <c r="I172" s="200"/>
      <c r="J172" s="200"/>
      <c r="K172" s="201"/>
    </row>
    <row r="173" spans="2:17" x14ac:dyDescent="0.25">
      <c r="B173" s="3" t="s">
        <v>612</v>
      </c>
      <c r="C173" s="98" t="s">
        <v>90</v>
      </c>
      <c r="D173" s="98"/>
      <c r="E173" s="98" t="s">
        <v>89</v>
      </c>
      <c r="F173" s="98"/>
      <c r="G173" s="98" t="s">
        <v>91</v>
      </c>
      <c r="H173" s="98"/>
      <c r="I173" s="98" t="s">
        <v>92</v>
      </c>
      <c r="J173" s="98"/>
      <c r="K173" s="98" t="s">
        <v>93</v>
      </c>
      <c r="L173" s="98"/>
    </row>
    <row r="174" spans="2:17" x14ac:dyDescent="0.25">
      <c r="B174" s="3"/>
      <c r="C174" s="3"/>
      <c r="D174" s="3"/>
      <c r="E174" s="3"/>
      <c r="F174" s="3"/>
      <c r="G174" s="3"/>
      <c r="H174" s="3"/>
      <c r="I174" s="3"/>
      <c r="J174" s="3"/>
      <c r="K174" s="3"/>
      <c r="L174" s="3"/>
    </row>
    <row r="175" spans="2:17" x14ac:dyDescent="0.25">
      <c r="B175" s="3" t="s">
        <v>79</v>
      </c>
      <c r="C175" s="5">
        <f>C170</f>
        <v>56690.342448154399</v>
      </c>
      <c r="D175" s="11">
        <f>C175/K175</f>
        <v>2.2401871759386464E-2</v>
      </c>
      <c r="E175" s="5">
        <f>E170</f>
        <v>17282.689397101443</v>
      </c>
      <c r="F175" s="11">
        <f>E175/K175</f>
        <v>6.8294629175198983E-3</v>
      </c>
      <c r="G175" s="5">
        <f>G170</f>
        <v>2075258.2273409939</v>
      </c>
      <c r="H175" s="11">
        <f>G175/K175</f>
        <v>0.82006328889301205</v>
      </c>
      <c r="I175" s="5">
        <f>I170</f>
        <v>381376.14081375027</v>
      </c>
      <c r="J175" s="11">
        <f>I175/K175</f>
        <v>0.15070537643008169</v>
      </c>
      <c r="K175" s="36">
        <f>C175+E175+G175+I175</f>
        <v>2530607.4</v>
      </c>
      <c r="L175" s="36">
        <f>C175+E175+G175+I175</f>
        <v>2530607.4</v>
      </c>
    </row>
    <row r="176" spans="2:17" x14ac:dyDescent="0.25">
      <c r="B176" s="3" t="s">
        <v>527</v>
      </c>
      <c r="C176" s="5"/>
      <c r="D176" s="11"/>
      <c r="E176" s="5"/>
      <c r="F176" s="11"/>
      <c r="G176" s="5">
        <v>0</v>
      </c>
      <c r="H176" s="11"/>
      <c r="I176" s="5"/>
      <c r="J176" s="11"/>
      <c r="K176" s="36">
        <f>C176+E176+G176+I176</f>
        <v>0</v>
      </c>
      <c r="L176" s="36"/>
    </row>
    <row r="177" spans="2:12" x14ac:dyDescent="0.25">
      <c r="B177" s="224" t="s">
        <v>528</v>
      </c>
      <c r="C177" s="225">
        <f>SUM(C175:C176)</f>
        <v>56690.342448154399</v>
      </c>
      <c r="D177" s="226">
        <f>C177/K177</f>
        <v>2.2401871759386464E-2</v>
      </c>
      <c r="E177" s="225">
        <f>SUM(E175:E176)</f>
        <v>17282.689397101443</v>
      </c>
      <c r="F177" s="226">
        <f>E177/K177</f>
        <v>6.8294629175198983E-3</v>
      </c>
      <c r="G177" s="225">
        <f>SUM(G175:G176)</f>
        <v>2075258.2273409939</v>
      </c>
      <c r="H177" s="226">
        <f>G177/K177</f>
        <v>0.82006328889301205</v>
      </c>
      <c r="I177" s="225">
        <f>SUM(I175:I176)</f>
        <v>381376.14081375027</v>
      </c>
      <c r="J177" s="226">
        <f>I177/K177</f>
        <v>0.15070537643008169</v>
      </c>
      <c r="K177" s="225">
        <f>SUM(K175:K176)</f>
        <v>2530607.4</v>
      </c>
      <c r="L177" s="227"/>
    </row>
    <row r="178" spans="2:12" x14ac:dyDescent="0.25">
      <c r="B178" s="3" t="s">
        <v>80</v>
      </c>
      <c r="C178" s="5">
        <f>K178*D178</f>
        <v>13866.713591297981</v>
      </c>
      <c r="D178" s="11">
        <f>D175</f>
        <v>2.2401871759386464E-2</v>
      </c>
      <c r="E178" s="5">
        <f>F178*K178</f>
        <v>4227.4238187243518</v>
      </c>
      <c r="F178" s="11">
        <f>F175</f>
        <v>6.8294629175198983E-3</v>
      </c>
      <c r="G178" s="5">
        <f>H178*K178</f>
        <v>507617.52749756369</v>
      </c>
      <c r="H178" s="11">
        <f>H175</f>
        <v>0.82006328889301205</v>
      </c>
      <c r="I178" s="5">
        <f>K178*J178</f>
        <v>93286.325092413928</v>
      </c>
      <c r="J178" s="11">
        <f>J175</f>
        <v>0.15070537643008169</v>
      </c>
      <c r="K178" s="36">
        <f>'2021 WNO2SF FINANCIAL STATEMENT'!D65-K181</f>
        <v>618997.98999999987</v>
      </c>
      <c r="L178" s="36">
        <f>C178+E178+G178+I178</f>
        <v>618997.99</v>
      </c>
    </row>
    <row r="179" spans="2:12" x14ac:dyDescent="0.25">
      <c r="B179" s="3" t="s">
        <v>457</v>
      </c>
      <c r="C179" s="5">
        <v>0</v>
      </c>
      <c r="D179" s="11"/>
      <c r="E179" s="5">
        <v>0</v>
      </c>
      <c r="F179" s="11"/>
      <c r="G179" s="5">
        <v>0</v>
      </c>
      <c r="H179" s="11"/>
      <c r="I179" s="5">
        <v>0</v>
      </c>
      <c r="J179" s="11"/>
      <c r="K179" s="36">
        <v>0</v>
      </c>
      <c r="L179" s="36"/>
    </row>
    <row r="180" spans="2:12" x14ac:dyDescent="0.25">
      <c r="B180" s="3" t="s">
        <v>81</v>
      </c>
      <c r="C180" s="5">
        <f>K180*D180</f>
        <v>-917.84836963199416</v>
      </c>
      <c r="D180" s="11">
        <f>D175</f>
        <v>2.2401871759386464E-2</v>
      </c>
      <c r="E180" s="5">
        <f>F180*K180</f>
        <v>-279.81641318347937</v>
      </c>
      <c r="F180" s="11">
        <f>F175</f>
        <v>6.8294629175198983E-3</v>
      </c>
      <c r="G180" s="5">
        <f>H180*K180</f>
        <v>-33599.592069360042</v>
      </c>
      <c r="H180" s="11">
        <f>H175</f>
        <v>0.82006328889301205</v>
      </c>
      <c r="I180" s="5">
        <f>K180*J180</f>
        <v>-6174.6931478244851</v>
      </c>
      <c r="J180" s="11">
        <f>J175</f>
        <v>0.15070537643008169</v>
      </c>
      <c r="K180" s="36">
        <f>'2021 WNO2SF FINANCIAL STATEMENT'!D66-K184</f>
        <v>-40971.949999999997</v>
      </c>
      <c r="L180" s="36">
        <v>10012</v>
      </c>
    </row>
    <row r="181" spans="2:12" x14ac:dyDescent="0.25">
      <c r="B181" s="3" t="s">
        <v>83</v>
      </c>
      <c r="C181" s="5">
        <v>0</v>
      </c>
      <c r="D181" s="11">
        <v>0</v>
      </c>
      <c r="E181" s="5">
        <v>0</v>
      </c>
      <c r="F181" s="11">
        <v>0</v>
      </c>
      <c r="G181" s="5">
        <v>19005</v>
      </c>
      <c r="H181" s="11">
        <f>G181/K181</f>
        <v>0.83844355230070144</v>
      </c>
      <c r="I181" s="5">
        <v>3662</v>
      </c>
      <c r="J181" s="11">
        <f>I181/K181</f>
        <v>0.16155644769929853</v>
      </c>
      <c r="K181" s="36">
        <f>C181+E181+G181+I181</f>
        <v>22667</v>
      </c>
      <c r="L181" s="36">
        <f t="shared" ref="L181:L182" si="21">C181+E181+G181+I181</f>
        <v>22667</v>
      </c>
    </row>
    <row r="182" spans="2:12" ht="30" x14ac:dyDescent="0.25">
      <c r="B182" s="173" t="s">
        <v>408</v>
      </c>
      <c r="C182" s="5">
        <v>0</v>
      </c>
      <c r="D182" s="11"/>
      <c r="E182" s="5">
        <v>0</v>
      </c>
      <c r="F182" s="11"/>
      <c r="G182" s="5">
        <v>0</v>
      </c>
      <c r="H182" s="11"/>
      <c r="I182" s="5">
        <v>0</v>
      </c>
      <c r="J182" s="11"/>
      <c r="K182" s="36">
        <f>C182+E182+G182+I182</f>
        <v>0</v>
      </c>
      <c r="L182" s="36">
        <f t="shared" si="21"/>
        <v>0</v>
      </c>
    </row>
    <row r="183" spans="2:12" x14ac:dyDescent="0.25">
      <c r="B183" s="3" t="s">
        <v>331</v>
      </c>
      <c r="C183" s="5"/>
      <c r="D183" s="11"/>
      <c r="E183" s="5"/>
      <c r="F183" s="11"/>
      <c r="G183" s="5">
        <v>-5117</v>
      </c>
      <c r="H183" s="11"/>
      <c r="I183" s="5"/>
      <c r="J183" s="11"/>
      <c r="K183" s="36">
        <f>C183+E183+G183+I183</f>
        <v>-5117</v>
      </c>
      <c r="L183" s="36">
        <v>-5117</v>
      </c>
    </row>
    <row r="184" spans="2:12" x14ac:dyDescent="0.25">
      <c r="B184" s="3" t="s">
        <v>85</v>
      </c>
      <c r="C184" s="5">
        <f>C181*-0.15</f>
        <v>0</v>
      </c>
      <c r="D184" s="11">
        <f>C184/K184</f>
        <v>0</v>
      </c>
      <c r="E184" s="5">
        <f>E181*-0.15</f>
        <v>0</v>
      </c>
      <c r="F184" s="11">
        <f>E184/K184</f>
        <v>0</v>
      </c>
      <c r="G184" s="5">
        <f>-0.15*G181</f>
        <v>-2850.75</v>
      </c>
      <c r="H184" s="11">
        <f>H181</f>
        <v>0.83844355230070144</v>
      </c>
      <c r="I184" s="5">
        <f>-0.15*I181</f>
        <v>-549.29999999999995</v>
      </c>
      <c r="J184" s="11">
        <f>J181</f>
        <v>0.16155644769929853</v>
      </c>
      <c r="K184" s="36">
        <f>C184+E184+G184+I184</f>
        <v>-3400.05</v>
      </c>
      <c r="L184" s="36">
        <f>-0.15*L181</f>
        <v>-3400.0499999999997</v>
      </c>
    </row>
    <row r="185" spans="2:12" x14ac:dyDescent="0.25">
      <c r="B185" s="3" t="s">
        <v>86</v>
      </c>
      <c r="C185" s="5"/>
      <c r="D185" s="11"/>
      <c r="E185" s="5"/>
      <c r="F185" s="11"/>
      <c r="G185" s="5"/>
      <c r="H185" s="11"/>
      <c r="I185" s="5">
        <v>0</v>
      </c>
      <c r="J185" s="11"/>
      <c r="K185" s="36">
        <v>0</v>
      </c>
      <c r="L185" s="36">
        <f t="shared" ref="L185:L186" si="22">C185+E185+G185+I185</f>
        <v>0</v>
      </c>
    </row>
    <row r="186" spans="2:12" x14ac:dyDescent="0.25">
      <c r="B186" s="3" t="s">
        <v>84</v>
      </c>
      <c r="C186" s="36">
        <f>SUM(C177:C185)</f>
        <v>69639.207669820389</v>
      </c>
      <c r="D186" s="11">
        <f>C186/K186</f>
        <v>2.2300364441806639E-2</v>
      </c>
      <c r="E186" s="36">
        <f>SUM(E177:E185)</f>
        <v>21230.296802642319</v>
      </c>
      <c r="F186" s="11">
        <f>E186/K186</f>
        <v>6.7985172684815395E-3</v>
      </c>
      <c r="G186" s="36">
        <f>SUM(G177:G185)</f>
        <v>2560313.4127691975</v>
      </c>
      <c r="H186" s="11">
        <f>G186/K186</f>
        <v>0.81988184674224163</v>
      </c>
      <c r="I186" s="36">
        <f>SUM(I177:I185)</f>
        <v>471600.47275833972</v>
      </c>
      <c r="J186" s="11">
        <f>I186/K186</f>
        <v>0.15101927154747027</v>
      </c>
      <c r="K186" s="36">
        <f>SUM(K177:K185)</f>
        <v>3122783.3899999997</v>
      </c>
      <c r="L186" s="36">
        <f t="shared" si="22"/>
        <v>3122783.39</v>
      </c>
    </row>
    <row r="187" spans="2:12" x14ac:dyDescent="0.25">
      <c r="B187" s="3"/>
      <c r="C187" s="197"/>
      <c r="D187" s="197"/>
      <c r="E187" s="197"/>
      <c r="F187" s="37"/>
      <c r="G187" s="37"/>
      <c r="H187" s="37"/>
      <c r="I187" s="37"/>
      <c r="J187" s="37"/>
      <c r="K187" s="198">
        <f>C186+E186+G186+I186</f>
        <v>3122783.39</v>
      </c>
      <c r="L187" s="3"/>
    </row>
  </sheetData>
  <pageMargins left="0.70866141732283505" right="0.70866141732283505" top="0.74803149606299202" bottom="0.74803149606299202" header="0.31496062992126" footer="0.31496062992126"/>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A1:AG362"/>
  <sheetViews>
    <sheetView topLeftCell="B1" workbookViewId="0">
      <selection activeCell="B29" sqref="B29"/>
    </sheetView>
  </sheetViews>
  <sheetFormatPr defaultRowHeight="15" x14ac:dyDescent="0.25"/>
  <cols>
    <col min="2" max="2" width="44.85546875" customWidth="1"/>
    <col min="3" max="5" width="12.7109375" customWidth="1"/>
    <col min="6" max="6" width="11.28515625" customWidth="1"/>
    <col min="7" max="7" width="9.5703125" customWidth="1"/>
    <col min="8" max="8" width="11.28515625" customWidth="1"/>
    <col min="9" max="11" width="9.5703125" customWidth="1"/>
    <col min="12" max="12" width="9.140625" customWidth="1"/>
    <col min="13" max="13" width="11.140625" customWidth="1"/>
    <col min="14" max="14" width="12.28515625" customWidth="1"/>
    <col min="15" max="15" width="10.5703125" customWidth="1"/>
    <col min="16" max="18" width="11.140625" customWidth="1"/>
    <col min="19" max="19" width="10.5703125" customWidth="1"/>
    <col min="20" max="22" width="11.85546875" customWidth="1"/>
    <col min="23" max="23" width="12.5703125" customWidth="1"/>
    <col min="25" max="25" width="10.5703125" bestFit="1" customWidth="1"/>
  </cols>
  <sheetData>
    <row r="1" spans="2:24" x14ac:dyDescent="0.25">
      <c r="B1" t="s">
        <v>39</v>
      </c>
      <c r="M1" s="118" t="s">
        <v>503</v>
      </c>
      <c r="N1" s="215">
        <v>43942</v>
      </c>
      <c r="O1" s="110">
        <v>212.42</v>
      </c>
    </row>
    <row r="2" spans="2:24" x14ac:dyDescent="0.25">
      <c r="B2" t="s">
        <v>40</v>
      </c>
      <c r="M2" s="111" t="s">
        <v>503</v>
      </c>
      <c r="N2" s="48">
        <v>43846</v>
      </c>
      <c r="O2" s="112">
        <v>197.26</v>
      </c>
    </row>
    <row r="3" spans="2:24" x14ac:dyDescent="0.25">
      <c r="M3" s="111" t="s">
        <v>503</v>
      </c>
      <c r="N3" s="48">
        <v>43760</v>
      </c>
      <c r="O3" s="112">
        <v>237.72</v>
      </c>
      <c r="Q3">
        <f>900/3.6</f>
        <v>250</v>
      </c>
    </row>
    <row r="4" spans="2:24" x14ac:dyDescent="0.25">
      <c r="M4" s="111" t="s">
        <v>503</v>
      </c>
      <c r="N4" s="48" t="s">
        <v>540</v>
      </c>
      <c r="O4" s="112">
        <f>978.64-647.4</f>
        <v>331.24</v>
      </c>
    </row>
    <row r="5" spans="2:24" ht="15.75" thickBot="1" x14ac:dyDescent="0.3">
      <c r="B5" t="s">
        <v>41</v>
      </c>
      <c r="H5">
        <f>190.71/445</f>
        <v>0.428561797752809</v>
      </c>
      <c r="M5" s="113"/>
      <c r="N5" s="114" t="s">
        <v>338</v>
      </c>
      <c r="O5" s="216">
        <f>SUM(O1:O4)</f>
        <v>978.64</v>
      </c>
    </row>
    <row r="6" spans="2:24" x14ac:dyDescent="0.25">
      <c r="B6" t="s">
        <v>501</v>
      </c>
      <c r="F6" s="91"/>
    </row>
    <row r="7" spans="2:24" x14ac:dyDescent="0.25">
      <c r="B7" t="s">
        <v>501</v>
      </c>
    </row>
    <row r="8" spans="2:24" x14ac:dyDescent="0.25">
      <c r="B8" s="3" t="s">
        <v>42</v>
      </c>
      <c r="C8" s="4" t="s">
        <v>98</v>
      </c>
      <c r="D8" s="4"/>
      <c r="E8" s="4"/>
      <c r="F8" s="4" t="s">
        <v>99</v>
      </c>
      <c r="G8" s="4"/>
      <c r="H8" s="4"/>
      <c r="I8" s="4" t="s">
        <v>342</v>
      </c>
      <c r="J8" s="4"/>
      <c r="K8" s="4"/>
      <c r="L8" s="4"/>
      <c r="M8" s="4" t="s">
        <v>93</v>
      </c>
      <c r="N8" s="3" t="s">
        <v>93</v>
      </c>
      <c r="O8" s="119"/>
      <c r="P8" s="34"/>
      <c r="Q8" s="34" t="s">
        <v>345</v>
      </c>
      <c r="R8" s="34" t="s">
        <v>345</v>
      </c>
      <c r="S8" s="50">
        <v>44012</v>
      </c>
    </row>
    <row r="9" spans="2:24" x14ac:dyDescent="0.25">
      <c r="B9" s="3"/>
      <c r="C9" s="54" t="s">
        <v>100</v>
      </c>
      <c r="D9" s="54" t="s">
        <v>104</v>
      </c>
      <c r="E9" s="54" t="s">
        <v>101</v>
      </c>
      <c r="F9" s="54" t="s">
        <v>100</v>
      </c>
      <c r="G9" s="54" t="s">
        <v>104</v>
      </c>
      <c r="H9" s="54" t="s">
        <v>101</v>
      </c>
      <c r="I9" s="54" t="s">
        <v>100</v>
      </c>
      <c r="J9" s="54" t="s">
        <v>104</v>
      </c>
      <c r="K9" s="54" t="s">
        <v>101</v>
      </c>
      <c r="L9" s="32" t="s">
        <v>104</v>
      </c>
      <c r="M9" s="54" t="s">
        <v>105</v>
      </c>
      <c r="N9" s="54" t="s">
        <v>102</v>
      </c>
      <c r="O9" s="120" t="s">
        <v>103</v>
      </c>
      <c r="P9" s="123" t="s">
        <v>267</v>
      </c>
      <c r="Q9" s="123"/>
      <c r="R9" s="123" t="s">
        <v>346</v>
      </c>
      <c r="S9" s="124" t="s">
        <v>270</v>
      </c>
      <c r="T9" s="124" t="s">
        <v>93</v>
      </c>
      <c r="U9" s="90" t="s">
        <v>404</v>
      </c>
      <c r="V9" s="90" t="s">
        <v>405</v>
      </c>
    </row>
    <row r="10" spans="2:24" x14ac:dyDescent="0.25">
      <c r="B10" s="3"/>
      <c r="C10" s="186"/>
      <c r="D10" s="186"/>
      <c r="E10" s="186"/>
      <c r="F10" s="186"/>
      <c r="G10" s="186"/>
      <c r="H10" s="186"/>
      <c r="I10" s="186"/>
      <c r="J10" s="186"/>
      <c r="K10" s="186"/>
      <c r="L10" s="107"/>
      <c r="M10" s="107">
        <f>C10+F10+I10</f>
        <v>0</v>
      </c>
      <c r="N10" s="107">
        <f>E10+H10+K10</f>
        <v>0</v>
      </c>
      <c r="O10" s="183">
        <f>D10+G10+J10</f>
        <v>0</v>
      </c>
      <c r="P10" s="187"/>
      <c r="Q10" s="187"/>
      <c r="R10" s="187"/>
      <c r="S10" s="188"/>
      <c r="T10" s="184">
        <f>M10+O10</f>
        <v>0</v>
      </c>
      <c r="U10" s="188">
        <f>T10-S10</f>
        <v>0</v>
      </c>
      <c r="V10" s="188">
        <f>S10+U10</f>
        <v>0</v>
      </c>
      <c r="X10" s="3" t="s">
        <v>423</v>
      </c>
    </row>
    <row r="11" spans="2:24" x14ac:dyDescent="0.25">
      <c r="B11" s="3" t="s">
        <v>400</v>
      </c>
      <c r="C11" s="186">
        <v>154</v>
      </c>
      <c r="D11" s="186">
        <v>0</v>
      </c>
      <c r="E11" s="186">
        <v>66</v>
      </c>
      <c r="F11" s="186">
        <v>238</v>
      </c>
      <c r="G11" s="186">
        <v>0</v>
      </c>
      <c r="H11" s="186">
        <v>102</v>
      </c>
      <c r="I11" s="186"/>
      <c r="J11" s="186"/>
      <c r="K11" s="186"/>
      <c r="L11" s="107"/>
      <c r="M11" s="107">
        <f>C11+F11+I11</f>
        <v>392</v>
      </c>
      <c r="N11" s="107">
        <f>E11+H11+K11</f>
        <v>168</v>
      </c>
      <c r="O11" s="183">
        <f>D11+G11+J11</f>
        <v>0</v>
      </c>
      <c r="P11" s="107">
        <v>0</v>
      </c>
      <c r="Q11" s="107"/>
      <c r="R11" s="107">
        <v>0</v>
      </c>
      <c r="S11" s="185">
        <v>392</v>
      </c>
      <c r="T11" s="184">
        <f>M11+O11</f>
        <v>392</v>
      </c>
      <c r="U11" s="188">
        <f>T11-S11</f>
        <v>0</v>
      </c>
      <c r="V11" s="188">
        <f t="shared" ref="V11:V12" si="0">S11+U11</f>
        <v>392</v>
      </c>
      <c r="W11" s="91">
        <f>S11-T11</f>
        <v>0</v>
      </c>
      <c r="X11" s="3" t="s">
        <v>400</v>
      </c>
    </row>
    <row r="12" spans="2:24" x14ac:dyDescent="0.25">
      <c r="B12" s="3" t="s">
        <v>43</v>
      </c>
      <c r="C12" s="34">
        <v>4104.66</v>
      </c>
      <c r="D12" s="34">
        <v>0</v>
      </c>
      <c r="E12" s="34">
        <v>1759.14</v>
      </c>
      <c r="F12" s="34">
        <v>3588.47</v>
      </c>
      <c r="G12" s="34">
        <v>0</v>
      </c>
      <c r="H12" s="34">
        <v>1537.92</v>
      </c>
      <c r="I12" s="34"/>
      <c r="J12" s="34"/>
      <c r="K12" s="34"/>
      <c r="L12" s="34"/>
      <c r="M12" s="34">
        <f>C12+F12+I12</f>
        <v>7693.1299999999992</v>
      </c>
      <c r="N12" s="34">
        <f>E12+H12+K12</f>
        <v>3297.0600000000004</v>
      </c>
      <c r="O12" s="121">
        <f>D12+G12+J12</f>
        <v>0</v>
      </c>
      <c r="P12" s="34">
        <v>0</v>
      </c>
      <c r="Q12" s="34"/>
      <c r="R12" s="34">
        <v>0</v>
      </c>
      <c r="S12" s="143">
        <v>7693.13</v>
      </c>
      <c r="T12" s="182">
        <f>M12+O12</f>
        <v>7693.1299999999992</v>
      </c>
      <c r="U12" s="188">
        <f t="shared" ref="U12:U47" si="1">T12-S12</f>
        <v>0</v>
      </c>
      <c r="V12" s="178">
        <f t="shared" si="0"/>
        <v>7693.13</v>
      </c>
      <c r="W12" s="91">
        <f t="shared" ref="W12" si="2">S12-T12</f>
        <v>0</v>
      </c>
      <c r="X12" s="3" t="s">
        <v>43</v>
      </c>
    </row>
    <row r="13" spans="2:24" x14ac:dyDescent="0.25">
      <c r="B13" s="3" t="s">
        <v>422</v>
      </c>
      <c r="C13" s="34">
        <v>219.38</v>
      </c>
      <c r="D13" s="34">
        <v>219.37</v>
      </c>
      <c r="E13" s="34">
        <v>94.02</v>
      </c>
      <c r="F13" s="34">
        <v>154.38</v>
      </c>
      <c r="G13" s="34">
        <v>154.37</v>
      </c>
      <c r="H13" s="34">
        <v>66.16</v>
      </c>
      <c r="I13" s="34"/>
      <c r="J13" s="34"/>
      <c r="K13" s="34"/>
      <c r="L13" s="34"/>
      <c r="M13" s="34">
        <f>C13+F13+I13</f>
        <v>373.76</v>
      </c>
      <c r="N13" s="34">
        <f>E13+H13+K13</f>
        <v>160.18</v>
      </c>
      <c r="O13" s="121">
        <f>D13+G13+J13</f>
        <v>373.74</v>
      </c>
      <c r="P13" s="34"/>
      <c r="Q13" s="34"/>
      <c r="R13" s="34"/>
      <c r="S13" s="143">
        <v>747.5</v>
      </c>
      <c r="T13" s="182">
        <f>M13+O13</f>
        <v>747.5</v>
      </c>
      <c r="U13" s="188">
        <f t="shared" si="1"/>
        <v>0</v>
      </c>
      <c r="V13" s="178">
        <f t="shared" ref="V13:V18" si="3">S13+U13</f>
        <v>747.5</v>
      </c>
      <c r="W13" s="91"/>
      <c r="X13" s="3" t="s">
        <v>422</v>
      </c>
    </row>
    <row r="14" spans="2:24" x14ac:dyDescent="0.25">
      <c r="B14" s="3" t="s">
        <v>60</v>
      </c>
      <c r="C14" s="34">
        <v>10385.76</v>
      </c>
      <c r="D14" s="34">
        <v>0</v>
      </c>
      <c r="E14" s="34">
        <v>4451.04</v>
      </c>
      <c r="F14" s="34">
        <v>8992</v>
      </c>
      <c r="G14" s="34">
        <v>0</v>
      </c>
      <c r="H14" s="34">
        <v>3853.71</v>
      </c>
      <c r="I14" s="34"/>
      <c r="J14" s="34"/>
      <c r="K14" s="34"/>
      <c r="L14" s="34"/>
      <c r="M14" s="34">
        <f t="shared" ref="M14:M15" si="4">C14+F14+I14</f>
        <v>19377.760000000002</v>
      </c>
      <c r="N14" s="34">
        <f t="shared" ref="N14:N15" si="5">E14+H14+K14</f>
        <v>8304.75</v>
      </c>
      <c r="O14" s="121">
        <f t="shared" ref="O14:O15" si="6">D14+G14+J14</f>
        <v>0</v>
      </c>
      <c r="P14" s="34"/>
      <c r="Q14" s="34"/>
      <c r="R14" s="34">
        <v>0</v>
      </c>
      <c r="S14" s="143">
        <v>19377.759999999998</v>
      </c>
      <c r="T14" s="182">
        <f t="shared" ref="T14:T22" si="7">M14+O14</f>
        <v>19377.760000000002</v>
      </c>
      <c r="U14" s="188">
        <f t="shared" si="1"/>
        <v>0</v>
      </c>
      <c r="V14" s="178">
        <f t="shared" si="3"/>
        <v>19377.759999999998</v>
      </c>
      <c r="W14" s="91">
        <f t="shared" ref="W14:W18" si="8">S14-T14</f>
        <v>0</v>
      </c>
      <c r="X14" s="3" t="s">
        <v>60</v>
      </c>
    </row>
    <row r="15" spans="2:24" x14ac:dyDescent="0.25">
      <c r="B15" s="3" t="s">
        <v>45</v>
      </c>
      <c r="C15" s="34">
        <v>0</v>
      </c>
      <c r="D15" s="34">
        <v>1078</v>
      </c>
      <c r="E15" s="34">
        <v>0</v>
      </c>
      <c r="F15" s="34">
        <v>0</v>
      </c>
      <c r="G15" s="34">
        <v>1121.1199999999999</v>
      </c>
      <c r="H15" s="34"/>
      <c r="I15" s="34"/>
      <c r="J15" s="34"/>
      <c r="K15" s="34"/>
      <c r="L15" s="34"/>
      <c r="M15" s="34">
        <f t="shared" si="4"/>
        <v>0</v>
      </c>
      <c r="N15" s="34">
        <f t="shared" si="5"/>
        <v>0</v>
      </c>
      <c r="O15" s="121">
        <f t="shared" si="6"/>
        <v>2199.12</v>
      </c>
      <c r="P15" s="34"/>
      <c r="Q15" s="34"/>
      <c r="R15" s="34">
        <v>0</v>
      </c>
      <c r="S15" s="143">
        <v>2199.12</v>
      </c>
      <c r="T15" s="182">
        <f t="shared" si="7"/>
        <v>2199.12</v>
      </c>
      <c r="U15" s="188">
        <f t="shared" si="1"/>
        <v>0</v>
      </c>
      <c r="V15" s="178">
        <f t="shared" si="3"/>
        <v>2199.12</v>
      </c>
      <c r="W15" s="91">
        <f t="shared" si="8"/>
        <v>0</v>
      </c>
      <c r="X15" s="3" t="s">
        <v>45</v>
      </c>
    </row>
    <row r="16" spans="2:24" x14ac:dyDescent="0.25">
      <c r="B16" s="3" t="s">
        <v>509</v>
      </c>
      <c r="C16" s="34">
        <v>319.5</v>
      </c>
      <c r="D16" s="34">
        <v>0</v>
      </c>
      <c r="E16" s="34">
        <v>136.93</v>
      </c>
      <c r="F16" s="34">
        <v>270</v>
      </c>
      <c r="G16" s="34">
        <v>0</v>
      </c>
      <c r="H16" s="34">
        <v>115.7</v>
      </c>
      <c r="I16" s="34"/>
      <c r="J16" s="34"/>
      <c r="K16" s="34"/>
      <c r="L16" s="34"/>
      <c r="M16" s="34">
        <f>C16+F16+I16</f>
        <v>589.5</v>
      </c>
      <c r="N16" s="34">
        <f>E16+H16+K16</f>
        <v>252.63</v>
      </c>
      <c r="O16" s="121">
        <f>D16+G16+J16</f>
        <v>0</v>
      </c>
      <c r="P16" s="34"/>
      <c r="Q16" s="34"/>
      <c r="R16" s="34"/>
      <c r="S16" s="143">
        <v>589.5</v>
      </c>
      <c r="T16" s="182">
        <f t="shared" si="7"/>
        <v>589.5</v>
      </c>
      <c r="U16" s="188">
        <f t="shared" si="1"/>
        <v>0</v>
      </c>
      <c r="V16" s="178">
        <f t="shared" si="3"/>
        <v>589.5</v>
      </c>
      <c r="W16" s="91">
        <f t="shared" si="8"/>
        <v>0</v>
      </c>
      <c r="X16" s="3" t="s">
        <v>339</v>
      </c>
    </row>
    <row r="17" spans="2:24" x14ac:dyDescent="0.25">
      <c r="B17" s="176" t="s">
        <v>228</v>
      </c>
      <c r="C17" s="34">
        <v>0</v>
      </c>
      <c r="D17" s="34">
        <v>436.36</v>
      </c>
      <c r="E17" s="34">
        <v>0</v>
      </c>
      <c r="F17" s="34">
        <v>0</v>
      </c>
      <c r="G17" s="34">
        <v>441.38</v>
      </c>
      <c r="H17" s="34"/>
      <c r="I17" s="34"/>
      <c r="J17" s="34"/>
      <c r="K17" s="34"/>
      <c r="L17" s="34"/>
      <c r="M17" s="34">
        <f t="shared" ref="M17:M22" si="9">C17+F17+I17</f>
        <v>0</v>
      </c>
      <c r="N17" s="34">
        <f t="shared" ref="N17:N22" si="10">E17+H17+K17</f>
        <v>0</v>
      </c>
      <c r="O17" s="121">
        <f t="shared" ref="O17:O22" si="11">D17+G17+J17</f>
        <v>877.74</v>
      </c>
      <c r="P17" s="34"/>
      <c r="Q17" s="34"/>
      <c r="R17" s="34">
        <v>0</v>
      </c>
      <c r="S17" s="143">
        <v>877.74</v>
      </c>
      <c r="T17" s="182">
        <f t="shared" si="7"/>
        <v>877.74</v>
      </c>
      <c r="U17" s="188">
        <f t="shared" si="1"/>
        <v>0</v>
      </c>
      <c r="V17" s="178">
        <f t="shared" si="3"/>
        <v>877.74</v>
      </c>
      <c r="W17" s="91">
        <f t="shared" si="8"/>
        <v>0</v>
      </c>
      <c r="X17" s="176" t="s">
        <v>228</v>
      </c>
    </row>
    <row r="18" spans="2:24" x14ac:dyDescent="0.25">
      <c r="B18" s="176" t="s">
        <v>461</v>
      </c>
      <c r="C18" s="34"/>
      <c r="D18" s="34">
        <v>589.95000000000005</v>
      </c>
      <c r="E18" s="34"/>
      <c r="F18" s="34"/>
      <c r="G18" s="34">
        <v>939.24</v>
      </c>
      <c r="H18" s="34"/>
      <c r="I18" s="34"/>
      <c r="J18" s="34"/>
      <c r="K18" s="34"/>
      <c r="L18" s="34"/>
      <c r="M18" s="34">
        <f t="shared" si="9"/>
        <v>0</v>
      </c>
      <c r="N18" s="34">
        <f t="shared" si="10"/>
        <v>0</v>
      </c>
      <c r="O18" s="121">
        <f t="shared" si="11"/>
        <v>1529.19</v>
      </c>
      <c r="P18" s="34"/>
      <c r="Q18" s="34"/>
      <c r="R18" s="34">
        <v>0</v>
      </c>
      <c r="S18" s="143">
        <v>1529.19</v>
      </c>
      <c r="T18" s="182">
        <f t="shared" si="7"/>
        <v>1529.19</v>
      </c>
      <c r="U18" s="188">
        <f t="shared" si="1"/>
        <v>0</v>
      </c>
      <c r="V18" s="178">
        <f t="shared" si="3"/>
        <v>1529.19</v>
      </c>
      <c r="W18" s="91">
        <f t="shared" si="8"/>
        <v>0</v>
      </c>
      <c r="X18" s="176" t="s">
        <v>424</v>
      </c>
    </row>
    <row r="19" spans="2:24" x14ac:dyDescent="0.25">
      <c r="B19" s="3" t="s">
        <v>468</v>
      </c>
      <c r="C19" s="34"/>
      <c r="D19" s="217">
        <f>O5</f>
        <v>978.64</v>
      </c>
      <c r="E19" s="34"/>
      <c r="F19" s="34"/>
      <c r="G19" s="34"/>
      <c r="H19" s="34"/>
      <c r="I19" s="34"/>
      <c r="J19" s="34"/>
      <c r="K19" s="34"/>
      <c r="L19" s="34"/>
      <c r="M19" s="34">
        <f t="shared" si="9"/>
        <v>0</v>
      </c>
      <c r="N19" s="34">
        <f t="shared" si="10"/>
        <v>0</v>
      </c>
      <c r="O19" s="121">
        <f t="shared" si="11"/>
        <v>978.64</v>
      </c>
      <c r="P19" s="34">
        <v>0</v>
      </c>
      <c r="Q19" s="34"/>
      <c r="R19" s="34">
        <v>0</v>
      </c>
      <c r="S19" s="143">
        <v>978.64</v>
      </c>
      <c r="T19" s="182">
        <f t="shared" si="7"/>
        <v>978.64</v>
      </c>
      <c r="U19" s="188">
        <f t="shared" si="1"/>
        <v>0</v>
      </c>
      <c r="V19" s="178"/>
      <c r="W19" s="91"/>
      <c r="X19" s="3"/>
    </row>
    <row r="20" spans="2:24" x14ac:dyDescent="0.25">
      <c r="B20" s="166" t="s">
        <v>541</v>
      </c>
      <c r="C20" s="207"/>
      <c r="D20" s="207">
        <v>0</v>
      </c>
      <c r="E20" s="207"/>
      <c r="F20" s="207"/>
      <c r="G20" s="207"/>
      <c r="H20" s="207"/>
      <c r="I20" s="207"/>
      <c r="J20" s="207"/>
      <c r="K20" s="207"/>
      <c r="L20" s="207"/>
      <c r="M20" s="34">
        <f t="shared" si="9"/>
        <v>0</v>
      </c>
      <c r="N20" s="34">
        <f>E20+H20+K20</f>
        <v>0</v>
      </c>
      <c r="O20" s="121">
        <f>D20+G20+J20</f>
        <v>0</v>
      </c>
      <c r="P20" s="207"/>
      <c r="Q20" s="34"/>
      <c r="R20" s="34"/>
      <c r="S20" s="143">
        <v>0</v>
      </c>
      <c r="T20" s="182">
        <f t="shared" si="7"/>
        <v>0</v>
      </c>
      <c r="U20" s="188">
        <f t="shared" si="1"/>
        <v>0</v>
      </c>
      <c r="V20" s="178"/>
      <c r="W20" s="91"/>
      <c r="X20" s="3"/>
    </row>
    <row r="21" spans="2:24" x14ac:dyDescent="0.25">
      <c r="B21" s="176" t="s">
        <v>502</v>
      </c>
      <c r="C21" s="214"/>
      <c r="D21" s="214">
        <v>357.14</v>
      </c>
      <c r="E21" s="214"/>
      <c r="F21" s="214"/>
      <c r="G21" s="214">
        <v>357.14</v>
      </c>
      <c r="H21" s="214"/>
      <c r="I21" s="214"/>
      <c r="J21" s="214"/>
      <c r="K21" s="214"/>
      <c r="L21" s="214"/>
      <c r="M21" s="34">
        <f t="shared" ref="M21" si="12">C21+F21+I21</f>
        <v>0</v>
      </c>
      <c r="N21" s="34">
        <f>E21+H21+K21</f>
        <v>0</v>
      </c>
      <c r="O21" s="121">
        <f>D21+G21+J21</f>
        <v>714.28</v>
      </c>
      <c r="P21" s="207"/>
      <c r="Q21" s="34"/>
      <c r="R21" s="34"/>
      <c r="S21" s="143">
        <v>714.28</v>
      </c>
      <c r="T21" s="182">
        <f t="shared" si="7"/>
        <v>714.28</v>
      </c>
      <c r="U21" s="188">
        <f t="shared" si="1"/>
        <v>0</v>
      </c>
      <c r="V21" s="178"/>
      <c r="W21" s="91"/>
      <c r="X21" s="3"/>
    </row>
    <row r="22" spans="2:24" x14ac:dyDescent="0.25">
      <c r="B22" s="3" t="s">
        <v>48</v>
      </c>
      <c r="C22" s="34"/>
      <c r="D22" s="34"/>
      <c r="E22" s="34"/>
      <c r="F22" s="34"/>
      <c r="G22" s="34"/>
      <c r="H22" s="34"/>
      <c r="I22" s="34"/>
      <c r="J22" s="34"/>
      <c r="K22" s="34"/>
      <c r="L22" s="34"/>
      <c r="M22" s="34">
        <f t="shared" si="9"/>
        <v>0</v>
      </c>
      <c r="N22" s="34">
        <f t="shared" si="10"/>
        <v>0</v>
      </c>
      <c r="O22" s="121">
        <f t="shared" si="11"/>
        <v>0</v>
      </c>
      <c r="P22" s="34"/>
      <c r="Q22" s="34"/>
      <c r="R22" s="34">
        <v>0</v>
      </c>
      <c r="S22" s="143"/>
      <c r="T22" s="182">
        <f t="shared" si="7"/>
        <v>0</v>
      </c>
      <c r="U22" s="188">
        <f t="shared" si="1"/>
        <v>0</v>
      </c>
      <c r="V22" s="178">
        <f t="shared" ref="V22:V24" si="13">S22+U22</f>
        <v>0</v>
      </c>
      <c r="W22" s="91">
        <f t="shared" ref="W22:W24" si="14">S22-T22</f>
        <v>0</v>
      </c>
      <c r="X22" s="3" t="s">
        <v>48</v>
      </c>
    </row>
    <row r="23" spans="2:24" x14ac:dyDescent="0.25">
      <c r="B23" s="3" t="s">
        <v>390</v>
      </c>
      <c r="C23" s="34">
        <v>900</v>
      </c>
      <c r="D23" s="34"/>
      <c r="E23" s="34">
        <f>C23*0.4285752</f>
        <v>385.71767999999997</v>
      </c>
      <c r="F23" s="34">
        <v>836</v>
      </c>
      <c r="G23" s="34">
        <v>1254</v>
      </c>
      <c r="H23" s="34">
        <v>358.29</v>
      </c>
      <c r="I23" s="34"/>
      <c r="J23" s="34"/>
      <c r="K23" s="34"/>
      <c r="L23" s="34"/>
      <c r="M23" s="34">
        <f>C23+F23+I23</f>
        <v>1736</v>
      </c>
      <c r="N23" s="34">
        <f>E23+H23+K23</f>
        <v>744.00767999999994</v>
      </c>
      <c r="O23" s="121">
        <f>D23+G23+J23</f>
        <v>1254</v>
      </c>
      <c r="P23" s="34"/>
      <c r="Q23" s="34"/>
      <c r="R23" s="34"/>
      <c r="S23" s="143">
        <v>2990</v>
      </c>
      <c r="T23" s="182">
        <f>M23+O23</f>
        <v>2990</v>
      </c>
      <c r="U23" s="188">
        <f t="shared" si="1"/>
        <v>0</v>
      </c>
      <c r="V23" s="178">
        <f t="shared" si="13"/>
        <v>2990</v>
      </c>
      <c r="W23" s="91">
        <f t="shared" si="14"/>
        <v>0</v>
      </c>
      <c r="X23" s="3" t="s">
        <v>390</v>
      </c>
    </row>
    <row r="24" spans="2:24" x14ac:dyDescent="0.25">
      <c r="B24" s="219" t="s">
        <v>378</v>
      </c>
      <c r="C24" s="220">
        <v>250.5</v>
      </c>
      <c r="D24" s="220">
        <v>83.5</v>
      </c>
      <c r="E24" s="220">
        <v>107.36</v>
      </c>
      <c r="F24" s="220">
        <v>585</v>
      </c>
      <c r="G24" s="220">
        <v>195</v>
      </c>
      <c r="H24" s="220">
        <v>250.71</v>
      </c>
      <c r="I24" s="220">
        <v>696.75</v>
      </c>
      <c r="J24" s="220">
        <v>232.25</v>
      </c>
      <c r="K24" s="220">
        <v>298.61</v>
      </c>
      <c r="L24" s="220"/>
      <c r="M24" s="220">
        <f>C24+F24+I24+C25+I25</f>
        <v>2187.25</v>
      </c>
      <c r="N24" s="220">
        <f>E24+H24+K24+E25+K25</f>
        <v>937.39</v>
      </c>
      <c r="O24" s="221">
        <f t="shared" ref="O24" si="15">D24+G24+J24</f>
        <v>510.75</v>
      </c>
      <c r="P24" s="220"/>
      <c r="Q24" s="220"/>
      <c r="R24" s="220">
        <v>0</v>
      </c>
      <c r="S24" s="143">
        <v>2698</v>
      </c>
      <c r="T24" s="182">
        <f t="shared" ref="T24" si="16">M24+O24</f>
        <v>2698</v>
      </c>
      <c r="U24" s="188">
        <f t="shared" si="1"/>
        <v>0</v>
      </c>
      <c r="V24" s="178">
        <f t="shared" si="13"/>
        <v>2698</v>
      </c>
      <c r="W24" s="91">
        <f t="shared" si="14"/>
        <v>0</v>
      </c>
      <c r="X24" s="3" t="s">
        <v>378</v>
      </c>
    </row>
    <row r="25" spans="2:24" x14ac:dyDescent="0.25">
      <c r="B25" s="219" t="s">
        <v>462</v>
      </c>
      <c r="C25" s="220">
        <v>230</v>
      </c>
      <c r="D25" s="220"/>
      <c r="E25" s="220">
        <v>98.57</v>
      </c>
      <c r="F25" s="220"/>
      <c r="G25" s="220"/>
      <c r="H25" s="220"/>
      <c r="I25" s="220">
        <v>425</v>
      </c>
      <c r="J25" s="220"/>
      <c r="K25" s="220">
        <v>182.14</v>
      </c>
      <c r="L25" s="220"/>
      <c r="M25" s="220" t="s">
        <v>515</v>
      </c>
      <c r="N25" s="220"/>
      <c r="O25" s="221"/>
      <c r="P25" s="220"/>
      <c r="Q25" s="220"/>
      <c r="R25" s="220"/>
      <c r="S25" s="143"/>
      <c r="T25" s="182"/>
      <c r="U25" s="188">
        <f t="shared" si="1"/>
        <v>0</v>
      </c>
      <c r="V25" s="178"/>
      <c r="W25" s="91"/>
      <c r="X25" s="3"/>
    </row>
    <row r="26" spans="2:24" x14ac:dyDescent="0.25">
      <c r="B26" s="3" t="s">
        <v>379</v>
      </c>
      <c r="C26" s="34">
        <f>574.24+194</f>
        <v>768.24</v>
      </c>
      <c r="D26" s="34">
        <v>0</v>
      </c>
      <c r="E26" s="34">
        <v>329.24</v>
      </c>
      <c r="F26" s="34">
        <v>442.32</v>
      </c>
      <c r="G26" s="34">
        <v>0</v>
      </c>
      <c r="H26" s="34">
        <v>189.57</v>
      </c>
      <c r="I26" s="34"/>
      <c r="J26" s="34"/>
      <c r="K26" s="34"/>
      <c r="L26" s="34"/>
      <c r="M26" s="34">
        <f t="shared" ref="M26:M29" si="17">C26+F26+I26</f>
        <v>1210.56</v>
      </c>
      <c r="N26" s="34">
        <f t="shared" ref="N26:N29" si="18">E26+H26+K26</f>
        <v>518.80999999999995</v>
      </c>
      <c r="O26" s="121">
        <f t="shared" ref="O26:O29" si="19">D26+G26+J26</f>
        <v>0</v>
      </c>
      <c r="P26" s="34"/>
      <c r="Q26" s="34"/>
      <c r="R26" s="34">
        <v>0</v>
      </c>
      <c r="S26" s="143">
        <v>1210.56</v>
      </c>
      <c r="T26" s="182">
        <f t="shared" ref="T26:T29" si="20">M26+O26</f>
        <v>1210.56</v>
      </c>
      <c r="U26" s="188">
        <f t="shared" si="1"/>
        <v>0</v>
      </c>
      <c r="V26" s="178">
        <f t="shared" ref="V26:V35" si="21">S26+U26</f>
        <v>1210.56</v>
      </c>
      <c r="W26" s="91">
        <f t="shared" ref="W26:W27" si="22">S26-T26</f>
        <v>0</v>
      </c>
      <c r="X26" s="3" t="s">
        <v>379</v>
      </c>
    </row>
    <row r="27" spans="2:24" x14ac:dyDescent="0.25">
      <c r="B27" s="3" t="s">
        <v>425</v>
      </c>
      <c r="C27" s="218"/>
      <c r="D27" s="218">
        <v>0</v>
      </c>
      <c r="E27" s="218"/>
      <c r="F27" s="34">
        <v>2300</v>
      </c>
      <c r="G27" s="34">
        <v>0</v>
      </c>
      <c r="H27" s="34">
        <v>985.71</v>
      </c>
      <c r="I27" s="218"/>
      <c r="J27" s="218">
        <v>0</v>
      </c>
      <c r="K27" s="218"/>
      <c r="L27" s="218"/>
      <c r="M27" s="34">
        <f t="shared" si="17"/>
        <v>2300</v>
      </c>
      <c r="N27" s="34">
        <f t="shared" si="18"/>
        <v>985.71</v>
      </c>
      <c r="O27" s="121">
        <f t="shared" si="19"/>
        <v>0</v>
      </c>
      <c r="P27" s="34"/>
      <c r="Q27" s="34"/>
      <c r="R27" s="34">
        <v>0</v>
      </c>
      <c r="S27" s="143">
        <v>2300</v>
      </c>
      <c r="T27" s="182">
        <f t="shared" si="20"/>
        <v>2300</v>
      </c>
      <c r="U27" s="188">
        <f t="shared" si="1"/>
        <v>0</v>
      </c>
      <c r="V27" s="178">
        <f t="shared" si="21"/>
        <v>2300</v>
      </c>
      <c r="W27" s="91">
        <f t="shared" si="22"/>
        <v>0</v>
      </c>
      <c r="X27" s="3" t="s">
        <v>425</v>
      </c>
    </row>
    <row r="28" spans="2:24" x14ac:dyDescent="0.25">
      <c r="B28" s="3" t="s">
        <v>75</v>
      </c>
      <c r="C28" s="34">
        <v>581</v>
      </c>
      <c r="D28" s="34"/>
      <c r="E28" s="34">
        <v>249</v>
      </c>
      <c r="F28" s="34">
        <v>581</v>
      </c>
      <c r="G28" s="34"/>
      <c r="H28" s="34">
        <v>249</v>
      </c>
      <c r="I28" s="34"/>
      <c r="J28" s="34"/>
      <c r="K28" s="34"/>
      <c r="L28" s="34"/>
      <c r="M28" s="34">
        <f t="shared" si="17"/>
        <v>1162</v>
      </c>
      <c r="N28" s="34">
        <f t="shared" si="18"/>
        <v>498</v>
      </c>
      <c r="O28" s="121">
        <f t="shared" si="19"/>
        <v>0</v>
      </c>
      <c r="P28" s="34"/>
      <c r="Q28" s="34"/>
      <c r="R28" s="34">
        <v>0</v>
      </c>
      <c r="S28" s="143">
        <v>1162</v>
      </c>
      <c r="T28" s="182">
        <f t="shared" si="20"/>
        <v>1162</v>
      </c>
      <c r="U28" s="188">
        <f t="shared" si="1"/>
        <v>0</v>
      </c>
      <c r="V28" s="178">
        <f t="shared" si="21"/>
        <v>1162</v>
      </c>
      <c r="W28" s="91">
        <f t="shared" ref="W28:W35" si="23">S28-T28</f>
        <v>0</v>
      </c>
      <c r="X28" s="3" t="s">
        <v>75</v>
      </c>
    </row>
    <row r="29" spans="2:24" x14ac:dyDescent="0.25">
      <c r="B29" s="3" t="s">
        <v>50</v>
      </c>
      <c r="C29" s="34"/>
      <c r="D29" s="34"/>
      <c r="E29" s="34"/>
      <c r="F29" s="34"/>
      <c r="G29" s="34"/>
      <c r="H29" s="34"/>
      <c r="I29" s="34"/>
      <c r="J29" s="34"/>
      <c r="K29" s="34"/>
      <c r="L29" s="34"/>
      <c r="M29" s="34">
        <f t="shared" si="17"/>
        <v>0</v>
      </c>
      <c r="N29" s="34">
        <f t="shared" si="18"/>
        <v>0</v>
      </c>
      <c r="O29" s="121">
        <f t="shared" si="19"/>
        <v>0</v>
      </c>
      <c r="P29" s="34"/>
      <c r="Q29" s="34"/>
      <c r="R29" s="34">
        <v>0</v>
      </c>
      <c r="S29" s="143">
        <v>0</v>
      </c>
      <c r="T29" s="182">
        <f t="shared" si="20"/>
        <v>0</v>
      </c>
      <c r="U29" s="188">
        <f t="shared" si="1"/>
        <v>0</v>
      </c>
      <c r="V29" s="178">
        <f t="shared" si="21"/>
        <v>0</v>
      </c>
      <c r="W29" s="91">
        <f t="shared" si="23"/>
        <v>0</v>
      </c>
      <c r="X29" s="3" t="s">
        <v>50</v>
      </c>
    </row>
    <row r="30" spans="2:24" x14ac:dyDescent="0.25">
      <c r="B30" s="3" t="s">
        <v>340</v>
      </c>
      <c r="C30" s="34">
        <v>210</v>
      </c>
      <c r="D30" s="34">
        <v>0</v>
      </c>
      <c r="E30" s="34">
        <v>90</v>
      </c>
      <c r="F30" s="34">
        <v>195</v>
      </c>
      <c r="G30" s="34">
        <v>0</v>
      </c>
      <c r="H30" s="34">
        <v>83.57</v>
      </c>
      <c r="I30" s="34"/>
      <c r="J30" s="34"/>
      <c r="K30" s="34"/>
      <c r="L30" s="34"/>
      <c r="M30" s="34">
        <f>C30+F30+I30</f>
        <v>405</v>
      </c>
      <c r="N30" s="34">
        <f>E30+H30+K30</f>
        <v>173.57</v>
      </c>
      <c r="O30" s="121">
        <f>D30+G30+J30</f>
        <v>0</v>
      </c>
      <c r="P30" s="34"/>
      <c r="Q30" s="34"/>
      <c r="R30" s="34">
        <v>0</v>
      </c>
      <c r="S30" s="143">
        <v>405</v>
      </c>
      <c r="T30" s="182">
        <f>M30+O30</f>
        <v>405</v>
      </c>
      <c r="U30" s="188">
        <f t="shared" si="1"/>
        <v>0</v>
      </c>
      <c r="V30" s="178">
        <f t="shared" si="21"/>
        <v>405</v>
      </c>
      <c r="W30" s="91">
        <f t="shared" si="23"/>
        <v>0</v>
      </c>
      <c r="X30" s="3" t="s">
        <v>340</v>
      </c>
    </row>
    <row r="31" spans="2:24" x14ac:dyDescent="0.25">
      <c r="B31" s="176" t="s">
        <v>232</v>
      </c>
      <c r="C31" s="34">
        <v>139.94999999999999</v>
      </c>
      <c r="D31" s="34">
        <v>93.3</v>
      </c>
      <c r="E31" s="34">
        <v>59.98</v>
      </c>
      <c r="F31" s="34">
        <v>75.569999999999993</v>
      </c>
      <c r="G31" s="34">
        <v>176.35</v>
      </c>
      <c r="H31" s="34">
        <v>32.39</v>
      </c>
      <c r="I31" s="34"/>
      <c r="J31" s="34"/>
      <c r="K31" s="34"/>
      <c r="L31" s="34"/>
      <c r="M31" s="34">
        <f t="shared" ref="M31" si="24">C31+F31+I31</f>
        <v>215.51999999999998</v>
      </c>
      <c r="N31" s="34">
        <f t="shared" ref="N31:N35" si="25">E31+H31+K31</f>
        <v>92.37</v>
      </c>
      <c r="O31" s="121">
        <f t="shared" ref="O31" si="26">D31+G31+J31</f>
        <v>269.64999999999998</v>
      </c>
      <c r="P31" s="34"/>
      <c r="Q31" s="34"/>
      <c r="R31" s="34">
        <v>0</v>
      </c>
      <c r="S31" s="143">
        <v>485.16</v>
      </c>
      <c r="T31" s="182">
        <f t="shared" ref="T31" si="27">M31+O31</f>
        <v>485.16999999999996</v>
      </c>
      <c r="U31" s="188">
        <f t="shared" si="1"/>
        <v>9.9999999999340616E-3</v>
      </c>
      <c r="V31" s="178">
        <f t="shared" si="21"/>
        <v>485.16999999999996</v>
      </c>
      <c r="W31" s="91">
        <f t="shared" si="23"/>
        <v>-9.9999999999340616E-3</v>
      </c>
      <c r="X31" s="176" t="s">
        <v>232</v>
      </c>
    </row>
    <row r="32" spans="2:24" x14ac:dyDescent="0.25">
      <c r="B32" s="3" t="s">
        <v>344</v>
      </c>
      <c r="C32" s="34"/>
      <c r="D32" s="34"/>
      <c r="E32" s="34"/>
      <c r="F32" s="34"/>
      <c r="G32" s="34"/>
      <c r="H32" s="34"/>
      <c r="I32" s="34"/>
      <c r="J32" s="34"/>
      <c r="K32" s="34"/>
      <c r="L32" s="34"/>
      <c r="M32" s="157"/>
      <c r="N32" s="34">
        <f t="shared" si="25"/>
        <v>0</v>
      </c>
      <c r="O32" s="121"/>
      <c r="P32" s="157"/>
      <c r="Q32" s="157">
        <f>P62</f>
        <v>325.51</v>
      </c>
      <c r="R32" s="157"/>
      <c r="S32" s="143">
        <v>325.51</v>
      </c>
      <c r="T32" s="182">
        <f>Q32+R32</f>
        <v>325.51</v>
      </c>
      <c r="U32" s="188">
        <f t="shared" si="1"/>
        <v>0</v>
      </c>
      <c r="V32" s="178">
        <f t="shared" si="21"/>
        <v>325.51</v>
      </c>
      <c r="W32" s="91">
        <f t="shared" si="23"/>
        <v>0</v>
      </c>
      <c r="X32" s="3" t="s">
        <v>344</v>
      </c>
    </row>
    <row r="33" spans="2:24" x14ac:dyDescent="0.25">
      <c r="B33" s="3" t="s">
        <v>51</v>
      </c>
      <c r="C33" s="34">
        <f>3404.5+1375.29</f>
        <v>4779.79</v>
      </c>
      <c r="D33" s="34">
        <v>0</v>
      </c>
      <c r="E33" s="34">
        <f>1459.07+589.41</f>
        <v>2048.48</v>
      </c>
      <c r="F33" s="34">
        <v>5434.96</v>
      </c>
      <c r="G33" s="34">
        <v>0</v>
      </c>
      <c r="H33" s="34">
        <v>2329.27</v>
      </c>
      <c r="I33" s="34"/>
      <c r="J33" s="34"/>
      <c r="K33" s="34"/>
      <c r="L33" s="34"/>
      <c r="M33" s="34">
        <f t="shared" ref="M33:M35" si="28">C33+F33+I33</f>
        <v>10214.75</v>
      </c>
      <c r="N33" s="34">
        <f t="shared" si="25"/>
        <v>4377.75</v>
      </c>
      <c r="O33" s="121">
        <f t="shared" ref="O33:O35" si="29">D33+G33+J33</f>
        <v>0</v>
      </c>
      <c r="P33" s="34"/>
      <c r="Q33" s="34"/>
      <c r="R33" s="34">
        <v>0</v>
      </c>
      <c r="S33" s="143">
        <v>10214.75</v>
      </c>
      <c r="T33" s="182">
        <f t="shared" ref="T33:T36" si="30">M33+O33</f>
        <v>10214.75</v>
      </c>
      <c r="U33" s="188">
        <f t="shared" si="1"/>
        <v>0</v>
      </c>
      <c r="V33" s="178">
        <f>S33+U33</f>
        <v>10214.75</v>
      </c>
      <c r="W33" s="91">
        <f>S33-T33</f>
        <v>0</v>
      </c>
      <c r="X33" s="3" t="s">
        <v>51</v>
      </c>
    </row>
    <row r="34" spans="2:24" x14ac:dyDescent="0.25">
      <c r="B34" s="3" t="s">
        <v>419</v>
      </c>
      <c r="C34" s="34">
        <v>940.7</v>
      </c>
      <c r="D34" s="34">
        <v>0</v>
      </c>
      <c r="E34" s="34">
        <v>403.16</v>
      </c>
      <c r="F34" s="34"/>
      <c r="G34" s="34"/>
      <c r="H34" s="34"/>
      <c r="I34" s="34"/>
      <c r="J34" s="34"/>
      <c r="K34" s="34"/>
      <c r="L34" s="34"/>
      <c r="M34" s="34">
        <f t="shared" si="28"/>
        <v>940.7</v>
      </c>
      <c r="N34" s="34">
        <f t="shared" si="25"/>
        <v>403.16</v>
      </c>
      <c r="O34" s="121">
        <f t="shared" si="29"/>
        <v>0</v>
      </c>
      <c r="P34" s="34"/>
      <c r="Q34" s="34"/>
      <c r="R34" s="34"/>
      <c r="S34" s="143">
        <v>940.7</v>
      </c>
      <c r="T34" s="182">
        <f t="shared" si="30"/>
        <v>940.7</v>
      </c>
      <c r="U34" s="188">
        <f t="shared" si="1"/>
        <v>0</v>
      </c>
      <c r="V34" s="178">
        <f t="shared" si="21"/>
        <v>940.7</v>
      </c>
      <c r="W34" s="91">
        <f t="shared" si="23"/>
        <v>0</v>
      </c>
      <c r="X34" s="3" t="s">
        <v>419</v>
      </c>
    </row>
    <row r="35" spans="2:24" x14ac:dyDescent="0.25">
      <c r="B35" s="3" t="s">
        <v>467</v>
      </c>
      <c r="C35" s="34">
        <v>384.25</v>
      </c>
      <c r="D35" s="34">
        <v>0</v>
      </c>
      <c r="E35" s="34">
        <v>164.68</v>
      </c>
      <c r="F35" s="34">
        <v>261</v>
      </c>
      <c r="G35" s="34">
        <v>0</v>
      </c>
      <c r="H35" s="34">
        <v>111.86</v>
      </c>
      <c r="I35" s="34"/>
      <c r="J35" s="34"/>
      <c r="K35" s="34"/>
      <c r="L35" s="34"/>
      <c r="M35" s="34">
        <f t="shared" si="28"/>
        <v>645.25</v>
      </c>
      <c r="N35" s="34">
        <f t="shared" si="25"/>
        <v>276.54000000000002</v>
      </c>
      <c r="O35" s="121">
        <f t="shared" si="29"/>
        <v>0</v>
      </c>
      <c r="P35" s="34"/>
      <c r="Q35" s="34"/>
      <c r="R35" s="34"/>
      <c r="S35" s="143">
        <v>645.25</v>
      </c>
      <c r="T35" s="182">
        <f t="shared" si="30"/>
        <v>645.25</v>
      </c>
      <c r="U35" s="188">
        <f t="shared" si="1"/>
        <v>0</v>
      </c>
      <c r="V35" s="178">
        <f t="shared" si="21"/>
        <v>645.25</v>
      </c>
      <c r="W35" s="91">
        <f t="shared" si="23"/>
        <v>0</v>
      </c>
      <c r="X35" s="3"/>
    </row>
    <row r="36" spans="2:24" x14ac:dyDescent="0.25">
      <c r="B36" s="3" t="s">
        <v>510</v>
      </c>
      <c r="C36" s="34"/>
      <c r="D36" s="57">
        <v>699.23</v>
      </c>
      <c r="E36" s="57"/>
      <c r="F36" s="57"/>
      <c r="G36" s="57"/>
      <c r="H36" s="57"/>
      <c r="I36" s="57"/>
      <c r="J36" s="57"/>
      <c r="K36" s="57"/>
      <c r="L36" s="57"/>
      <c r="M36" s="34">
        <f t="shared" ref="M36" si="31">C36+F36+I36</f>
        <v>0</v>
      </c>
      <c r="N36" s="34">
        <f t="shared" ref="N36" si="32">E36+H36+K36</f>
        <v>0</v>
      </c>
      <c r="O36" s="121">
        <f t="shared" ref="O36" si="33">D36+G36+J36</f>
        <v>699.23</v>
      </c>
      <c r="P36" s="57"/>
      <c r="Q36" s="57"/>
      <c r="R36" s="57">
        <v>104.89</v>
      </c>
      <c r="S36" s="117">
        <v>699</v>
      </c>
      <c r="T36" s="182">
        <f t="shared" si="30"/>
        <v>699.23</v>
      </c>
      <c r="U36" s="188">
        <f t="shared" si="1"/>
        <v>0.23000000000001819</v>
      </c>
      <c r="V36" s="178"/>
      <c r="W36" s="91"/>
      <c r="X36" s="3"/>
    </row>
    <row r="37" spans="2:24" x14ac:dyDescent="0.25">
      <c r="B37" s="3" t="s">
        <v>269</v>
      </c>
      <c r="C37" s="34">
        <v>252.56</v>
      </c>
      <c r="D37" s="34">
        <v>0</v>
      </c>
      <c r="E37" s="34">
        <v>108.24</v>
      </c>
      <c r="F37" s="34">
        <v>252.56</v>
      </c>
      <c r="G37" s="34">
        <v>0</v>
      </c>
      <c r="H37" s="34">
        <v>252.56</v>
      </c>
      <c r="I37" s="34"/>
      <c r="J37" s="34"/>
      <c r="K37" s="34"/>
      <c r="L37" s="34"/>
      <c r="M37" s="34">
        <f t="shared" ref="M37" si="34">C37+F37+I37</f>
        <v>505.12</v>
      </c>
      <c r="N37" s="34">
        <f t="shared" ref="N37" si="35">E37+H37+K37</f>
        <v>360.8</v>
      </c>
      <c r="O37" s="121"/>
      <c r="P37" s="34"/>
      <c r="Q37" s="34"/>
      <c r="R37" s="34">
        <v>0</v>
      </c>
      <c r="S37" s="143">
        <v>505.12</v>
      </c>
      <c r="T37" s="182">
        <f t="shared" ref="T37:T38" si="36">M37+O37</f>
        <v>505.12</v>
      </c>
      <c r="U37" s="188">
        <f t="shared" si="1"/>
        <v>0</v>
      </c>
      <c r="V37" s="178">
        <f t="shared" ref="V37:V38" si="37">S37+U37</f>
        <v>505.12</v>
      </c>
      <c r="W37" s="91">
        <f t="shared" ref="W37:W38" si="38">S37-T37</f>
        <v>0</v>
      </c>
      <c r="X37" s="3" t="s">
        <v>269</v>
      </c>
    </row>
    <row r="38" spans="2:24" x14ac:dyDescent="0.25">
      <c r="B38" s="166" t="s">
        <v>492</v>
      </c>
      <c r="C38" s="34">
        <v>25.44</v>
      </c>
      <c r="D38" s="34"/>
      <c r="E38" s="34">
        <v>10.9</v>
      </c>
      <c r="F38" s="34">
        <v>25.44</v>
      </c>
      <c r="G38" s="34">
        <f>394.32-25.44</f>
        <v>368.88</v>
      </c>
      <c r="H38" s="34">
        <v>10.9</v>
      </c>
      <c r="I38" s="34" t="s">
        <v>540</v>
      </c>
      <c r="J38" s="34">
        <v>203.52</v>
      </c>
      <c r="K38" s="34"/>
      <c r="L38" s="34"/>
      <c r="M38" s="34">
        <f t="shared" ref="M38:M41" si="39">C38+F38</f>
        <v>50.88</v>
      </c>
      <c r="N38" s="34">
        <f>E38+H38</f>
        <v>21.8</v>
      </c>
      <c r="O38" s="121">
        <f>G38+J38</f>
        <v>572.4</v>
      </c>
      <c r="P38" s="34"/>
      <c r="Q38" s="34"/>
      <c r="R38" s="34"/>
      <c r="S38" s="143">
        <v>622.91999999999996</v>
      </c>
      <c r="T38" s="182">
        <f t="shared" si="36"/>
        <v>623.28</v>
      </c>
      <c r="U38" s="188">
        <f t="shared" si="1"/>
        <v>0.36000000000001364</v>
      </c>
      <c r="V38" s="178">
        <f t="shared" si="37"/>
        <v>623.28</v>
      </c>
      <c r="W38" s="91">
        <f t="shared" si="38"/>
        <v>-0.36000000000001364</v>
      </c>
      <c r="X38" s="166" t="s">
        <v>395</v>
      </c>
    </row>
    <row r="39" spans="2:24" x14ac:dyDescent="0.25">
      <c r="B39" s="166" t="s">
        <v>494</v>
      </c>
      <c r="C39" s="34"/>
      <c r="D39" s="34"/>
      <c r="E39" s="34"/>
      <c r="F39" s="34"/>
      <c r="G39" s="34"/>
      <c r="H39" s="34"/>
      <c r="I39" s="34"/>
      <c r="J39" s="34"/>
      <c r="K39" s="34"/>
      <c r="L39" s="34"/>
      <c r="M39" s="34">
        <f t="shared" si="39"/>
        <v>0</v>
      </c>
      <c r="N39" s="34">
        <f t="shared" ref="N39:N41" si="40">D39+G39</f>
        <v>0</v>
      </c>
      <c r="O39" s="121">
        <f t="shared" ref="O39:O41" si="41">E39+H39</f>
        <v>0</v>
      </c>
      <c r="P39" s="34"/>
      <c r="Q39" s="34"/>
      <c r="R39" s="34"/>
      <c r="S39" s="143"/>
      <c r="T39" s="182">
        <f t="shared" ref="T39:T41" si="42">M39+N39+P39</f>
        <v>0</v>
      </c>
      <c r="U39" s="188">
        <f t="shared" si="1"/>
        <v>0</v>
      </c>
      <c r="V39" s="178"/>
      <c r="W39" s="91"/>
      <c r="X39" s="166"/>
    </row>
    <row r="40" spans="2:24" x14ac:dyDescent="0.25">
      <c r="B40" s="166" t="s">
        <v>494</v>
      </c>
      <c r="C40" s="34"/>
      <c r="D40" s="34"/>
      <c r="E40" s="34"/>
      <c r="F40" s="34"/>
      <c r="G40" s="34"/>
      <c r="H40" s="34"/>
      <c r="I40" s="34"/>
      <c r="J40" s="34"/>
      <c r="K40" s="34"/>
      <c r="L40" s="34"/>
      <c r="M40" s="34">
        <f t="shared" si="39"/>
        <v>0</v>
      </c>
      <c r="N40" s="34">
        <f t="shared" si="40"/>
        <v>0</v>
      </c>
      <c r="O40" s="121">
        <f t="shared" si="41"/>
        <v>0</v>
      </c>
      <c r="P40" s="34"/>
      <c r="Q40" s="34"/>
      <c r="R40" s="34"/>
      <c r="S40" s="143"/>
      <c r="T40" s="182">
        <f t="shared" si="42"/>
        <v>0</v>
      </c>
      <c r="U40" s="188">
        <f t="shared" si="1"/>
        <v>0</v>
      </c>
      <c r="V40" s="178"/>
      <c r="W40" s="91"/>
      <c r="X40" s="166"/>
    </row>
    <row r="41" spans="2:24" x14ac:dyDescent="0.25">
      <c r="B41" s="166" t="s">
        <v>493</v>
      </c>
      <c r="C41" s="34"/>
      <c r="D41" s="34"/>
      <c r="E41" s="34"/>
      <c r="F41" s="34"/>
      <c r="G41" s="34"/>
      <c r="H41" s="34"/>
      <c r="I41" s="34"/>
      <c r="J41" s="34"/>
      <c r="K41" s="34"/>
      <c r="L41" s="34"/>
      <c r="M41" s="34">
        <f t="shared" si="39"/>
        <v>0</v>
      </c>
      <c r="N41" s="34">
        <f t="shared" si="40"/>
        <v>0</v>
      </c>
      <c r="O41" s="121">
        <f t="shared" si="41"/>
        <v>0</v>
      </c>
      <c r="P41" s="34"/>
      <c r="Q41" s="34"/>
      <c r="R41" s="34"/>
      <c r="S41" s="143"/>
      <c r="T41" s="182">
        <f t="shared" si="42"/>
        <v>0</v>
      </c>
      <c r="U41" s="188">
        <f t="shared" si="1"/>
        <v>0</v>
      </c>
      <c r="V41" s="178"/>
      <c r="W41" s="91"/>
      <c r="X41" s="166"/>
    </row>
    <row r="42" spans="2:24" x14ac:dyDescent="0.25">
      <c r="B42" s="3" t="s">
        <v>52</v>
      </c>
      <c r="C42" s="34">
        <v>843.6</v>
      </c>
      <c r="D42" s="34">
        <v>0</v>
      </c>
      <c r="E42" s="34">
        <v>364.54</v>
      </c>
      <c r="F42" s="34">
        <v>843.6</v>
      </c>
      <c r="G42" s="34">
        <v>0</v>
      </c>
      <c r="H42" s="34">
        <v>361.54</v>
      </c>
      <c r="I42" s="34"/>
      <c r="J42" s="34"/>
      <c r="K42" s="34"/>
      <c r="L42" s="34"/>
      <c r="M42" s="34">
        <f t="shared" ref="M42:M47" si="43">C42+F42+I42</f>
        <v>1687.2</v>
      </c>
      <c r="N42" s="34">
        <f t="shared" ref="N42:N47" si="44">E42+H42+K42</f>
        <v>726.08</v>
      </c>
      <c r="O42" s="121">
        <f t="shared" ref="O42:O47" si="45">D42+G42+J42</f>
        <v>0</v>
      </c>
      <c r="P42" s="34"/>
      <c r="Q42" s="34"/>
      <c r="R42" s="34">
        <v>0</v>
      </c>
      <c r="S42" s="143">
        <v>1687.2</v>
      </c>
      <c r="T42" s="182">
        <f t="shared" ref="T42:T47" si="46">M42+O42</f>
        <v>1687.2</v>
      </c>
      <c r="U42" s="188">
        <f t="shared" si="1"/>
        <v>0</v>
      </c>
      <c r="V42" s="178">
        <f t="shared" ref="V42:V47" si="47">S42+U42</f>
        <v>1687.2</v>
      </c>
      <c r="W42" s="91">
        <f t="shared" ref="W42:W47" si="48">S42-T42</f>
        <v>0</v>
      </c>
      <c r="X42" s="3" t="s">
        <v>52</v>
      </c>
    </row>
    <row r="43" spans="2:24" x14ac:dyDescent="0.25">
      <c r="B43" s="3" t="s">
        <v>76</v>
      </c>
      <c r="C43" s="34">
        <v>73.400000000000006</v>
      </c>
      <c r="D43" s="34">
        <v>0</v>
      </c>
      <c r="E43" s="34">
        <v>31.46</v>
      </c>
      <c r="F43" s="34">
        <v>73.400000000000006</v>
      </c>
      <c r="G43" s="34">
        <v>0</v>
      </c>
      <c r="H43" s="34">
        <v>31.46</v>
      </c>
      <c r="I43" s="34"/>
      <c r="J43" s="34"/>
      <c r="K43" s="34"/>
      <c r="L43" s="34"/>
      <c r="M43" s="34">
        <f t="shared" si="43"/>
        <v>146.80000000000001</v>
      </c>
      <c r="N43" s="34">
        <f t="shared" si="44"/>
        <v>62.92</v>
      </c>
      <c r="O43" s="121">
        <f t="shared" si="45"/>
        <v>0</v>
      </c>
      <c r="P43" s="34"/>
      <c r="Q43" s="34"/>
      <c r="R43" s="34">
        <v>0</v>
      </c>
      <c r="S43" s="143">
        <v>146.80000000000001</v>
      </c>
      <c r="T43" s="182">
        <f t="shared" si="46"/>
        <v>146.80000000000001</v>
      </c>
      <c r="U43" s="188">
        <f t="shared" si="1"/>
        <v>0</v>
      </c>
      <c r="V43" s="178">
        <f t="shared" si="47"/>
        <v>146.80000000000001</v>
      </c>
      <c r="W43" s="91">
        <f t="shared" si="48"/>
        <v>0</v>
      </c>
      <c r="X43" s="3" t="s">
        <v>76</v>
      </c>
    </row>
    <row r="44" spans="2:24" x14ac:dyDescent="0.25">
      <c r="B44" s="3" t="s">
        <v>53</v>
      </c>
      <c r="C44" s="34">
        <v>1587.2</v>
      </c>
      <c r="D44" s="34"/>
      <c r="E44" s="34">
        <v>680.23</v>
      </c>
      <c r="F44" s="34"/>
      <c r="G44" s="34"/>
      <c r="H44" s="34"/>
      <c r="I44" s="34"/>
      <c r="J44" s="34"/>
      <c r="K44" s="34"/>
      <c r="L44" s="34"/>
      <c r="M44" s="34">
        <f t="shared" si="43"/>
        <v>1587.2</v>
      </c>
      <c r="N44" s="34">
        <f t="shared" si="44"/>
        <v>680.23</v>
      </c>
      <c r="O44" s="121">
        <f t="shared" si="45"/>
        <v>0</v>
      </c>
      <c r="P44" s="34"/>
      <c r="Q44" s="34"/>
      <c r="R44" s="34">
        <v>0</v>
      </c>
      <c r="S44" s="143">
        <v>1587.2</v>
      </c>
      <c r="T44" s="182">
        <f t="shared" si="46"/>
        <v>1587.2</v>
      </c>
      <c r="U44" s="188">
        <f t="shared" si="1"/>
        <v>0</v>
      </c>
      <c r="V44" s="178">
        <f t="shared" si="47"/>
        <v>1587.2</v>
      </c>
      <c r="W44" s="91">
        <f t="shared" si="48"/>
        <v>0</v>
      </c>
      <c r="X44" s="3" t="s">
        <v>53</v>
      </c>
    </row>
    <row r="45" spans="2:24" x14ac:dyDescent="0.25">
      <c r="B45" s="3" t="s">
        <v>229</v>
      </c>
      <c r="C45" s="34">
        <v>1267.5</v>
      </c>
      <c r="D45" s="34"/>
      <c r="E45" s="34">
        <v>543.21</v>
      </c>
      <c r="F45" s="34">
        <v>1218.75</v>
      </c>
      <c r="G45" s="34">
        <v>0</v>
      </c>
      <c r="H45" s="34">
        <v>522.32000000000005</v>
      </c>
      <c r="I45" s="34"/>
      <c r="J45" s="34"/>
      <c r="K45" s="34"/>
      <c r="L45" s="34"/>
      <c r="M45" s="34">
        <f t="shared" si="43"/>
        <v>2486.25</v>
      </c>
      <c r="N45" s="34">
        <f t="shared" si="44"/>
        <v>1065.5300000000002</v>
      </c>
      <c r="O45" s="121">
        <f t="shared" si="45"/>
        <v>0</v>
      </c>
      <c r="P45" s="34"/>
      <c r="Q45" s="34"/>
      <c r="R45" s="34">
        <v>0</v>
      </c>
      <c r="S45" s="143">
        <v>2486.25</v>
      </c>
      <c r="T45" s="182">
        <f t="shared" si="46"/>
        <v>2486.25</v>
      </c>
      <c r="U45" s="188">
        <f t="shared" si="1"/>
        <v>0</v>
      </c>
      <c r="V45" s="178">
        <f t="shared" si="47"/>
        <v>2486.25</v>
      </c>
      <c r="W45" s="91">
        <f t="shared" si="48"/>
        <v>0</v>
      </c>
      <c r="X45" s="3" t="s">
        <v>229</v>
      </c>
    </row>
    <row r="46" spans="2:24" x14ac:dyDescent="0.25">
      <c r="B46" s="3" t="s">
        <v>55</v>
      </c>
      <c r="C46" s="34">
        <v>514.82000000000005</v>
      </c>
      <c r="D46" s="34">
        <v>0</v>
      </c>
      <c r="E46" s="34">
        <v>220.64</v>
      </c>
      <c r="F46" s="34">
        <v>803</v>
      </c>
      <c r="G46" s="34">
        <v>0</v>
      </c>
      <c r="H46" s="34">
        <v>344.52</v>
      </c>
      <c r="I46" s="34"/>
      <c r="J46" s="34"/>
      <c r="K46" s="34"/>
      <c r="L46" s="34"/>
      <c r="M46" s="34">
        <f t="shared" si="43"/>
        <v>1317.8200000000002</v>
      </c>
      <c r="N46" s="34">
        <f t="shared" si="44"/>
        <v>565.16</v>
      </c>
      <c r="O46" s="121">
        <f t="shared" si="45"/>
        <v>0</v>
      </c>
      <c r="P46" s="34"/>
      <c r="Q46" s="34"/>
      <c r="R46" s="34">
        <v>0</v>
      </c>
      <c r="S46" s="143">
        <v>1318.7</v>
      </c>
      <c r="T46" s="182">
        <f>M46+O46</f>
        <v>1317.8200000000002</v>
      </c>
      <c r="U46" s="188">
        <f t="shared" si="1"/>
        <v>-0.87999999999988177</v>
      </c>
      <c r="V46" s="178">
        <f t="shared" si="47"/>
        <v>1317.8200000000002</v>
      </c>
      <c r="W46" s="91">
        <f t="shared" si="48"/>
        <v>0.87999999999988177</v>
      </c>
      <c r="X46" s="3" t="s">
        <v>55</v>
      </c>
    </row>
    <row r="47" spans="2:24" x14ac:dyDescent="0.25">
      <c r="B47" s="3" t="s">
        <v>54</v>
      </c>
      <c r="C47" s="34">
        <v>697.68</v>
      </c>
      <c r="D47" s="34">
        <v>0</v>
      </c>
      <c r="E47" s="34">
        <v>299.01</v>
      </c>
      <c r="F47" s="34">
        <v>563.04</v>
      </c>
      <c r="G47" s="34">
        <v>0</v>
      </c>
      <c r="H47" s="34">
        <v>241.3</v>
      </c>
      <c r="I47" s="34"/>
      <c r="J47" s="34"/>
      <c r="K47" s="34"/>
      <c r="L47" s="34"/>
      <c r="M47" s="34">
        <f t="shared" si="43"/>
        <v>1260.7199999999998</v>
      </c>
      <c r="N47" s="34">
        <f t="shared" si="44"/>
        <v>540.30999999999995</v>
      </c>
      <c r="O47" s="121">
        <f t="shared" si="45"/>
        <v>0</v>
      </c>
      <c r="P47" s="34"/>
      <c r="Q47" s="34"/>
      <c r="R47" s="34">
        <v>0</v>
      </c>
      <c r="S47" s="143">
        <v>1260.72</v>
      </c>
      <c r="T47" s="182">
        <f t="shared" si="46"/>
        <v>1260.7199999999998</v>
      </c>
      <c r="U47" s="188">
        <f t="shared" si="1"/>
        <v>0</v>
      </c>
      <c r="V47" s="178">
        <f t="shared" si="47"/>
        <v>1260.72</v>
      </c>
      <c r="W47" s="91">
        <f t="shared" si="48"/>
        <v>0</v>
      </c>
      <c r="X47" s="3" t="s">
        <v>54</v>
      </c>
    </row>
    <row r="48" spans="2:24" x14ac:dyDescent="0.25">
      <c r="B48" s="3"/>
      <c r="C48" s="57">
        <f t="shared" ref="C48:W48" si="49">SUM(C10:C47)</f>
        <v>29629.930000000004</v>
      </c>
      <c r="D48" s="57">
        <f t="shared" si="49"/>
        <v>4535.49</v>
      </c>
      <c r="E48" s="57">
        <f t="shared" si="49"/>
        <v>12701.547679999998</v>
      </c>
      <c r="F48" s="57">
        <f t="shared" si="49"/>
        <v>27733.489999999998</v>
      </c>
      <c r="G48" s="57">
        <f t="shared" si="49"/>
        <v>5007.4800000000005</v>
      </c>
      <c r="H48" s="57">
        <f t="shared" si="49"/>
        <v>12030.46</v>
      </c>
      <c r="I48" s="57">
        <f t="shared" si="49"/>
        <v>1121.75</v>
      </c>
      <c r="J48" s="57">
        <f t="shared" si="49"/>
        <v>435.77</v>
      </c>
      <c r="K48" s="57">
        <f t="shared" si="49"/>
        <v>480.75</v>
      </c>
      <c r="L48" s="57">
        <f t="shared" si="49"/>
        <v>0</v>
      </c>
      <c r="M48" s="57">
        <f t="shared" si="49"/>
        <v>58485.169999999991</v>
      </c>
      <c r="N48" s="57">
        <f t="shared" si="49"/>
        <v>25212.757679999995</v>
      </c>
      <c r="O48" s="57">
        <f t="shared" si="49"/>
        <v>9978.739999999998</v>
      </c>
      <c r="P48" s="57">
        <f t="shared" si="49"/>
        <v>0</v>
      </c>
      <c r="Q48" s="57">
        <f t="shared" si="49"/>
        <v>325.51</v>
      </c>
      <c r="R48" s="57">
        <f t="shared" si="49"/>
        <v>104.89</v>
      </c>
      <c r="S48" s="57">
        <f t="shared" si="49"/>
        <v>68789.7</v>
      </c>
      <c r="T48" s="57">
        <f t="shared" si="49"/>
        <v>68789.420000000013</v>
      </c>
      <c r="U48" s="57">
        <f t="shared" si="49"/>
        <v>-0.27999999999991587</v>
      </c>
      <c r="V48" s="57">
        <f t="shared" si="49"/>
        <v>66397.26999999999</v>
      </c>
      <c r="W48" s="57">
        <f t="shared" si="49"/>
        <v>0.50999999999993406</v>
      </c>
    </row>
    <row r="49" spans="2:23" x14ac:dyDescent="0.25">
      <c r="B49" s="3"/>
      <c r="C49" s="57"/>
      <c r="D49" s="57"/>
      <c r="E49" s="57"/>
      <c r="F49" s="57"/>
      <c r="G49" s="57"/>
      <c r="H49" s="57"/>
      <c r="I49" s="57"/>
      <c r="J49" s="57"/>
      <c r="K49" s="57"/>
      <c r="L49" s="57"/>
      <c r="M49" s="57"/>
      <c r="N49" s="57"/>
      <c r="O49" s="69"/>
      <c r="P49" s="57"/>
      <c r="Q49" s="57"/>
      <c r="R49" s="57"/>
      <c r="S49" s="117"/>
      <c r="T49" s="117"/>
      <c r="U49" s="117"/>
      <c r="V49" s="117"/>
      <c r="W49" s="117"/>
    </row>
    <row r="50" spans="2:23" x14ac:dyDescent="0.25">
      <c r="B50" s="3" t="s">
        <v>504</v>
      </c>
      <c r="C50" s="57"/>
      <c r="D50" s="57"/>
      <c r="E50" s="57"/>
      <c r="F50" s="57"/>
      <c r="G50" s="57"/>
      <c r="H50" s="57"/>
      <c r="I50" s="57"/>
      <c r="J50" s="57"/>
      <c r="K50" s="57"/>
      <c r="L50" s="57"/>
      <c r="M50" s="57"/>
      <c r="N50" s="57"/>
      <c r="O50" s="69"/>
      <c r="P50" s="57"/>
      <c r="Q50" s="57"/>
      <c r="R50" s="57"/>
      <c r="S50" s="117"/>
      <c r="T50" s="117">
        <f>+U48+T48</f>
        <v>68789.140000000014</v>
      </c>
      <c r="U50" s="117"/>
      <c r="V50" s="117"/>
      <c r="W50" s="117"/>
    </row>
    <row r="51" spans="2:23" x14ac:dyDescent="0.25">
      <c r="B51" s="3"/>
      <c r="C51" s="57"/>
      <c r="D51" s="57"/>
      <c r="E51" s="57"/>
      <c r="F51" s="57"/>
      <c r="G51" s="57"/>
      <c r="H51" s="57"/>
      <c r="I51" s="57"/>
      <c r="J51" s="57"/>
      <c r="K51" s="57"/>
      <c r="L51" s="57"/>
      <c r="M51" s="57"/>
      <c r="N51" s="57"/>
      <c r="O51" s="69"/>
      <c r="P51" s="57"/>
      <c r="Q51" s="57"/>
      <c r="R51" s="57"/>
      <c r="S51" s="117"/>
      <c r="T51" s="117"/>
      <c r="U51" s="117"/>
      <c r="V51" s="117"/>
      <c r="W51" s="117"/>
    </row>
    <row r="52" spans="2:23" x14ac:dyDescent="0.25">
      <c r="B52" s="3"/>
      <c r="C52" s="3"/>
      <c r="D52" s="3"/>
      <c r="E52" s="3"/>
      <c r="F52" s="3"/>
      <c r="G52" s="3"/>
      <c r="H52" s="3"/>
      <c r="I52" s="3"/>
      <c r="J52" s="3"/>
      <c r="K52" s="3"/>
      <c r="L52" s="8" t="s">
        <v>167</v>
      </c>
      <c r="M52" s="8"/>
      <c r="N52" s="8"/>
      <c r="O52" s="122">
        <f>S48-P48</f>
        <v>68789.7</v>
      </c>
      <c r="P52" s="34"/>
      <c r="Q52" s="34"/>
      <c r="R52" s="34"/>
    </row>
    <row r="53" spans="2:23" x14ac:dyDescent="0.25">
      <c r="C53" s="149" t="s">
        <v>100</v>
      </c>
      <c r="D53" s="149" t="s">
        <v>104</v>
      </c>
      <c r="E53" s="149" t="s">
        <v>101</v>
      </c>
      <c r="F53" s="149" t="s">
        <v>100</v>
      </c>
      <c r="G53" s="149" t="s">
        <v>104</v>
      </c>
      <c r="H53" s="149" t="s">
        <v>101</v>
      </c>
      <c r="I53" s="149" t="s">
        <v>100</v>
      </c>
      <c r="J53" s="149" t="s">
        <v>104</v>
      </c>
      <c r="K53" s="149" t="s">
        <v>101</v>
      </c>
      <c r="L53" s="37"/>
      <c r="M53" s="149" t="s">
        <v>105</v>
      </c>
      <c r="N53" s="149" t="s">
        <v>102</v>
      </c>
      <c r="O53" s="150" t="s">
        <v>103</v>
      </c>
      <c r="P53" s="151" t="s">
        <v>267</v>
      </c>
      <c r="Q53" s="151"/>
      <c r="R53" s="151" t="s">
        <v>267</v>
      </c>
      <c r="S53" s="124" t="s">
        <v>270</v>
      </c>
      <c r="T53" s="124" t="s">
        <v>93</v>
      </c>
      <c r="U53" s="90"/>
      <c r="V53" s="90"/>
    </row>
    <row r="54" spans="2:23" x14ac:dyDescent="0.25">
      <c r="B54" s="3" t="s">
        <v>311</v>
      </c>
      <c r="C54" s="3"/>
      <c r="D54" s="3">
        <v>0</v>
      </c>
      <c r="E54" s="3"/>
      <c r="F54" s="3"/>
      <c r="G54" s="3"/>
      <c r="H54" s="3"/>
      <c r="I54" s="3"/>
      <c r="J54" s="3"/>
      <c r="K54" s="3"/>
      <c r="L54" s="3"/>
      <c r="M54" s="34">
        <f>C54+F54+I54</f>
        <v>0</v>
      </c>
      <c r="N54" s="34">
        <f>E54+H54+K54</f>
        <v>0</v>
      </c>
      <c r="O54" s="34">
        <f>D54+G54+J54</f>
        <v>0</v>
      </c>
      <c r="P54" s="34">
        <v>0</v>
      </c>
      <c r="Q54" s="34"/>
      <c r="R54" s="34">
        <v>0</v>
      </c>
      <c r="S54" s="3">
        <v>0</v>
      </c>
      <c r="T54" s="152">
        <f>M54+O54</f>
        <v>0</v>
      </c>
      <c r="U54" s="171"/>
      <c r="V54" s="171"/>
    </row>
    <row r="55" spans="2:23" x14ac:dyDescent="0.25">
      <c r="B55" s="3"/>
      <c r="C55" s="3"/>
      <c r="D55" s="3"/>
      <c r="E55" s="3" t="s">
        <v>368</v>
      </c>
      <c r="F55" s="3"/>
      <c r="G55" s="3"/>
      <c r="H55" s="3"/>
      <c r="I55" s="3"/>
      <c r="J55" s="202"/>
      <c r="K55" s="3"/>
      <c r="L55" s="3"/>
      <c r="M55" s="3"/>
      <c r="N55" s="3"/>
      <c r="O55" s="3"/>
      <c r="P55" s="3"/>
      <c r="Q55" s="3"/>
      <c r="R55" s="3"/>
      <c r="S55" s="3"/>
      <c r="T55" s="3"/>
      <c r="U55" s="20">
        <f>267.51+251.98+251.56+263.11</f>
        <v>1034.1599999999999</v>
      </c>
      <c r="V55" s="20"/>
      <c r="W55">
        <f>49436-49492</f>
        <v>-56</v>
      </c>
    </row>
    <row r="56" spans="2:23" x14ac:dyDescent="0.25">
      <c r="B56" t="s">
        <v>367</v>
      </c>
      <c r="C56" s="162"/>
      <c r="D56" s="42"/>
      <c r="E56" s="42"/>
      <c r="I56" s="164" t="s">
        <v>383</v>
      </c>
      <c r="J56" s="164" t="s">
        <v>384</v>
      </c>
      <c r="K56" s="164" t="s">
        <v>385</v>
      </c>
      <c r="L56" s="164" t="s">
        <v>368</v>
      </c>
      <c r="M56" s="3"/>
      <c r="N56" s="164" t="s">
        <v>386</v>
      </c>
      <c r="O56" s="164" t="s">
        <v>387</v>
      </c>
      <c r="P56" s="164" t="s">
        <v>388</v>
      </c>
      <c r="Q56" s="169"/>
    </row>
    <row r="57" spans="2:23" x14ac:dyDescent="0.25">
      <c r="C57" s="162">
        <v>43727</v>
      </c>
      <c r="D57" s="177">
        <v>54.6</v>
      </c>
      <c r="E57" s="42">
        <v>71.349999999999994</v>
      </c>
      <c r="G57" s="163" t="s">
        <v>367</v>
      </c>
      <c r="I57" s="165"/>
      <c r="J57" s="135"/>
      <c r="K57" s="135">
        <f>I57-J57</f>
        <v>0</v>
      </c>
      <c r="L57" s="135">
        <v>0</v>
      </c>
      <c r="M57" s="157" t="e">
        <f>K57/L57</f>
        <v>#DIV/0!</v>
      </c>
      <c r="N57" s="157" t="e">
        <f>I57/M57</f>
        <v>#DIV/0!</v>
      </c>
      <c r="O57" s="157" t="e">
        <f>J57/M57</f>
        <v>#DIV/0!</v>
      </c>
      <c r="P57" s="135" t="e">
        <f>K57/M57</f>
        <v>#DIV/0!</v>
      </c>
      <c r="Q57" s="170"/>
    </row>
    <row r="58" spans="2:23" x14ac:dyDescent="0.25">
      <c r="C58" s="162"/>
      <c r="D58" s="42">
        <v>51.8</v>
      </c>
      <c r="E58" s="42">
        <v>71.37</v>
      </c>
      <c r="I58" s="135">
        <v>78</v>
      </c>
      <c r="J58" s="135">
        <v>23.4</v>
      </c>
      <c r="K58" s="135">
        <f t="shared" ref="K58:K61" si="50">I58-J58</f>
        <v>54.6</v>
      </c>
      <c r="L58" s="135">
        <v>80.599999999999994</v>
      </c>
      <c r="M58" s="157">
        <f t="shared" ref="M58:M61" si="51">K58/L58</f>
        <v>0.67741935483870974</v>
      </c>
      <c r="N58" s="157">
        <f t="shared" ref="N58:N61" si="52">I58/M58</f>
        <v>115.14285714285714</v>
      </c>
      <c r="O58" s="157">
        <f t="shared" ref="O58:O61" si="53">J58/M58</f>
        <v>34.542857142857137</v>
      </c>
      <c r="P58" s="135">
        <f t="shared" ref="P58:P61" si="54">K58/M58</f>
        <v>80.599999999999994</v>
      </c>
      <c r="Q58" s="170"/>
      <c r="S58" s="167">
        <f>212+60+20+105</f>
        <v>397</v>
      </c>
    </row>
    <row r="59" spans="2:23" x14ac:dyDescent="0.25">
      <c r="C59" s="162"/>
      <c r="D59" s="42">
        <v>51.8</v>
      </c>
      <c r="E59" s="42">
        <v>72.930000000000007</v>
      </c>
      <c r="I59" s="135">
        <v>78</v>
      </c>
      <c r="J59" s="135">
        <v>23.4</v>
      </c>
      <c r="K59" s="135">
        <f t="shared" si="50"/>
        <v>54.6</v>
      </c>
      <c r="L59" s="135">
        <v>79.150000000000006</v>
      </c>
      <c r="M59" s="157">
        <f t="shared" si="51"/>
        <v>0.68982943777637395</v>
      </c>
      <c r="N59" s="157">
        <f t="shared" si="52"/>
        <v>113.07142857142857</v>
      </c>
      <c r="O59" s="157">
        <f t="shared" si="53"/>
        <v>33.921428571428571</v>
      </c>
      <c r="P59" s="135">
        <f t="shared" si="54"/>
        <v>79.150000000000006</v>
      </c>
      <c r="Q59" s="170"/>
    </row>
    <row r="60" spans="2:23" x14ac:dyDescent="0.25">
      <c r="C60" s="162"/>
      <c r="D60" s="42">
        <v>51.8</v>
      </c>
      <c r="E60" s="42">
        <v>74.13</v>
      </c>
      <c r="I60" s="135">
        <v>78</v>
      </c>
      <c r="J60" s="135">
        <v>23.4</v>
      </c>
      <c r="K60" s="135">
        <f t="shared" si="50"/>
        <v>54.6</v>
      </c>
      <c r="L60" s="135">
        <v>81.25</v>
      </c>
      <c r="M60" s="157">
        <f t="shared" si="51"/>
        <v>0.67200000000000004</v>
      </c>
      <c r="N60" s="157">
        <f t="shared" si="52"/>
        <v>116.07142857142857</v>
      </c>
      <c r="O60" s="157">
        <f t="shared" si="53"/>
        <v>34.821428571428569</v>
      </c>
      <c r="P60" s="135">
        <f t="shared" si="54"/>
        <v>81.25</v>
      </c>
      <c r="Q60" s="170"/>
    </row>
    <row r="61" spans="2:23" x14ac:dyDescent="0.25">
      <c r="E61">
        <f>SUM(E57:E60)</f>
        <v>289.77999999999997</v>
      </c>
      <c r="I61" s="135">
        <v>78</v>
      </c>
      <c r="J61" s="135">
        <v>23.4</v>
      </c>
      <c r="K61" s="135">
        <f t="shared" si="50"/>
        <v>54.6</v>
      </c>
      <c r="L61" s="135">
        <v>84.51</v>
      </c>
      <c r="M61" s="180">
        <f t="shared" si="51"/>
        <v>0.64607738729144482</v>
      </c>
      <c r="N61" s="157">
        <f t="shared" si="52"/>
        <v>120.72857142857143</v>
      </c>
      <c r="O61" s="157">
        <f t="shared" si="53"/>
        <v>36.218571428571423</v>
      </c>
      <c r="P61" s="135">
        <f t="shared" si="54"/>
        <v>84.51</v>
      </c>
      <c r="Q61" s="170"/>
    </row>
    <row r="62" spans="2:23" x14ac:dyDescent="0.25">
      <c r="I62" s="135"/>
      <c r="J62" s="135"/>
      <c r="K62" s="135"/>
      <c r="L62" s="135">
        <f>SUM(L57:L61)</f>
        <v>325.51</v>
      </c>
      <c r="M62" s="180"/>
      <c r="N62" s="157">
        <f>SUM(N58:N61)</f>
        <v>465.01428571428573</v>
      </c>
      <c r="O62" s="158">
        <f>SUM(O58:O61)</f>
        <v>139.50428571428569</v>
      </c>
      <c r="P62" s="135">
        <f>SUM(P58:P61)</f>
        <v>325.51</v>
      </c>
      <c r="Q62" s="170"/>
    </row>
    <row r="63" spans="2:23" x14ac:dyDescent="0.25">
      <c r="E63">
        <f>239.45/558.72</f>
        <v>0.42856887170675828</v>
      </c>
      <c r="F63" s="91"/>
    </row>
    <row r="64" spans="2:23" x14ac:dyDescent="0.25">
      <c r="E64">
        <f>321.86/751</f>
        <v>0.4285752330226365</v>
      </c>
    </row>
    <row r="65" spans="2:24" x14ac:dyDescent="0.25">
      <c r="B65" t="s">
        <v>446</v>
      </c>
    </row>
    <row r="66" spans="2:24" x14ac:dyDescent="0.25">
      <c r="B66" s="3" t="s">
        <v>42</v>
      </c>
      <c r="C66" s="4" t="s">
        <v>98</v>
      </c>
      <c r="D66" s="4"/>
      <c r="E66" s="4"/>
      <c r="F66" s="4" t="s">
        <v>99</v>
      </c>
      <c r="G66" s="4"/>
      <c r="H66" s="4"/>
      <c r="I66" s="4" t="s">
        <v>342</v>
      </c>
      <c r="J66" s="4"/>
      <c r="K66" s="4"/>
      <c r="L66" s="4"/>
      <c r="M66" s="4" t="s">
        <v>93</v>
      </c>
      <c r="N66" s="3" t="s">
        <v>93</v>
      </c>
      <c r="O66" s="119"/>
      <c r="P66" s="34"/>
      <c r="Q66" s="34" t="s">
        <v>345</v>
      </c>
      <c r="R66" s="34" t="s">
        <v>345</v>
      </c>
      <c r="S66" s="50">
        <v>43646</v>
      </c>
    </row>
    <row r="67" spans="2:24" x14ac:dyDescent="0.25">
      <c r="B67" s="3"/>
      <c r="C67" s="54" t="s">
        <v>100</v>
      </c>
      <c r="D67" s="54" t="s">
        <v>104</v>
      </c>
      <c r="E67" s="54" t="s">
        <v>101</v>
      </c>
      <c r="F67" s="54" t="s">
        <v>100</v>
      </c>
      <c r="G67" s="54" t="s">
        <v>104</v>
      </c>
      <c r="H67" s="54" t="s">
        <v>101</v>
      </c>
      <c r="I67" s="54" t="s">
        <v>100</v>
      </c>
      <c r="J67" s="54" t="s">
        <v>104</v>
      </c>
      <c r="K67" s="54" t="s">
        <v>101</v>
      </c>
      <c r="L67" s="32" t="s">
        <v>104</v>
      </c>
      <c r="M67" s="54" t="s">
        <v>105</v>
      </c>
      <c r="N67" s="54" t="s">
        <v>102</v>
      </c>
      <c r="O67" s="120" t="s">
        <v>103</v>
      </c>
      <c r="P67" s="123" t="s">
        <v>267</v>
      </c>
      <c r="Q67" s="123"/>
      <c r="R67" s="123" t="s">
        <v>346</v>
      </c>
      <c r="S67" s="124" t="s">
        <v>270</v>
      </c>
      <c r="T67" s="124" t="s">
        <v>93</v>
      </c>
      <c r="U67" s="90" t="s">
        <v>404</v>
      </c>
      <c r="V67" s="90" t="s">
        <v>405</v>
      </c>
    </row>
    <row r="68" spans="2:24" x14ac:dyDescent="0.25">
      <c r="B68" s="3" t="s">
        <v>423</v>
      </c>
      <c r="C68" s="186">
        <v>0</v>
      </c>
      <c r="D68" s="186">
        <v>522.4</v>
      </c>
      <c r="E68" s="186"/>
      <c r="F68" s="186"/>
      <c r="G68" s="186">
        <v>476.48</v>
      </c>
      <c r="H68" s="186"/>
      <c r="I68" s="186"/>
      <c r="J68" s="186">
        <v>268.8</v>
      </c>
      <c r="K68" s="186"/>
      <c r="L68" s="107"/>
      <c r="M68" s="107">
        <f>C68+F68+I68</f>
        <v>0</v>
      </c>
      <c r="N68" s="107">
        <f>E68+H68+K68</f>
        <v>0</v>
      </c>
      <c r="O68" s="183">
        <f>D68+G68+J68</f>
        <v>1267.68</v>
      </c>
      <c r="P68" s="187">
        <v>245</v>
      </c>
      <c r="Q68" s="187"/>
      <c r="R68" s="187"/>
      <c r="S68" s="188">
        <v>1267.68</v>
      </c>
      <c r="T68" s="184">
        <f>M68+O68</f>
        <v>1267.68</v>
      </c>
      <c r="U68" s="188">
        <f>T68-S68</f>
        <v>0</v>
      </c>
      <c r="V68" s="188">
        <f>S68+U68</f>
        <v>1267.68</v>
      </c>
      <c r="X68" s="3" t="s">
        <v>423</v>
      </c>
    </row>
    <row r="69" spans="2:24" x14ac:dyDescent="0.25">
      <c r="B69" s="3" t="s">
        <v>400</v>
      </c>
      <c r="C69" s="186">
        <v>133</v>
      </c>
      <c r="D69" s="186"/>
      <c r="E69" s="186">
        <v>57</v>
      </c>
      <c r="F69" s="186">
        <v>189</v>
      </c>
      <c r="G69" s="186"/>
      <c r="H69" s="186">
        <v>81</v>
      </c>
      <c r="I69" s="186"/>
      <c r="J69" s="186"/>
      <c r="K69" s="186"/>
      <c r="L69" s="107"/>
      <c r="M69" s="107">
        <f>C69+F69+I69</f>
        <v>322</v>
      </c>
      <c r="N69" s="107">
        <f>E69+H69+K69</f>
        <v>138</v>
      </c>
      <c r="O69" s="183">
        <f>D69+G69+J69</f>
        <v>0</v>
      </c>
      <c r="P69" s="107">
        <v>0</v>
      </c>
      <c r="Q69" s="107"/>
      <c r="R69" s="107">
        <v>0</v>
      </c>
      <c r="S69" s="185">
        <v>322</v>
      </c>
      <c r="T69" s="184">
        <f>M69+O69</f>
        <v>322</v>
      </c>
      <c r="U69" s="188">
        <f t="shared" ref="U69:U107" si="55">T69-S69</f>
        <v>0</v>
      </c>
      <c r="V69" s="188">
        <f t="shared" ref="V69:V107" si="56">S69+U69</f>
        <v>322</v>
      </c>
      <c r="W69" s="91">
        <f>S69-T69</f>
        <v>0</v>
      </c>
      <c r="X69" s="3" t="s">
        <v>400</v>
      </c>
    </row>
    <row r="70" spans="2:24" x14ac:dyDescent="0.25">
      <c r="B70" s="3" t="s">
        <v>43</v>
      </c>
      <c r="C70" s="34">
        <v>2753.76</v>
      </c>
      <c r="D70" s="34"/>
      <c r="E70" s="34">
        <v>1180.18</v>
      </c>
      <c r="F70" s="34">
        <v>4393.63</v>
      </c>
      <c r="G70" s="34"/>
      <c r="H70" s="34">
        <v>1882.98</v>
      </c>
      <c r="I70" s="34">
        <v>2428.31</v>
      </c>
      <c r="J70" s="34"/>
      <c r="K70" s="34">
        <v>1040.7</v>
      </c>
      <c r="L70" s="34"/>
      <c r="M70" s="34">
        <f>C70+F70+I70</f>
        <v>9575.7000000000007</v>
      </c>
      <c r="N70" s="34">
        <f>E70+H70+K70</f>
        <v>4103.8599999999997</v>
      </c>
      <c r="O70" s="121">
        <f>D70+G70+J70</f>
        <v>0</v>
      </c>
      <c r="P70" s="34">
        <v>0</v>
      </c>
      <c r="Q70" s="34"/>
      <c r="R70" s="34">
        <v>0</v>
      </c>
      <c r="S70" s="143">
        <v>9575.7000000000007</v>
      </c>
      <c r="T70" s="182">
        <f>M70+O70</f>
        <v>9575.7000000000007</v>
      </c>
      <c r="U70" s="178">
        <f t="shared" si="55"/>
        <v>0</v>
      </c>
      <c r="V70" s="178">
        <f t="shared" si="56"/>
        <v>9575.7000000000007</v>
      </c>
      <c r="W70" s="91">
        <f t="shared" ref="W70:W72" si="57">S70-T70</f>
        <v>0</v>
      </c>
      <c r="X70" s="3" t="s">
        <v>43</v>
      </c>
    </row>
    <row r="71" spans="2:24" x14ac:dyDescent="0.25">
      <c r="B71" s="3"/>
      <c r="C71" s="34"/>
      <c r="D71" s="34"/>
      <c r="E71" s="34"/>
      <c r="F71" s="34"/>
      <c r="G71" s="34"/>
      <c r="H71" s="34"/>
      <c r="I71" s="34"/>
      <c r="J71" s="34"/>
      <c r="K71" s="34"/>
      <c r="L71" s="34"/>
      <c r="M71" s="34"/>
      <c r="N71" s="34"/>
      <c r="O71" s="121"/>
      <c r="P71" s="34"/>
      <c r="Q71" s="34"/>
      <c r="R71" s="34"/>
      <c r="S71" s="143"/>
      <c r="T71" s="182"/>
      <c r="U71" s="178"/>
      <c r="V71" s="178"/>
      <c r="W71" s="91"/>
      <c r="X71" s="3" t="s">
        <v>416</v>
      </c>
    </row>
    <row r="72" spans="2:24" x14ac:dyDescent="0.25">
      <c r="B72" s="3" t="s">
        <v>341</v>
      </c>
      <c r="C72" s="34"/>
      <c r="D72" s="34"/>
      <c r="E72" s="34"/>
      <c r="F72" s="34"/>
      <c r="G72" s="34"/>
      <c r="H72" s="34"/>
      <c r="I72" s="34"/>
      <c r="J72" s="34"/>
      <c r="K72" s="34"/>
      <c r="L72" s="34"/>
      <c r="M72" s="34">
        <f>C72+F72+I72</f>
        <v>0</v>
      </c>
      <c r="N72" s="34">
        <f>E72+H72+K72</f>
        <v>0</v>
      </c>
      <c r="O72" s="121">
        <f>D72+G72+J72</f>
        <v>0</v>
      </c>
      <c r="P72" s="34">
        <v>0</v>
      </c>
      <c r="Q72" s="34"/>
      <c r="R72" s="34">
        <v>0</v>
      </c>
      <c r="S72" s="143">
        <v>0</v>
      </c>
      <c r="T72" s="182">
        <f>M72+O72</f>
        <v>0</v>
      </c>
      <c r="U72" s="178">
        <f t="shared" si="55"/>
        <v>0</v>
      </c>
      <c r="V72" s="178">
        <f t="shared" si="56"/>
        <v>0</v>
      </c>
      <c r="W72" s="91">
        <f t="shared" si="57"/>
        <v>0</v>
      </c>
      <c r="X72" s="3" t="s">
        <v>341</v>
      </c>
    </row>
    <row r="73" spans="2:24" x14ac:dyDescent="0.25">
      <c r="B73" s="3" t="s">
        <v>422</v>
      </c>
      <c r="C73" s="34">
        <v>227.5</v>
      </c>
      <c r="D73" s="34">
        <v>227.5</v>
      </c>
      <c r="E73" s="34">
        <v>97.5</v>
      </c>
      <c r="F73" s="34">
        <v>211.25</v>
      </c>
      <c r="G73" s="34">
        <v>211.25</v>
      </c>
      <c r="H73" s="34">
        <v>90.54</v>
      </c>
      <c r="I73" s="34"/>
      <c r="J73" s="34"/>
      <c r="K73" s="34"/>
      <c r="L73" s="34"/>
      <c r="M73" s="34">
        <f>C73+F73+I73</f>
        <v>438.75</v>
      </c>
      <c r="N73" s="34">
        <f>E73+H73+K73</f>
        <v>188.04000000000002</v>
      </c>
      <c r="O73" s="121">
        <f>D73+G73+J73</f>
        <v>438.75</v>
      </c>
      <c r="P73" s="34"/>
      <c r="Q73" s="34"/>
      <c r="R73" s="34"/>
      <c r="S73" s="143">
        <v>877.5</v>
      </c>
      <c r="T73" s="182">
        <f>M73+O73</f>
        <v>877.5</v>
      </c>
      <c r="U73" s="178">
        <f t="shared" si="55"/>
        <v>0</v>
      </c>
      <c r="V73" s="178">
        <f t="shared" si="56"/>
        <v>877.5</v>
      </c>
      <c r="W73" s="91"/>
      <c r="X73" s="3" t="s">
        <v>422</v>
      </c>
    </row>
    <row r="74" spans="2:24" x14ac:dyDescent="0.25">
      <c r="B74" s="3" t="s">
        <v>60</v>
      </c>
      <c r="C74" s="34">
        <v>8526.2099999999991</v>
      </c>
      <c r="D74" s="34"/>
      <c r="E74" s="34">
        <v>3654.09</v>
      </c>
      <c r="F74" s="34">
        <v>7382</v>
      </c>
      <c r="G74" s="34"/>
      <c r="H74" s="34">
        <v>3163.71</v>
      </c>
      <c r="I74" s="34"/>
      <c r="J74" s="34"/>
      <c r="K74" s="34"/>
      <c r="L74" s="34"/>
      <c r="M74" s="34">
        <f t="shared" ref="M74:M75" si="58">C74+F74+I74</f>
        <v>15908.21</v>
      </c>
      <c r="N74" s="34">
        <f t="shared" ref="N74:N75" si="59">E74+H74+K74</f>
        <v>6817.8</v>
      </c>
      <c r="O74" s="121">
        <f t="shared" ref="O74:O75" si="60">D74+G74+J74</f>
        <v>0</v>
      </c>
      <c r="P74" s="34"/>
      <c r="Q74" s="34"/>
      <c r="R74" s="34">
        <v>0</v>
      </c>
      <c r="S74" s="143">
        <v>15908.21</v>
      </c>
      <c r="T74" s="182">
        <f t="shared" ref="T74:T82" si="61">M74+O74</f>
        <v>15908.21</v>
      </c>
      <c r="U74" s="178">
        <f t="shared" si="55"/>
        <v>0</v>
      </c>
      <c r="V74" s="178">
        <f t="shared" si="56"/>
        <v>15908.21</v>
      </c>
      <c r="W74" s="91">
        <f t="shared" ref="W74:W77" si="62">S74-T74</f>
        <v>0</v>
      </c>
      <c r="X74" s="3" t="s">
        <v>60</v>
      </c>
    </row>
    <row r="75" spans="2:24" x14ac:dyDescent="0.25">
      <c r="B75" s="3" t="s">
        <v>45</v>
      </c>
      <c r="C75" s="34">
        <v>588.59</v>
      </c>
      <c r="D75" s="34">
        <v>316.93</v>
      </c>
      <c r="E75" s="34">
        <v>252.25</v>
      </c>
      <c r="F75" s="34">
        <v>560.55999999999995</v>
      </c>
      <c r="G75" s="34">
        <v>560.55999999999995</v>
      </c>
      <c r="H75" s="34">
        <v>240.24</v>
      </c>
      <c r="I75" s="34"/>
      <c r="J75" s="34"/>
      <c r="K75" s="34"/>
      <c r="L75" s="34"/>
      <c r="M75" s="34">
        <f t="shared" si="58"/>
        <v>1149.1500000000001</v>
      </c>
      <c r="N75" s="34">
        <f t="shared" si="59"/>
        <v>492.49</v>
      </c>
      <c r="O75" s="121">
        <f t="shared" si="60"/>
        <v>877.49</v>
      </c>
      <c r="P75" s="34"/>
      <c r="Q75" s="34"/>
      <c r="R75" s="34">
        <v>0</v>
      </c>
      <c r="S75" s="143">
        <v>2026.64</v>
      </c>
      <c r="T75" s="182">
        <f t="shared" si="61"/>
        <v>2026.64</v>
      </c>
      <c r="U75" s="178">
        <f t="shared" si="55"/>
        <v>0</v>
      </c>
      <c r="V75" s="178">
        <f t="shared" si="56"/>
        <v>2026.64</v>
      </c>
      <c r="W75" s="91">
        <f t="shared" si="62"/>
        <v>0</v>
      </c>
      <c r="X75" s="3" t="s">
        <v>45</v>
      </c>
    </row>
    <row r="76" spans="2:24" x14ac:dyDescent="0.25">
      <c r="B76" s="3" t="s">
        <v>339</v>
      </c>
      <c r="C76" s="34"/>
      <c r="D76" s="34"/>
      <c r="E76" s="34"/>
      <c r="F76" s="34"/>
      <c r="G76" s="34"/>
      <c r="H76" s="34"/>
      <c r="I76" s="34"/>
      <c r="J76" s="34"/>
      <c r="K76" s="34"/>
      <c r="L76" s="34"/>
      <c r="M76" s="34">
        <f>C76+F76+I76</f>
        <v>0</v>
      </c>
      <c r="N76" s="34">
        <f>E76+H76+K76</f>
        <v>0</v>
      </c>
      <c r="O76" s="121">
        <f>D76+G76+J76</f>
        <v>0</v>
      </c>
      <c r="P76" s="34"/>
      <c r="Q76" s="34"/>
      <c r="R76" s="34"/>
      <c r="S76" s="143">
        <v>0</v>
      </c>
      <c r="T76" s="182">
        <f t="shared" si="61"/>
        <v>0</v>
      </c>
      <c r="U76" s="178">
        <f t="shared" si="55"/>
        <v>0</v>
      </c>
      <c r="V76" s="178">
        <f t="shared" si="56"/>
        <v>0</v>
      </c>
      <c r="W76" s="91">
        <f t="shared" si="62"/>
        <v>0</v>
      </c>
      <c r="X76" s="3" t="s">
        <v>339</v>
      </c>
    </row>
    <row r="77" spans="2:24" x14ac:dyDescent="0.25">
      <c r="B77" s="176" t="s">
        <v>228</v>
      </c>
      <c r="C77" s="34">
        <v>0</v>
      </c>
      <c r="D77" s="34">
        <v>383.46</v>
      </c>
      <c r="E77" s="34"/>
      <c r="F77" s="34"/>
      <c r="G77" s="34">
        <v>360.95</v>
      </c>
      <c r="H77" s="34"/>
      <c r="I77" s="34"/>
      <c r="J77" s="34"/>
      <c r="K77" s="34"/>
      <c r="L77" s="34"/>
      <c r="M77" s="34">
        <f t="shared" ref="M77:M82" si="63">C77+F77+I77</f>
        <v>0</v>
      </c>
      <c r="N77" s="34">
        <f t="shared" ref="N77:N82" si="64">E77+H77+K77</f>
        <v>0</v>
      </c>
      <c r="O77" s="121">
        <f t="shared" ref="O77:O82" si="65">D77+G77+J77</f>
        <v>744.41</v>
      </c>
      <c r="P77" s="34"/>
      <c r="Q77" s="34"/>
      <c r="R77" s="34">
        <v>0</v>
      </c>
      <c r="S77" s="143">
        <v>744.41</v>
      </c>
      <c r="T77" s="182">
        <f t="shared" si="61"/>
        <v>744.41</v>
      </c>
      <c r="U77" s="178">
        <f t="shared" si="55"/>
        <v>0</v>
      </c>
      <c r="V77" s="178">
        <f t="shared" si="56"/>
        <v>744.41</v>
      </c>
      <c r="W77" s="91">
        <f t="shared" si="62"/>
        <v>0</v>
      </c>
      <c r="X77" s="176" t="s">
        <v>228</v>
      </c>
    </row>
    <row r="78" spans="2:24" x14ac:dyDescent="0.25">
      <c r="B78" s="176" t="s">
        <v>424</v>
      </c>
      <c r="C78" s="34"/>
      <c r="D78" s="34"/>
      <c r="E78" s="34"/>
      <c r="F78" s="34"/>
      <c r="G78" s="34"/>
      <c r="H78" s="34"/>
      <c r="I78" s="34"/>
      <c r="J78" s="34"/>
      <c r="K78" s="34"/>
      <c r="L78" s="34"/>
      <c r="M78" s="34">
        <f t="shared" si="63"/>
        <v>0</v>
      </c>
      <c r="N78" s="34">
        <f t="shared" si="64"/>
        <v>0</v>
      </c>
      <c r="O78" s="121">
        <f t="shared" si="65"/>
        <v>0</v>
      </c>
      <c r="P78" s="34"/>
      <c r="Q78" s="34"/>
      <c r="R78" s="34">
        <v>0</v>
      </c>
      <c r="S78" s="143">
        <v>0</v>
      </c>
      <c r="T78" s="182">
        <f t="shared" si="61"/>
        <v>0</v>
      </c>
      <c r="U78" s="178">
        <f t="shared" si="55"/>
        <v>0</v>
      </c>
      <c r="V78" s="178">
        <f t="shared" si="56"/>
        <v>0</v>
      </c>
      <c r="W78" s="91"/>
      <c r="X78" s="176" t="s">
        <v>424</v>
      </c>
    </row>
    <row r="79" spans="2:24" x14ac:dyDescent="0.25">
      <c r="B79" s="3" t="s">
        <v>46</v>
      </c>
      <c r="C79" s="34"/>
      <c r="D79" s="34"/>
      <c r="E79" s="34"/>
      <c r="F79" s="34"/>
      <c r="G79" s="34"/>
      <c r="H79" s="34"/>
      <c r="I79" s="34"/>
      <c r="J79" s="34"/>
      <c r="K79" s="34"/>
      <c r="L79" s="34"/>
      <c r="M79" s="34">
        <f t="shared" si="63"/>
        <v>0</v>
      </c>
      <c r="N79" s="34">
        <f t="shared" si="64"/>
        <v>0</v>
      </c>
      <c r="O79" s="121">
        <f t="shared" si="65"/>
        <v>0</v>
      </c>
      <c r="P79" s="34"/>
      <c r="Q79" s="34"/>
      <c r="R79" s="34">
        <v>0</v>
      </c>
      <c r="S79" s="143">
        <v>0</v>
      </c>
      <c r="T79" s="182">
        <f t="shared" si="61"/>
        <v>0</v>
      </c>
      <c r="U79" s="178">
        <f t="shared" si="55"/>
        <v>0</v>
      </c>
      <c r="V79" s="178">
        <f t="shared" si="56"/>
        <v>0</v>
      </c>
      <c r="W79" s="91">
        <f t="shared" ref="W79:W86" si="66">S79-T79</f>
        <v>0</v>
      </c>
      <c r="X79" s="3" t="s">
        <v>46</v>
      </c>
    </row>
    <row r="80" spans="2:24" x14ac:dyDescent="0.25">
      <c r="B80" s="3" t="s">
        <v>468</v>
      </c>
      <c r="C80" s="34"/>
      <c r="D80" s="34">
        <v>267.51</v>
      </c>
      <c r="E80" s="34"/>
      <c r="F80" s="34"/>
      <c r="G80" s="34">
        <v>251.98</v>
      </c>
      <c r="H80" s="34"/>
      <c r="I80" s="34"/>
      <c r="J80" s="34">
        <v>251.56</v>
      </c>
      <c r="K80" s="34"/>
      <c r="L80" s="34"/>
      <c r="M80" s="34">
        <f t="shared" si="63"/>
        <v>0</v>
      </c>
      <c r="N80" s="34">
        <f t="shared" si="64"/>
        <v>0</v>
      </c>
      <c r="O80" s="121">
        <f t="shared" si="65"/>
        <v>771.05</v>
      </c>
      <c r="P80" s="34">
        <v>125</v>
      </c>
      <c r="Q80" s="34"/>
      <c r="R80" s="34">
        <v>0</v>
      </c>
      <c r="S80" s="143">
        <v>771.05</v>
      </c>
      <c r="T80" s="182">
        <f t="shared" ref="T80:T81" si="67">M80+O80</f>
        <v>771.05</v>
      </c>
      <c r="U80" s="178">
        <f t="shared" ref="U80" si="68">T80-S80</f>
        <v>0</v>
      </c>
      <c r="V80" s="178"/>
      <c r="W80" s="91"/>
      <c r="X80" s="3"/>
    </row>
    <row r="81" spans="2:24" x14ac:dyDescent="0.25">
      <c r="B81" s="166" t="s">
        <v>495</v>
      </c>
      <c r="C81" s="207"/>
      <c r="D81" s="207">
        <v>263.11</v>
      </c>
      <c r="E81" s="207"/>
      <c r="F81" s="207"/>
      <c r="G81" s="207"/>
      <c r="H81" s="207"/>
      <c r="I81" s="207"/>
      <c r="J81" s="207"/>
      <c r="K81" s="207"/>
      <c r="L81" s="207"/>
      <c r="M81" s="34">
        <f t="shared" ref="M81" si="69">C81+F81+I81</f>
        <v>0</v>
      </c>
      <c r="N81" s="34">
        <f t="shared" ref="N81" si="70">E81+H81+K81</f>
        <v>0</v>
      </c>
      <c r="O81" s="121">
        <f t="shared" ref="O81" si="71">D81+G81+J81</f>
        <v>263.11</v>
      </c>
      <c r="P81" s="207"/>
      <c r="Q81" s="34"/>
      <c r="R81" s="34"/>
      <c r="S81" s="143">
        <v>263.11</v>
      </c>
      <c r="T81" s="182">
        <f t="shared" si="67"/>
        <v>263.11</v>
      </c>
      <c r="U81" s="178"/>
      <c r="V81" s="178"/>
      <c r="W81" s="91"/>
      <c r="X81" s="3"/>
    </row>
    <row r="82" spans="2:24" x14ac:dyDescent="0.25">
      <c r="B82" s="3" t="s">
        <v>48</v>
      </c>
      <c r="C82" s="34">
        <v>938.6</v>
      </c>
      <c r="D82" s="34"/>
      <c r="E82" s="34">
        <v>402.26</v>
      </c>
      <c r="F82" s="34"/>
      <c r="G82" s="34"/>
      <c r="H82" s="34"/>
      <c r="I82" s="34"/>
      <c r="J82" s="34"/>
      <c r="K82" s="34"/>
      <c r="L82" s="34"/>
      <c r="M82" s="34">
        <f t="shared" si="63"/>
        <v>938.6</v>
      </c>
      <c r="N82" s="34">
        <f t="shared" si="64"/>
        <v>402.26</v>
      </c>
      <c r="O82" s="121">
        <f t="shared" si="65"/>
        <v>0</v>
      </c>
      <c r="P82" s="34"/>
      <c r="Q82" s="34"/>
      <c r="R82" s="34">
        <v>0</v>
      </c>
      <c r="S82" s="143">
        <v>938.6</v>
      </c>
      <c r="T82" s="182">
        <f t="shared" si="61"/>
        <v>938.6</v>
      </c>
      <c r="U82" s="178">
        <f t="shared" si="55"/>
        <v>0</v>
      </c>
      <c r="V82" s="178">
        <f t="shared" si="56"/>
        <v>938.6</v>
      </c>
      <c r="W82" s="91">
        <f t="shared" si="66"/>
        <v>0</v>
      </c>
      <c r="X82" s="3" t="s">
        <v>48</v>
      </c>
    </row>
    <row r="83" spans="2:24" x14ac:dyDescent="0.25">
      <c r="B83" s="3" t="s">
        <v>390</v>
      </c>
      <c r="C83" s="34">
        <v>252</v>
      </c>
      <c r="D83" s="34">
        <v>308</v>
      </c>
      <c r="E83" s="34">
        <v>108</v>
      </c>
      <c r="F83" s="34">
        <v>241.88</v>
      </c>
      <c r="G83" s="34">
        <v>295.62</v>
      </c>
      <c r="H83" s="34">
        <v>103.66</v>
      </c>
      <c r="I83" s="34"/>
      <c r="J83" s="34"/>
      <c r="K83" s="34"/>
      <c r="L83" s="34"/>
      <c r="M83" s="34">
        <f>C83+F83+I83</f>
        <v>493.88</v>
      </c>
      <c r="N83" s="34">
        <f>E83+H83+K83</f>
        <v>211.66</v>
      </c>
      <c r="O83" s="121">
        <f>D83+G83+J83</f>
        <v>603.62</v>
      </c>
      <c r="P83" s="34"/>
      <c r="Q83" s="34"/>
      <c r="R83" s="34"/>
      <c r="S83" s="143">
        <v>1097.5</v>
      </c>
      <c r="T83" s="182">
        <f>M83+O83</f>
        <v>1097.5</v>
      </c>
      <c r="U83" s="178">
        <f t="shared" si="55"/>
        <v>0</v>
      </c>
      <c r="V83" s="178">
        <f t="shared" si="56"/>
        <v>1097.5</v>
      </c>
      <c r="W83" s="91">
        <f t="shared" si="66"/>
        <v>0</v>
      </c>
      <c r="X83" s="3" t="s">
        <v>390</v>
      </c>
    </row>
    <row r="84" spans="2:24" x14ac:dyDescent="0.25">
      <c r="B84" s="3" t="s">
        <v>378</v>
      </c>
      <c r="C84" s="207">
        <v>751</v>
      </c>
      <c r="D84" s="34"/>
      <c r="E84" s="207">
        <v>321.86</v>
      </c>
      <c r="F84" s="207">
        <v>149</v>
      </c>
      <c r="G84" s="34"/>
      <c r="H84" s="207">
        <v>63.86</v>
      </c>
      <c r="I84" s="207">
        <v>553.5</v>
      </c>
      <c r="J84" s="207">
        <v>184.5</v>
      </c>
      <c r="K84" s="207">
        <v>237.21</v>
      </c>
      <c r="L84" s="34"/>
      <c r="M84" s="34">
        <f t="shared" ref="M84:M89" si="72">C84+F84+I84</f>
        <v>1453.5</v>
      </c>
      <c r="N84" s="34">
        <f t="shared" ref="N84:N89" si="73">E84+H84+K84</f>
        <v>622.93000000000006</v>
      </c>
      <c r="O84" s="121">
        <f t="shared" ref="O84:O89" si="74">D84+G84+J84</f>
        <v>184.5</v>
      </c>
      <c r="P84" s="34"/>
      <c r="Q84" s="34"/>
      <c r="R84" s="34">
        <v>0</v>
      </c>
      <c r="S84" s="143">
        <v>1638</v>
      </c>
      <c r="T84" s="182">
        <f t="shared" ref="T84:T89" si="75">M84+O84</f>
        <v>1638</v>
      </c>
      <c r="U84" s="178">
        <f t="shared" si="55"/>
        <v>0</v>
      </c>
      <c r="V84" s="178">
        <f t="shared" si="56"/>
        <v>1638</v>
      </c>
      <c r="W84" s="91">
        <f t="shared" si="66"/>
        <v>0</v>
      </c>
      <c r="X84" s="3" t="s">
        <v>378</v>
      </c>
    </row>
    <row r="85" spans="2:24" x14ac:dyDescent="0.25">
      <c r="B85" s="3" t="s">
        <v>462</v>
      </c>
      <c r="C85" s="34"/>
      <c r="D85" s="34"/>
      <c r="E85" s="34"/>
      <c r="F85" s="34"/>
      <c r="G85" s="34"/>
      <c r="H85" s="34"/>
      <c r="I85" s="34"/>
      <c r="J85" s="34"/>
      <c r="K85" s="34"/>
      <c r="L85" s="34"/>
      <c r="M85" s="34"/>
      <c r="N85" s="34"/>
      <c r="O85" s="121"/>
      <c r="P85" s="34"/>
      <c r="Q85" s="34"/>
      <c r="R85" s="34"/>
      <c r="S85" s="143"/>
      <c r="T85" s="182"/>
      <c r="U85" s="178"/>
      <c r="V85" s="178"/>
      <c r="W85" s="91"/>
      <c r="X85" s="3"/>
    </row>
    <row r="86" spans="2:24" x14ac:dyDescent="0.25">
      <c r="B86" s="3" t="s">
        <v>379</v>
      </c>
      <c r="C86" s="34">
        <v>558.72</v>
      </c>
      <c r="D86" s="34"/>
      <c r="E86" s="34">
        <v>239.45</v>
      </c>
      <c r="F86" s="34">
        <v>442.32</v>
      </c>
      <c r="G86" s="34"/>
      <c r="H86" s="34">
        <v>189.57</v>
      </c>
      <c r="I86" s="34"/>
      <c r="J86" s="34"/>
      <c r="K86" s="34"/>
      <c r="L86" s="34"/>
      <c r="M86" s="34">
        <f t="shared" si="72"/>
        <v>1001.04</v>
      </c>
      <c r="N86" s="34">
        <f t="shared" si="73"/>
        <v>429.02</v>
      </c>
      <c r="O86" s="121">
        <f t="shared" si="74"/>
        <v>0</v>
      </c>
      <c r="P86" s="34"/>
      <c r="Q86" s="34"/>
      <c r="R86" s="34">
        <v>0</v>
      </c>
      <c r="S86" s="143">
        <v>1001.04</v>
      </c>
      <c r="T86" s="182">
        <f t="shared" si="75"/>
        <v>1001.04</v>
      </c>
      <c r="U86" s="178">
        <f t="shared" si="55"/>
        <v>0</v>
      </c>
      <c r="V86" s="178">
        <f t="shared" si="56"/>
        <v>1001.04</v>
      </c>
      <c r="W86" s="91">
        <f t="shared" si="66"/>
        <v>0</v>
      </c>
      <c r="X86" s="3" t="s">
        <v>379</v>
      </c>
    </row>
    <row r="87" spans="2:24" x14ac:dyDescent="0.25">
      <c r="B87" s="3" t="s">
        <v>425</v>
      </c>
      <c r="C87" s="34">
        <v>172.5</v>
      </c>
      <c r="D87" s="34"/>
      <c r="E87" s="34">
        <v>73.930000000000007</v>
      </c>
      <c r="F87" s="34">
        <v>172.5</v>
      </c>
      <c r="G87" s="34"/>
      <c r="H87" s="34">
        <v>73.930000000000007</v>
      </c>
      <c r="I87" s="34"/>
      <c r="J87" s="34"/>
      <c r="K87" s="34"/>
      <c r="L87" s="34"/>
      <c r="M87" s="34">
        <f t="shared" si="72"/>
        <v>345</v>
      </c>
      <c r="N87" s="34">
        <f t="shared" si="73"/>
        <v>147.86000000000001</v>
      </c>
      <c r="O87" s="121">
        <f t="shared" si="74"/>
        <v>0</v>
      </c>
      <c r="P87" s="34"/>
      <c r="Q87" s="34"/>
      <c r="R87" s="34">
        <v>0</v>
      </c>
      <c r="S87" s="143">
        <v>345</v>
      </c>
      <c r="T87" s="182">
        <f t="shared" si="75"/>
        <v>345</v>
      </c>
      <c r="U87" s="178">
        <f t="shared" si="55"/>
        <v>0</v>
      </c>
      <c r="V87" s="178">
        <f t="shared" si="56"/>
        <v>345</v>
      </c>
      <c r="W87" s="91"/>
      <c r="X87" s="3" t="s">
        <v>425</v>
      </c>
    </row>
    <row r="88" spans="2:24" x14ac:dyDescent="0.25">
      <c r="B88" s="3" t="s">
        <v>75</v>
      </c>
      <c r="C88" s="34">
        <v>693</v>
      </c>
      <c r="D88" s="34"/>
      <c r="E88" s="34">
        <v>297</v>
      </c>
      <c r="F88" s="34">
        <v>693</v>
      </c>
      <c r="G88" s="34"/>
      <c r="H88" s="34">
        <v>297</v>
      </c>
      <c r="I88" s="34"/>
      <c r="J88" s="34"/>
      <c r="K88" s="34"/>
      <c r="L88" s="34"/>
      <c r="M88" s="34">
        <f t="shared" si="72"/>
        <v>1386</v>
      </c>
      <c r="N88" s="34">
        <f t="shared" si="73"/>
        <v>594</v>
      </c>
      <c r="O88" s="121">
        <f t="shared" si="74"/>
        <v>0</v>
      </c>
      <c r="P88" s="34"/>
      <c r="Q88" s="34"/>
      <c r="R88" s="34">
        <v>0</v>
      </c>
      <c r="S88" s="143">
        <v>1386</v>
      </c>
      <c r="T88" s="182">
        <f t="shared" si="75"/>
        <v>1386</v>
      </c>
      <c r="U88" s="178">
        <f t="shared" si="55"/>
        <v>0</v>
      </c>
      <c r="V88" s="178">
        <f t="shared" si="56"/>
        <v>1386</v>
      </c>
      <c r="W88" s="91">
        <f t="shared" ref="W88:W93" si="76">S88-T88</f>
        <v>0</v>
      </c>
      <c r="X88" s="3" t="s">
        <v>75</v>
      </c>
    </row>
    <row r="89" spans="2:24" x14ac:dyDescent="0.25">
      <c r="B89" s="3" t="s">
        <v>50</v>
      </c>
      <c r="C89" s="34"/>
      <c r="D89" s="34">
        <v>138</v>
      </c>
      <c r="E89" s="34"/>
      <c r="F89" s="34"/>
      <c r="G89" s="34"/>
      <c r="H89" s="34"/>
      <c r="I89" s="34"/>
      <c r="J89" s="34"/>
      <c r="K89" s="34"/>
      <c r="L89" s="34"/>
      <c r="M89" s="34">
        <f t="shared" si="72"/>
        <v>0</v>
      </c>
      <c r="N89" s="34">
        <f t="shared" si="73"/>
        <v>0</v>
      </c>
      <c r="O89" s="121">
        <f t="shared" si="74"/>
        <v>138</v>
      </c>
      <c r="P89" s="34"/>
      <c r="Q89" s="34"/>
      <c r="R89" s="34">
        <v>0</v>
      </c>
      <c r="S89" s="143">
        <v>138</v>
      </c>
      <c r="T89" s="182">
        <f t="shared" si="75"/>
        <v>138</v>
      </c>
      <c r="U89" s="178">
        <f t="shared" si="55"/>
        <v>0</v>
      </c>
      <c r="V89" s="178">
        <f t="shared" si="56"/>
        <v>138</v>
      </c>
      <c r="W89" s="91">
        <f t="shared" si="76"/>
        <v>0</v>
      </c>
      <c r="X89" s="3" t="s">
        <v>50</v>
      </c>
    </row>
    <row r="90" spans="2:24" x14ac:dyDescent="0.25">
      <c r="B90" s="3" t="s">
        <v>340</v>
      </c>
      <c r="C90" s="34">
        <v>240</v>
      </c>
      <c r="D90" s="34"/>
      <c r="E90" s="34">
        <v>102.86</v>
      </c>
      <c r="F90" s="34">
        <v>195</v>
      </c>
      <c r="G90" s="34"/>
      <c r="H90" s="34">
        <v>83.57</v>
      </c>
      <c r="I90" s="34"/>
      <c r="J90" s="34"/>
      <c r="K90" s="34"/>
      <c r="L90" s="34"/>
      <c r="M90" s="34">
        <f>C90+F90+I90</f>
        <v>435</v>
      </c>
      <c r="N90" s="34">
        <f>E90+H90+K90</f>
        <v>186.43</v>
      </c>
      <c r="O90" s="121">
        <f>D90+G90+J90</f>
        <v>0</v>
      </c>
      <c r="P90" s="34"/>
      <c r="Q90" s="34"/>
      <c r="R90" s="34">
        <v>0</v>
      </c>
      <c r="S90" s="143">
        <v>435</v>
      </c>
      <c r="T90" s="182">
        <f>M90+O90</f>
        <v>435</v>
      </c>
      <c r="U90" s="178">
        <f t="shared" si="55"/>
        <v>0</v>
      </c>
      <c r="V90" s="178">
        <f t="shared" si="56"/>
        <v>435</v>
      </c>
      <c r="W90" s="91">
        <f t="shared" si="76"/>
        <v>0</v>
      </c>
      <c r="X90" s="3" t="s">
        <v>340</v>
      </c>
    </row>
    <row r="91" spans="2:24" x14ac:dyDescent="0.25">
      <c r="B91" s="176" t="s">
        <v>232</v>
      </c>
      <c r="C91" s="34">
        <v>59</v>
      </c>
      <c r="D91" s="34">
        <v>137.68</v>
      </c>
      <c r="E91" s="34">
        <v>25.29</v>
      </c>
      <c r="F91" s="34">
        <v>153.22</v>
      </c>
      <c r="G91" s="34">
        <v>102.14</v>
      </c>
      <c r="H91" s="34">
        <v>65.67</v>
      </c>
      <c r="I91" s="34"/>
      <c r="J91" s="34"/>
      <c r="K91" s="34"/>
      <c r="L91" s="34"/>
      <c r="M91" s="34">
        <f t="shared" ref="M91" si="77">C91+F91+I91</f>
        <v>212.22</v>
      </c>
      <c r="N91" s="34">
        <f t="shared" ref="N91:N94" si="78">E91+H91+K91</f>
        <v>90.960000000000008</v>
      </c>
      <c r="O91" s="121">
        <f t="shared" ref="O91" si="79">D91+G91+J91</f>
        <v>239.82</v>
      </c>
      <c r="P91" s="34"/>
      <c r="Q91" s="34"/>
      <c r="R91" s="34">
        <v>0</v>
      </c>
      <c r="S91" s="143">
        <v>452.04</v>
      </c>
      <c r="T91" s="182">
        <f t="shared" ref="T91" si="80">M91+O91</f>
        <v>452.03999999999996</v>
      </c>
      <c r="U91" s="178">
        <f t="shared" si="55"/>
        <v>0</v>
      </c>
      <c r="V91" s="178">
        <f t="shared" si="56"/>
        <v>452.04</v>
      </c>
      <c r="W91" s="91">
        <f t="shared" si="76"/>
        <v>0</v>
      </c>
      <c r="X91" s="176" t="s">
        <v>232</v>
      </c>
    </row>
    <row r="92" spans="2:24" x14ac:dyDescent="0.25">
      <c r="B92" s="3" t="s">
        <v>344</v>
      </c>
      <c r="C92" s="34"/>
      <c r="D92" s="34"/>
      <c r="E92" s="34"/>
      <c r="F92" s="34"/>
      <c r="G92" s="34"/>
      <c r="H92" s="34"/>
      <c r="I92" s="34"/>
      <c r="J92" s="34"/>
      <c r="K92" s="34"/>
      <c r="L92" s="34"/>
      <c r="M92" s="157"/>
      <c r="N92" s="34">
        <f t="shared" si="78"/>
        <v>0</v>
      </c>
      <c r="O92" s="121"/>
      <c r="P92" s="157"/>
      <c r="Q92" s="157">
        <f>P119</f>
        <v>289.77999999999997</v>
      </c>
      <c r="R92" s="157"/>
      <c r="S92" s="143">
        <v>289.77999999999997</v>
      </c>
      <c r="T92" s="182">
        <f>Q92+R92</f>
        <v>289.77999999999997</v>
      </c>
      <c r="U92" s="178">
        <f t="shared" si="55"/>
        <v>0</v>
      </c>
      <c r="V92" s="178">
        <f t="shared" si="56"/>
        <v>289.77999999999997</v>
      </c>
      <c r="W92" s="91">
        <f t="shared" si="76"/>
        <v>0</v>
      </c>
      <c r="X92" s="3" t="s">
        <v>344</v>
      </c>
    </row>
    <row r="93" spans="2:24" x14ac:dyDescent="0.25">
      <c r="B93" s="3" t="s">
        <v>51</v>
      </c>
      <c r="C93" s="34">
        <v>2654.85</v>
      </c>
      <c r="D93" s="34"/>
      <c r="E93" s="34">
        <v>1137.79</v>
      </c>
      <c r="F93" s="34">
        <f>5263.4+3898.83</f>
        <v>9162.23</v>
      </c>
      <c r="G93" s="34"/>
      <c r="H93" s="34">
        <f>2255.74+1670.93</f>
        <v>3926.67</v>
      </c>
      <c r="I93" s="34"/>
      <c r="J93" s="34"/>
      <c r="K93" s="34"/>
      <c r="L93" s="34"/>
      <c r="M93" s="34">
        <f t="shared" ref="M93:M94" si="81">C93+F93+I93</f>
        <v>11817.08</v>
      </c>
      <c r="N93" s="34">
        <f t="shared" si="78"/>
        <v>5064.46</v>
      </c>
      <c r="O93" s="121">
        <f t="shared" ref="O93:O94" si="82">D93+G93+J93</f>
        <v>0</v>
      </c>
      <c r="P93" s="34"/>
      <c r="Q93" s="34"/>
      <c r="R93" s="34">
        <v>0</v>
      </c>
      <c r="S93" s="143">
        <v>11817.08</v>
      </c>
      <c r="T93" s="182">
        <f t="shared" ref="T93:T95" si="83">M93+O93</f>
        <v>11817.08</v>
      </c>
      <c r="U93" s="178">
        <f t="shared" si="55"/>
        <v>0</v>
      </c>
      <c r="V93" s="178">
        <f t="shared" si="56"/>
        <v>11817.08</v>
      </c>
      <c r="W93" s="91">
        <f t="shared" si="76"/>
        <v>0</v>
      </c>
      <c r="X93" s="3" t="s">
        <v>51</v>
      </c>
    </row>
    <row r="94" spans="2:24" x14ac:dyDescent="0.25">
      <c r="B94" s="3" t="s">
        <v>419</v>
      </c>
      <c r="C94" s="34">
        <v>564.41999999999996</v>
      </c>
      <c r="D94" s="34"/>
      <c r="E94" s="34">
        <v>241.89</v>
      </c>
      <c r="F94" s="34">
        <v>752.56</v>
      </c>
      <c r="G94" s="34"/>
      <c r="H94" s="34">
        <v>322.52999999999997</v>
      </c>
      <c r="I94" s="34"/>
      <c r="J94" s="34"/>
      <c r="K94" s="34"/>
      <c r="L94" s="34"/>
      <c r="M94" s="34">
        <f t="shared" si="81"/>
        <v>1316.98</v>
      </c>
      <c r="N94" s="34">
        <f t="shared" si="78"/>
        <v>564.41999999999996</v>
      </c>
      <c r="O94" s="121">
        <f t="shared" si="82"/>
        <v>0</v>
      </c>
      <c r="P94" s="34"/>
      <c r="Q94" s="34"/>
      <c r="R94" s="34"/>
      <c r="S94" s="143">
        <v>1316.98</v>
      </c>
      <c r="T94" s="182">
        <f t="shared" si="83"/>
        <v>1316.98</v>
      </c>
      <c r="U94" s="178">
        <f t="shared" si="55"/>
        <v>0</v>
      </c>
      <c r="V94" s="178">
        <f t="shared" si="56"/>
        <v>1316.98</v>
      </c>
      <c r="W94" s="91"/>
      <c r="X94" s="3" t="s">
        <v>419</v>
      </c>
    </row>
    <row r="95" spans="2:24" x14ac:dyDescent="0.25">
      <c r="B95" s="3" t="s">
        <v>467</v>
      </c>
      <c r="C95" s="34">
        <v>232</v>
      </c>
      <c r="D95" s="34"/>
      <c r="E95" s="34">
        <v>99.43</v>
      </c>
      <c r="F95" s="34"/>
      <c r="G95" s="34"/>
      <c r="H95" s="34"/>
      <c r="I95" s="34"/>
      <c r="J95" s="34"/>
      <c r="K95" s="34"/>
      <c r="L95" s="34"/>
      <c r="M95" s="34">
        <f t="shared" ref="M95" si="84">C95+F95+I95</f>
        <v>232</v>
      </c>
      <c r="N95" s="34">
        <f t="shared" ref="N95" si="85">E95+H95+K95</f>
        <v>99.43</v>
      </c>
      <c r="O95" s="121">
        <f t="shared" ref="O95" si="86">D95+G95+J95</f>
        <v>0</v>
      </c>
      <c r="P95" s="34"/>
      <c r="Q95" s="34"/>
      <c r="R95" s="34"/>
      <c r="S95" s="143">
        <v>232</v>
      </c>
      <c r="T95" s="182">
        <f t="shared" si="83"/>
        <v>232</v>
      </c>
      <c r="U95" s="178"/>
      <c r="V95" s="178"/>
      <c r="W95" s="91"/>
      <c r="X95" s="3"/>
    </row>
    <row r="96" spans="2:24" x14ac:dyDescent="0.25">
      <c r="B96" s="3" t="s">
        <v>396</v>
      </c>
      <c r="C96" s="34">
        <v>73.5</v>
      </c>
      <c r="D96" s="34">
        <v>171.5</v>
      </c>
      <c r="E96" s="34">
        <v>31.5</v>
      </c>
      <c r="F96" s="34"/>
      <c r="G96" s="34"/>
      <c r="H96" s="34"/>
      <c r="I96" s="34"/>
      <c r="J96" s="34"/>
      <c r="K96" s="34"/>
      <c r="L96" s="34"/>
      <c r="M96" s="34">
        <f>C96+F96+I96</f>
        <v>73.5</v>
      </c>
      <c r="N96" s="34">
        <f>E96+H96+K96</f>
        <v>31.5</v>
      </c>
      <c r="O96" s="121">
        <f>D96+G96+J96</f>
        <v>171.5</v>
      </c>
      <c r="P96" s="34"/>
      <c r="Q96" s="34"/>
      <c r="R96" s="34"/>
      <c r="S96" s="143">
        <v>245</v>
      </c>
      <c r="T96" s="182">
        <f>M96+O96+P96</f>
        <v>245</v>
      </c>
      <c r="U96" s="178">
        <f t="shared" si="55"/>
        <v>0</v>
      </c>
      <c r="V96" s="178">
        <f t="shared" si="56"/>
        <v>245</v>
      </c>
      <c r="W96" s="91">
        <f t="shared" ref="W96:W107" si="87">S96-T96</f>
        <v>0</v>
      </c>
      <c r="X96" s="3" t="s">
        <v>396</v>
      </c>
    </row>
    <row r="97" spans="2:24" x14ac:dyDescent="0.25">
      <c r="B97" s="3" t="s">
        <v>269</v>
      </c>
      <c r="C97" s="34">
        <v>229.6</v>
      </c>
      <c r="D97" s="34"/>
      <c r="E97" s="34">
        <v>98.4</v>
      </c>
      <c r="F97" s="34">
        <v>252.56</v>
      </c>
      <c r="G97" s="34"/>
      <c r="H97" s="34">
        <v>108.24</v>
      </c>
      <c r="I97" s="34"/>
      <c r="J97" s="34"/>
      <c r="K97" s="34"/>
      <c r="L97" s="34"/>
      <c r="M97" s="34">
        <f t="shared" ref="M97" si="88">C97+F97+I97</f>
        <v>482.15999999999997</v>
      </c>
      <c r="N97" s="34">
        <f t="shared" ref="N97" si="89">E97+H97+K97</f>
        <v>206.64</v>
      </c>
      <c r="O97" s="121"/>
      <c r="P97" s="34"/>
      <c r="Q97" s="34"/>
      <c r="R97" s="34">
        <v>0</v>
      </c>
      <c r="S97" s="143">
        <v>481.56</v>
      </c>
      <c r="T97" s="182">
        <f t="shared" ref="T97" si="90">M97+O97</f>
        <v>482.15999999999997</v>
      </c>
      <c r="U97" s="178">
        <f t="shared" si="55"/>
        <v>0.59999999999996589</v>
      </c>
      <c r="V97" s="178">
        <f t="shared" si="56"/>
        <v>482.15999999999997</v>
      </c>
      <c r="W97" s="91">
        <f t="shared" si="87"/>
        <v>-0.59999999999996589</v>
      </c>
      <c r="X97" s="3" t="s">
        <v>269</v>
      </c>
    </row>
    <row r="98" spans="2:24" x14ac:dyDescent="0.25">
      <c r="B98" s="166" t="s">
        <v>492</v>
      </c>
      <c r="C98" s="34">
        <v>27.05</v>
      </c>
      <c r="D98" s="34">
        <v>0</v>
      </c>
      <c r="E98" s="34">
        <v>11.59</v>
      </c>
      <c r="F98" s="34">
        <v>12.72</v>
      </c>
      <c r="G98" s="34">
        <v>0</v>
      </c>
      <c r="H98" s="34">
        <v>5.45</v>
      </c>
      <c r="I98" s="34"/>
      <c r="J98" s="34"/>
      <c r="K98" s="34"/>
      <c r="L98" s="34"/>
      <c r="M98" s="34">
        <f t="shared" ref="M98:O99" si="91">C98+F98</f>
        <v>39.770000000000003</v>
      </c>
      <c r="N98" s="34">
        <f t="shared" si="91"/>
        <v>0</v>
      </c>
      <c r="O98" s="121">
        <f t="shared" si="91"/>
        <v>17.04</v>
      </c>
      <c r="P98" s="34"/>
      <c r="Q98" s="34"/>
      <c r="R98" s="34"/>
      <c r="S98" s="143">
        <v>39.770000000000003</v>
      </c>
      <c r="T98" s="182">
        <f>M98+N98+P98</f>
        <v>39.770000000000003</v>
      </c>
      <c r="U98" s="178">
        <f t="shared" si="55"/>
        <v>0</v>
      </c>
      <c r="V98" s="178">
        <f t="shared" si="56"/>
        <v>39.770000000000003</v>
      </c>
      <c r="W98" s="91">
        <f t="shared" si="87"/>
        <v>0</v>
      </c>
      <c r="X98" s="166" t="s">
        <v>395</v>
      </c>
    </row>
    <row r="99" spans="2:24" x14ac:dyDescent="0.25">
      <c r="B99" s="166" t="s">
        <v>494</v>
      </c>
      <c r="C99" s="34">
        <v>0</v>
      </c>
      <c r="D99" s="34">
        <v>275.91000000000003</v>
      </c>
      <c r="E99" s="34"/>
      <c r="F99" s="34"/>
      <c r="G99" s="34"/>
      <c r="H99" s="34"/>
      <c r="I99" s="34"/>
      <c r="J99" s="34"/>
      <c r="K99" s="34"/>
      <c r="L99" s="34"/>
      <c r="M99" s="34">
        <f t="shared" si="91"/>
        <v>0</v>
      </c>
      <c r="N99" s="34">
        <f t="shared" si="91"/>
        <v>275.91000000000003</v>
      </c>
      <c r="O99" s="121">
        <f t="shared" si="91"/>
        <v>0</v>
      </c>
      <c r="P99" s="34"/>
      <c r="Q99" s="34"/>
      <c r="R99" s="34"/>
      <c r="S99" s="143">
        <v>275.91000000000003</v>
      </c>
      <c r="T99" s="182">
        <f t="shared" ref="T99:T101" si="92">M99+N99+P99</f>
        <v>275.91000000000003</v>
      </c>
      <c r="U99" s="178"/>
      <c r="V99" s="178"/>
      <c r="W99" s="91"/>
      <c r="X99" s="166"/>
    </row>
    <row r="100" spans="2:24" x14ac:dyDescent="0.25">
      <c r="B100" s="166" t="s">
        <v>494</v>
      </c>
      <c r="C100" s="34"/>
      <c r="D100" s="34">
        <v>356.16</v>
      </c>
      <c r="E100" s="34"/>
      <c r="F100" s="34"/>
      <c r="G100" s="34"/>
      <c r="H100" s="34"/>
      <c r="I100" s="34"/>
      <c r="J100" s="34"/>
      <c r="K100" s="34"/>
      <c r="L100" s="34"/>
      <c r="M100" s="34">
        <f t="shared" ref="M100:M101" si="93">C100+F100</f>
        <v>0</v>
      </c>
      <c r="N100" s="34">
        <f t="shared" ref="N100:N101" si="94">D100+G100</f>
        <v>356.16</v>
      </c>
      <c r="O100" s="121">
        <f t="shared" ref="O100:O101" si="95">E100+H100</f>
        <v>0</v>
      </c>
      <c r="P100" s="34"/>
      <c r="Q100" s="34"/>
      <c r="R100" s="34"/>
      <c r="S100" s="143">
        <v>356.16</v>
      </c>
      <c r="T100" s="182">
        <f t="shared" si="92"/>
        <v>356.16</v>
      </c>
      <c r="U100" s="178"/>
      <c r="V100" s="178"/>
      <c r="W100" s="91"/>
      <c r="X100" s="166"/>
    </row>
    <row r="101" spans="2:24" x14ac:dyDescent="0.25">
      <c r="B101" s="166" t="s">
        <v>493</v>
      </c>
      <c r="C101" s="34"/>
      <c r="D101" s="34">
        <v>356.16</v>
      </c>
      <c r="E101" s="34"/>
      <c r="F101" s="34"/>
      <c r="G101" s="34"/>
      <c r="H101" s="34"/>
      <c r="I101" s="34"/>
      <c r="J101" s="34"/>
      <c r="K101" s="34"/>
      <c r="L101" s="34"/>
      <c r="M101" s="34">
        <f t="shared" si="93"/>
        <v>0</v>
      </c>
      <c r="N101" s="34">
        <f t="shared" si="94"/>
        <v>356.16</v>
      </c>
      <c r="O101" s="121">
        <f t="shared" si="95"/>
        <v>0</v>
      </c>
      <c r="P101" s="34"/>
      <c r="Q101" s="34"/>
      <c r="R101" s="34"/>
      <c r="S101" s="143">
        <v>356.16</v>
      </c>
      <c r="T101" s="182">
        <f t="shared" si="92"/>
        <v>356.16</v>
      </c>
      <c r="U101" s="178"/>
      <c r="V101" s="178"/>
      <c r="W101" s="91"/>
      <c r="X101" s="166"/>
    </row>
    <row r="102" spans="2:24" x14ac:dyDescent="0.25">
      <c r="B102" s="3" t="s">
        <v>52</v>
      </c>
      <c r="C102" s="34">
        <v>1159.95</v>
      </c>
      <c r="D102" s="34"/>
      <c r="E102" s="34">
        <v>497.12</v>
      </c>
      <c r="F102" s="34">
        <v>843.6</v>
      </c>
      <c r="G102" s="34"/>
      <c r="H102" s="34">
        <v>361.54</v>
      </c>
      <c r="I102" s="34"/>
      <c r="J102" s="34"/>
      <c r="K102" s="34"/>
      <c r="L102" s="34"/>
      <c r="M102" s="34">
        <f t="shared" ref="M102:M107" si="96">C102+F102+I102</f>
        <v>2003.5500000000002</v>
      </c>
      <c r="N102" s="34">
        <f t="shared" ref="N102:N107" si="97">E102+H102+K102</f>
        <v>858.66000000000008</v>
      </c>
      <c r="O102" s="121">
        <f t="shared" ref="O102:O107" si="98">D102+G102+J102</f>
        <v>0</v>
      </c>
      <c r="P102" s="34"/>
      <c r="Q102" s="34"/>
      <c r="R102" s="34">
        <v>0</v>
      </c>
      <c r="S102" s="143">
        <v>2003.55</v>
      </c>
      <c r="T102" s="182">
        <f t="shared" ref="T102:T107" si="99">M102+O102</f>
        <v>2003.5500000000002</v>
      </c>
      <c r="U102" s="178">
        <f t="shared" si="55"/>
        <v>0</v>
      </c>
      <c r="V102" s="178">
        <f t="shared" si="56"/>
        <v>2003.55</v>
      </c>
      <c r="W102" s="91">
        <f t="shared" si="87"/>
        <v>0</v>
      </c>
      <c r="X102" s="3" t="s">
        <v>52</v>
      </c>
    </row>
    <row r="103" spans="2:24" x14ac:dyDescent="0.25">
      <c r="B103" s="3" t="s">
        <v>76</v>
      </c>
      <c r="C103" s="34">
        <v>62.39</v>
      </c>
      <c r="D103" s="34"/>
      <c r="E103" s="34">
        <v>26.74</v>
      </c>
      <c r="F103" s="34">
        <v>66.06</v>
      </c>
      <c r="G103" s="34"/>
      <c r="H103" s="34">
        <v>28.31</v>
      </c>
      <c r="I103" s="34"/>
      <c r="J103" s="34"/>
      <c r="K103" s="34"/>
      <c r="L103" s="34"/>
      <c r="M103" s="34">
        <f t="shared" si="96"/>
        <v>128.44999999999999</v>
      </c>
      <c r="N103" s="34">
        <f t="shared" si="97"/>
        <v>55.05</v>
      </c>
      <c r="O103" s="121">
        <f t="shared" si="98"/>
        <v>0</v>
      </c>
      <c r="P103" s="34"/>
      <c r="Q103" s="34"/>
      <c r="R103" s="34">
        <v>0</v>
      </c>
      <c r="S103" s="143">
        <v>128.44999999999999</v>
      </c>
      <c r="T103" s="182">
        <f t="shared" si="99"/>
        <v>128.44999999999999</v>
      </c>
      <c r="U103" s="178">
        <f t="shared" si="55"/>
        <v>0</v>
      </c>
      <c r="V103" s="178">
        <f t="shared" si="56"/>
        <v>128.44999999999999</v>
      </c>
      <c r="W103" s="91">
        <f t="shared" si="87"/>
        <v>0</v>
      </c>
      <c r="X103" s="3" t="s">
        <v>76</v>
      </c>
    </row>
    <row r="104" spans="2:24" x14ac:dyDescent="0.25">
      <c r="B104" s="3" t="s">
        <v>53</v>
      </c>
      <c r="C104" s="34">
        <v>1864.96</v>
      </c>
      <c r="D104" s="34"/>
      <c r="E104" s="34">
        <v>799.27</v>
      </c>
      <c r="F104" s="34">
        <v>1864.96</v>
      </c>
      <c r="G104" s="34"/>
      <c r="H104" s="34">
        <v>799.27</v>
      </c>
      <c r="I104" s="34">
        <v>1864.96</v>
      </c>
      <c r="J104" s="34"/>
      <c r="K104" s="34">
        <v>799.27</v>
      </c>
      <c r="L104" s="34"/>
      <c r="M104" s="34">
        <f t="shared" si="96"/>
        <v>5594.88</v>
      </c>
      <c r="N104" s="34">
        <f t="shared" si="97"/>
        <v>2397.81</v>
      </c>
      <c r="O104" s="121">
        <f t="shared" si="98"/>
        <v>0</v>
      </c>
      <c r="P104" s="34"/>
      <c r="Q104" s="34"/>
      <c r="R104" s="34">
        <v>0</v>
      </c>
      <c r="S104" s="143">
        <v>5594.88</v>
      </c>
      <c r="T104" s="182">
        <f t="shared" si="99"/>
        <v>5594.88</v>
      </c>
      <c r="U104" s="178">
        <f t="shared" si="55"/>
        <v>0</v>
      </c>
      <c r="V104" s="178">
        <f t="shared" si="56"/>
        <v>5594.88</v>
      </c>
      <c r="W104" s="91">
        <f t="shared" si="87"/>
        <v>0</v>
      </c>
      <c r="X104" s="3" t="s">
        <v>53</v>
      </c>
    </row>
    <row r="105" spans="2:24" x14ac:dyDescent="0.25">
      <c r="B105" s="3" t="s">
        <v>229</v>
      </c>
      <c r="C105" s="34">
        <v>1080</v>
      </c>
      <c r="D105" s="34"/>
      <c r="E105" s="34">
        <v>462.86</v>
      </c>
      <c r="F105" s="34">
        <v>1800</v>
      </c>
      <c r="G105" s="34"/>
      <c r="H105" s="34">
        <v>771.43</v>
      </c>
      <c r="I105" s="34"/>
      <c r="J105" s="34"/>
      <c r="K105" s="34"/>
      <c r="L105" s="34"/>
      <c r="M105" s="34">
        <f t="shared" si="96"/>
        <v>2880</v>
      </c>
      <c r="N105" s="34">
        <f t="shared" si="97"/>
        <v>1234.29</v>
      </c>
      <c r="O105" s="121">
        <f t="shared" si="98"/>
        <v>0</v>
      </c>
      <c r="P105" s="34"/>
      <c r="Q105" s="34"/>
      <c r="R105" s="34">
        <v>0</v>
      </c>
      <c r="S105" s="143">
        <v>2880</v>
      </c>
      <c r="T105" s="182">
        <f t="shared" si="99"/>
        <v>2880</v>
      </c>
      <c r="U105" s="178">
        <f t="shared" si="55"/>
        <v>0</v>
      </c>
      <c r="V105" s="178">
        <f t="shared" si="56"/>
        <v>2880</v>
      </c>
      <c r="W105" s="91">
        <f t="shared" si="87"/>
        <v>0</v>
      </c>
      <c r="X105" s="3" t="s">
        <v>229</v>
      </c>
    </row>
    <row r="106" spans="2:24" x14ac:dyDescent="0.25">
      <c r="B106" s="3" t="s">
        <v>55</v>
      </c>
      <c r="C106" s="34">
        <v>704</v>
      </c>
      <c r="D106" s="34"/>
      <c r="E106" s="34">
        <v>301.70999999999998</v>
      </c>
      <c r="F106" s="34">
        <v>1228.67</v>
      </c>
      <c r="G106" s="34"/>
      <c r="H106" s="34">
        <v>526.57000000000005</v>
      </c>
      <c r="I106" s="34"/>
      <c r="J106" s="34"/>
      <c r="K106" s="34"/>
      <c r="L106" s="34"/>
      <c r="M106" s="34">
        <f t="shared" si="96"/>
        <v>1932.67</v>
      </c>
      <c r="N106" s="34">
        <f t="shared" si="97"/>
        <v>828.28</v>
      </c>
      <c r="O106" s="121">
        <f t="shared" si="98"/>
        <v>0</v>
      </c>
      <c r="P106" s="34"/>
      <c r="Q106" s="34"/>
      <c r="R106" s="34">
        <v>0</v>
      </c>
      <c r="S106" s="143">
        <v>1932.67</v>
      </c>
      <c r="T106" s="182">
        <f t="shared" si="99"/>
        <v>1932.67</v>
      </c>
      <c r="U106" s="178">
        <f t="shared" si="55"/>
        <v>0</v>
      </c>
      <c r="V106" s="178">
        <f t="shared" si="56"/>
        <v>1932.67</v>
      </c>
      <c r="W106" s="91">
        <f t="shared" si="87"/>
        <v>0</v>
      </c>
      <c r="X106" s="3" t="s">
        <v>55</v>
      </c>
    </row>
    <row r="107" spans="2:24" x14ac:dyDescent="0.25">
      <c r="B107" s="3" t="s">
        <v>54</v>
      </c>
      <c r="C107" s="34">
        <v>734.4</v>
      </c>
      <c r="D107" s="34"/>
      <c r="E107" s="34">
        <v>314.75</v>
      </c>
      <c r="F107" s="34">
        <v>550.79999999999995</v>
      </c>
      <c r="G107" s="34"/>
      <c r="H107" s="34">
        <v>236.06</v>
      </c>
      <c r="I107" s="34"/>
      <c r="J107" s="34"/>
      <c r="K107" s="34"/>
      <c r="L107" s="34"/>
      <c r="M107" s="34">
        <f t="shared" si="96"/>
        <v>1285.1999999999998</v>
      </c>
      <c r="N107" s="34">
        <f t="shared" si="97"/>
        <v>550.80999999999995</v>
      </c>
      <c r="O107" s="121">
        <f t="shared" si="98"/>
        <v>0</v>
      </c>
      <c r="P107" s="34"/>
      <c r="Q107" s="34"/>
      <c r="R107" s="34">
        <v>0</v>
      </c>
      <c r="S107" s="143">
        <v>1285.2</v>
      </c>
      <c r="T107" s="182">
        <f t="shared" si="99"/>
        <v>1285.1999999999998</v>
      </c>
      <c r="U107" s="178">
        <f t="shared" si="55"/>
        <v>0</v>
      </c>
      <c r="V107" s="178">
        <f t="shared" si="56"/>
        <v>1285.2</v>
      </c>
      <c r="W107" s="91">
        <f t="shared" si="87"/>
        <v>0</v>
      </c>
      <c r="X107" s="3" t="s">
        <v>54</v>
      </c>
    </row>
    <row r="108" spans="2:24" x14ac:dyDescent="0.25">
      <c r="B108" s="3"/>
      <c r="C108" s="57">
        <f t="shared" ref="C108:W108" si="100">SUM(C68:C107)</f>
        <v>25280.999999999996</v>
      </c>
      <c r="D108" s="57">
        <f t="shared" si="100"/>
        <v>3724.3199999999993</v>
      </c>
      <c r="E108" s="57">
        <f t="shared" si="100"/>
        <v>10834.720000000001</v>
      </c>
      <c r="F108" s="57">
        <f t="shared" si="100"/>
        <v>31317.52</v>
      </c>
      <c r="G108" s="57">
        <f t="shared" si="100"/>
        <v>2258.98</v>
      </c>
      <c r="H108" s="57">
        <f t="shared" si="100"/>
        <v>13421.8</v>
      </c>
      <c r="I108" s="57">
        <f t="shared" si="100"/>
        <v>4846.7700000000004</v>
      </c>
      <c r="J108" s="57">
        <f t="shared" si="100"/>
        <v>704.86</v>
      </c>
      <c r="K108" s="57">
        <f t="shared" si="100"/>
        <v>2077.1800000000003</v>
      </c>
      <c r="L108" s="57">
        <f t="shared" si="100"/>
        <v>0</v>
      </c>
      <c r="M108" s="57">
        <f t="shared" si="100"/>
        <v>61445.29</v>
      </c>
      <c r="N108" s="57">
        <f t="shared" si="100"/>
        <v>27304.89</v>
      </c>
      <c r="O108" s="57">
        <f t="shared" si="100"/>
        <v>5716.9699999999993</v>
      </c>
      <c r="P108" s="57">
        <f t="shared" si="100"/>
        <v>370</v>
      </c>
      <c r="Q108" s="57">
        <f t="shared" si="100"/>
        <v>289.77999999999997</v>
      </c>
      <c r="R108" s="57">
        <f t="shared" si="100"/>
        <v>0</v>
      </c>
      <c r="S108" s="57">
        <f t="shared" si="100"/>
        <v>68422.63</v>
      </c>
      <c r="T108" s="57">
        <f t="shared" si="100"/>
        <v>68423.23000000001</v>
      </c>
      <c r="U108" s="57">
        <f t="shared" si="100"/>
        <v>0.59999999999996589</v>
      </c>
      <c r="V108" s="57">
        <f t="shared" si="100"/>
        <v>66168.84</v>
      </c>
      <c r="W108" s="57">
        <f t="shared" si="100"/>
        <v>-0.59999999999996589</v>
      </c>
    </row>
    <row r="109" spans="2:24" x14ac:dyDescent="0.25">
      <c r="B109" s="3"/>
      <c r="C109" s="3"/>
      <c r="D109" s="3"/>
      <c r="E109" s="3"/>
      <c r="F109" s="3"/>
      <c r="G109" s="3"/>
      <c r="H109" s="3"/>
      <c r="I109" s="3"/>
      <c r="J109" s="3"/>
      <c r="K109" s="3"/>
      <c r="L109" s="8" t="s">
        <v>167</v>
      </c>
      <c r="M109" s="8"/>
      <c r="N109" s="8"/>
      <c r="O109" s="122">
        <f>S108-P108</f>
        <v>68052.63</v>
      </c>
      <c r="P109" s="34"/>
      <c r="Q109" s="34"/>
      <c r="R109" s="34"/>
    </row>
    <row r="110" spans="2:24" x14ac:dyDescent="0.25">
      <c r="C110" s="149" t="s">
        <v>100</v>
      </c>
      <c r="D110" s="149" t="s">
        <v>104</v>
      </c>
      <c r="E110" s="149" t="s">
        <v>101</v>
      </c>
      <c r="F110" s="149" t="s">
        <v>100</v>
      </c>
      <c r="G110" s="149" t="s">
        <v>104</v>
      </c>
      <c r="H110" s="149" t="s">
        <v>101</v>
      </c>
      <c r="I110" s="149" t="s">
        <v>100</v>
      </c>
      <c r="J110" s="149" t="s">
        <v>104</v>
      </c>
      <c r="K110" s="149" t="s">
        <v>101</v>
      </c>
      <c r="L110" s="37"/>
      <c r="M110" s="149" t="s">
        <v>105</v>
      </c>
      <c r="N110" s="149" t="s">
        <v>102</v>
      </c>
      <c r="O110" s="150" t="s">
        <v>103</v>
      </c>
      <c r="P110" s="151" t="s">
        <v>267</v>
      </c>
      <c r="Q110" s="151"/>
      <c r="R110" s="151" t="s">
        <v>267</v>
      </c>
      <c r="S110" s="124" t="s">
        <v>270</v>
      </c>
      <c r="T110" s="124" t="s">
        <v>93</v>
      </c>
      <c r="U110" s="90"/>
      <c r="V110" s="90"/>
    </row>
    <row r="111" spans="2:24" x14ac:dyDescent="0.25">
      <c r="B111" s="3" t="s">
        <v>311</v>
      </c>
      <c r="C111" s="3"/>
      <c r="D111" s="3">
        <v>0</v>
      </c>
      <c r="E111" s="3"/>
      <c r="F111" s="3"/>
      <c r="G111" s="3"/>
      <c r="H111" s="3"/>
      <c r="I111" s="3"/>
      <c r="J111" s="3"/>
      <c r="K111" s="3"/>
      <c r="L111" s="3"/>
      <c r="M111" s="34">
        <f>C111+F111+I111</f>
        <v>0</v>
      </c>
      <c r="N111" s="34">
        <f>E111+H111+K111</f>
        <v>0</v>
      </c>
      <c r="O111" s="34">
        <f>D111+G111+J111</f>
        <v>0</v>
      </c>
      <c r="P111" s="34">
        <v>0</v>
      </c>
      <c r="Q111" s="34"/>
      <c r="R111" s="34">
        <v>0</v>
      </c>
      <c r="S111" s="3">
        <v>0</v>
      </c>
      <c r="T111" s="152">
        <f>M111+O111</f>
        <v>0</v>
      </c>
      <c r="U111" s="171"/>
      <c r="V111" s="171"/>
    </row>
    <row r="112" spans="2:24" x14ac:dyDescent="0.25">
      <c r="B112" s="3"/>
      <c r="C112" s="3"/>
      <c r="D112" s="3"/>
      <c r="E112" s="3" t="s">
        <v>368</v>
      </c>
      <c r="F112" s="3"/>
      <c r="G112" s="3"/>
      <c r="H112" s="3"/>
      <c r="I112" s="3"/>
      <c r="J112" s="202"/>
      <c r="K112" s="3"/>
      <c r="L112" s="3"/>
      <c r="M112" s="3"/>
      <c r="N112" s="3"/>
      <c r="O112" s="3"/>
      <c r="P112" s="3"/>
      <c r="Q112" s="3"/>
      <c r="R112" s="3"/>
      <c r="S112" s="3"/>
      <c r="T112" s="3"/>
      <c r="U112" s="20">
        <f>267.51+251.98+251.56+263.11</f>
        <v>1034.1599999999999</v>
      </c>
      <c r="V112" s="20"/>
      <c r="W112">
        <f>49436-49492</f>
        <v>-56</v>
      </c>
    </row>
    <row r="113" spans="2:24" x14ac:dyDescent="0.25">
      <c r="B113" t="s">
        <v>367</v>
      </c>
      <c r="C113" s="162"/>
      <c r="D113" s="42"/>
      <c r="E113" s="42"/>
      <c r="I113" s="164" t="s">
        <v>383</v>
      </c>
      <c r="J113" s="164" t="s">
        <v>384</v>
      </c>
      <c r="K113" s="164" t="s">
        <v>385</v>
      </c>
      <c r="L113" s="164" t="s">
        <v>368</v>
      </c>
      <c r="M113" s="3"/>
      <c r="N113" s="164" t="s">
        <v>386</v>
      </c>
      <c r="O113" s="164" t="s">
        <v>387</v>
      </c>
      <c r="P113" s="164" t="s">
        <v>388</v>
      </c>
      <c r="Q113" s="169"/>
    </row>
    <row r="114" spans="2:24" x14ac:dyDescent="0.25">
      <c r="C114" s="162">
        <v>43363</v>
      </c>
      <c r="D114" s="177">
        <v>51.8</v>
      </c>
      <c r="E114" s="42">
        <v>71.349999999999994</v>
      </c>
      <c r="G114" s="163" t="s">
        <v>367</v>
      </c>
      <c r="I114" s="165"/>
      <c r="J114" s="135"/>
      <c r="K114" s="135">
        <f>I114-J114</f>
        <v>0</v>
      </c>
      <c r="L114" s="135">
        <v>0</v>
      </c>
      <c r="M114" s="157" t="e">
        <f>K114/L114</f>
        <v>#DIV/0!</v>
      </c>
      <c r="N114" s="157" t="e">
        <f>I114/M114</f>
        <v>#DIV/0!</v>
      </c>
      <c r="O114" s="157" t="e">
        <f>J114/M114</f>
        <v>#DIV/0!</v>
      </c>
      <c r="P114" s="135" t="e">
        <f>K114/M114</f>
        <v>#DIV/0!</v>
      </c>
      <c r="Q114" s="170"/>
    </row>
    <row r="115" spans="2:24" x14ac:dyDescent="0.25">
      <c r="C115" s="162">
        <v>43447</v>
      </c>
      <c r="D115" s="42">
        <v>51.8</v>
      </c>
      <c r="E115" s="42">
        <v>71.37</v>
      </c>
      <c r="I115" s="135">
        <v>74</v>
      </c>
      <c r="J115" s="135">
        <v>22.2</v>
      </c>
      <c r="K115" s="135">
        <f t="shared" ref="K115:K118" si="101">I115-J115</f>
        <v>51.8</v>
      </c>
      <c r="L115" s="135">
        <v>71.349999999999994</v>
      </c>
      <c r="M115" s="157">
        <f t="shared" ref="M115:M118" si="102">K115/L115</f>
        <v>0.72599859845830417</v>
      </c>
      <c r="N115" s="157">
        <f t="shared" ref="N115:N118" si="103">I115/M115</f>
        <v>101.92857142857143</v>
      </c>
      <c r="O115" s="157">
        <f t="shared" ref="O115:O118" si="104">J115/M115</f>
        <v>30.578571428571426</v>
      </c>
      <c r="P115" s="135">
        <f t="shared" ref="P115:P118" si="105">K115/M115</f>
        <v>71.349999999999994</v>
      </c>
      <c r="Q115" s="170"/>
      <c r="S115" s="167">
        <f>212+60+20+105</f>
        <v>397</v>
      </c>
    </row>
    <row r="116" spans="2:24" x14ac:dyDescent="0.25">
      <c r="C116" s="162">
        <v>43538</v>
      </c>
      <c r="D116" s="42">
        <v>51.8</v>
      </c>
      <c r="E116" s="42">
        <v>72.930000000000007</v>
      </c>
      <c r="I116" s="135">
        <v>74</v>
      </c>
      <c r="J116" s="135">
        <v>22.2</v>
      </c>
      <c r="K116" s="135">
        <f t="shared" si="101"/>
        <v>51.8</v>
      </c>
      <c r="L116" s="135">
        <v>71.37</v>
      </c>
      <c r="M116" s="157">
        <f t="shared" si="102"/>
        <v>0.72579515202466016</v>
      </c>
      <c r="N116" s="157">
        <f t="shared" si="103"/>
        <v>101.95714285714287</v>
      </c>
      <c r="O116" s="157">
        <f t="shared" si="104"/>
        <v>30.587142857142858</v>
      </c>
      <c r="P116" s="135">
        <f t="shared" si="105"/>
        <v>71.37</v>
      </c>
      <c r="Q116" s="170"/>
    </row>
    <row r="117" spans="2:24" x14ac:dyDescent="0.25">
      <c r="C117" s="162">
        <v>43629</v>
      </c>
      <c r="D117" s="42">
        <v>51.8</v>
      </c>
      <c r="E117" s="42">
        <v>74.13</v>
      </c>
      <c r="I117" s="135">
        <v>74</v>
      </c>
      <c r="J117" s="135">
        <v>22.2</v>
      </c>
      <c r="K117" s="135">
        <f t="shared" si="101"/>
        <v>51.8</v>
      </c>
      <c r="L117" s="135">
        <v>72.930000000000007</v>
      </c>
      <c r="M117" s="157">
        <f t="shared" si="102"/>
        <v>0.71027012203482787</v>
      </c>
      <c r="N117" s="157">
        <f t="shared" si="103"/>
        <v>104.1857142857143</v>
      </c>
      <c r="O117" s="157">
        <f t="shared" si="104"/>
        <v>31.255714285714287</v>
      </c>
      <c r="P117" s="135">
        <f t="shared" si="105"/>
        <v>72.930000000000007</v>
      </c>
      <c r="Q117" s="170"/>
    </row>
    <row r="118" spans="2:24" x14ac:dyDescent="0.25">
      <c r="E118">
        <f>SUM(E114:E117)</f>
        <v>289.77999999999997</v>
      </c>
      <c r="I118" s="135">
        <v>74</v>
      </c>
      <c r="J118" s="135">
        <v>22.2</v>
      </c>
      <c r="K118" s="135">
        <f t="shared" si="101"/>
        <v>51.8</v>
      </c>
      <c r="L118" s="135">
        <v>74.13</v>
      </c>
      <c r="M118" s="180">
        <f t="shared" si="102"/>
        <v>0.69877242681775265</v>
      </c>
      <c r="N118" s="157">
        <f t="shared" si="103"/>
        <v>105.89999999999999</v>
      </c>
      <c r="O118" s="157">
        <f t="shared" si="104"/>
        <v>31.769999999999996</v>
      </c>
      <c r="P118" s="135">
        <f t="shared" si="105"/>
        <v>74.13</v>
      </c>
      <c r="Q118" s="170"/>
    </row>
    <row r="119" spans="2:24" x14ac:dyDescent="0.25">
      <c r="I119" s="135"/>
      <c r="J119" s="135"/>
      <c r="K119" s="135"/>
      <c r="L119" s="135">
        <f>SUM(L114:L118)</f>
        <v>289.77999999999997</v>
      </c>
      <c r="M119" s="180"/>
      <c r="N119" s="157">
        <f>SUM(N115:N118)</f>
        <v>413.97142857142859</v>
      </c>
      <c r="O119" s="158">
        <f>SUM(O115:O118)</f>
        <v>124.19142857142857</v>
      </c>
      <c r="P119" s="135">
        <f>SUM(P115:P118)</f>
        <v>289.77999999999997</v>
      </c>
      <c r="Q119" s="170"/>
    </row>
    <row r="120" spans="2:24" x14ac:dyDescent="0.25">
      <c r="F120" s="91"/>
    </row>
    <row r="122" spans="2:24" x14ac:dyDescent="0.25">
      <c r="B122" t="s">
        <v>421</v>
      </c>
    </row>
    <row r="123" spans="2:24" x14ac:dyDescent="0.25">
      <c r="B123" s="3" t="s">
        <v>42</v>
      </c>
      <c r="C123" s="4" t="s">
        <v>98</v>
      </c>
      <c r="D123" s="4"/>
      <c r="E123" s="4"/>
      <c r="F123" s="4" t="s">
        <v>99</v>
      </c>
      <c r="G123" s="4"/>
      <c r="H123" s="4"/>
      <c r="I123" s="4" t="s">
        <v>342</v>
      </c>
      <c r="J123" s="4"/>
      <c r="K123" s="4"/>
      <c r="L123" s="4"/>
      <c r="M123" s="4" t="s">
        <v>93</v>
      </c>
      <c r="N123" s="3" t="s">
        <v>93</v>
      </c>
      <c r="O123" s="119"/>
      <c r="P123" s="34"/>
      <c r="Q123" s="34" t="s">
        <v>345</v>
      </c>
      <c r="R123" s="34" t="s">
        <v>345</v>
      </c>
      <c r="S123" s="50">
        <v>43281</v>
      </c>
    </row>
    <row r="124" spans="2:24" x14ac:dyDescent="0.25">
      <c r="B124" s="3"/>
      <c r="C124" s="54" t="s">
        <v>100</v>
      </c>
      <c r="D124" s="54" t="s">
        <v>104</v>
      </c>
      <c r="E124" s="54" t="s">
        <v>101</v>
      </c>
      <c r="F124" s="54" t="s">
        <v>100</v>
      </c>
      <c r="G124" s="54" t="s">
        <v>104</v>
      </c>
      <c r="H124" s="54" t="s">
        <v>101</v>
      </c>
      <c r="I124" s="54" t="s">
        <v>100</v>
      </c>
      <c r="J124" s="54" t="s">
        <v>104</v>
      </c>
      <c r="K124" s="54" t="s">
        <v>101</v>
      </c>
      <c r="L124" s="32" t="s">
        <v>104</v>
      </c>
      <c r="M124" s="54" t="s">
        <v>105</v>
      </c>
      <c r="N124" s="54" t="s">
        <v>102</v>
      </c>
      <c r="O124" s="120" t="s">
        <v>103</v>
      </c>
      <c r="P124" s="123" t="s">
        <v>267</v>
      </c>
      <c r="Q124" s="123"/>
      <c r="R124" s="123" t="s">
        <v>346</v>
      </c>
      <c r="S124" s="124" t="s">
        <v>270</v>
      </c>
      <c r="T124" s="124" t="s">
        <v>93</v>
      </c>
      <c r="U124" s="90" t="s">
        <v>404</v>
      </c>
      <c r="V124" s="90" t="s">
        <v>405</v>
      </c>
    </row>
    <row r="125" spans="2:24" x14ac:dyDescent="0.25">
      <c r="B125" s="3" t="s">
        <v>423</v>
      </c>
      <c r="C125" s="54"/>
      <c r="D125" s="54"/>
      <c r="E125" s="54"/>
      <c r="F125" s="54"/>
      <c r="G125" s="54">
        <v>418.72</v>
      </c>
      <c r="H125" s="54"/>
      <c r="I125" s="54"/>
      <c r="J125" s="54"/>
      <c r="K125" s="54"/>
      <c r="L125" s="32"/>
      <c r="M125" s="34">
        <f>C125+F125+I125</f>
        <v>0</v>
      </c>
      <c r="N125" s="34">
        <f>E125+H125+K125</f>
        <v>0</v>
      </c>
      <c r="O125" s="121">
        <f>D125+G125+J125</f>
        <v>418.72</v>
      </c>
      <c r="P125" s="123">
        <v>196</v>
      </c>
      <c r="Q125" s="123"/>
      <c r="R125" s="123"/>
      <c r="S125" s="178">
        <v>418.72</v>
      </c>
      <c r="T125" s="182">
        <f>M125+O125</f>
        <v>418.72</v>
      </c>
      <c r="U125" s="178">
        <f>T125-S125</f>
        <v>0</v>
      </c>
      <c r="V125" s="178">
        <f>S125+U125</f>
        <v>418.72</v>
      </c>
      <c r="X125" s="3" t="s">
        <v>423</v>
      </c>
    </row>
    <row r="126" spans="2:24" x14ac:dyDescent="0.25">
      <c r="B126" s="3" t="s">
        <v>400</v>
      </c>
      <c r="C126" s="54">
        <v>24.5</v>
      </c>
      <c r="D126" s="54">
        <v>73.5</v>
      </c>
      <c r="E126" s="54">
        <v>10.5</v>
      </c>
      <c r="F126" s="54">
        <v>140</v>
      </c>
      <c r="G126" s="54"/>
      <c r="H126" s="54">
        <v>60</v>
      </c>
      <c r="I126" s="54"/>
      <c r="J126" s="54"/>
      <c r="K126" s="54"/>
      <c r="L126" s="3"/>
      <c r="M126" s="34">
        <f>C126+F126+I126</f>
        <v>164.5</v>
      </c>
      <c r="N126" s="34">
        <f>E126+H126+K126</f>
        <v>70.5</v>
      </c>
      <c r="O126" s="121">
        <f>D126+G126+J126</f>
        <v>73.5</v>
      </c>
      <c r="P126" s="34">
        <v>34</v>
      </c>
      <c r="Q126" s="34"/>
      <c r="R126" s="34">
        <v>0</v>
      </c>
      <c r="S126" s="179">
        <v>238</v>
      </c>
      <c r="T126" s="182">
        <f>M126+O126</f>
        <v>238</v>
      </c>
      <c r="U126" s="178">
        <f t="shared" ref="U126:U156" si="106">T126-S126</f>
        <v>0</v>
      </c>
      <c r="V126" s="178">
        <f t="shared" ref="V126:V156" si="107">S126+U126</f>
        <v>238</v>
      </c>
      <c r="W126" s="91">
        <f>S126-T126</f>
        <v>0</v>
      </c>
      <c r="X126" s="3" t="s">
        <v>400</v>
      </c>
    </row>
    <row r="127" spans="2:24" x14ac:dyDescent="0.25">
      <c r="B127" s="3" t="s">
        <v>43</v>
      </c>
      <c r="C127" s="34">
        <v>1646.72</v>
      </c>
      <c r="D127" s="34">
        <v>0</v>
      </c>
      <c r="E127" s="34">
        <v>705.74</v>
      </c>
      <c r="F127" s="34">
        <v>2195.1999999999998</v>
      </c>
      <c r="G127" s="34">
        <v>0</v>
      </c>
      <c r="H127" s="34">
        <v>940.8</v>
      </c>
      <c r="I127" s="34"/>
      <c r="J127" s="34"/>
      <c r="K127" s="34"/>
      <c r="L127" s="34"/>
      <c r="M127" s="34">
        <f>C127+F127+I127</f>
        <v>3841.92</v>
      </c>
      <c r="N127" s="34">
        <f>E127+H127+K127</f>
        <v>1646.54</v>
      </c>
      <c r="O127" s="121">
        <f>D127+G127+J127</f>
        <v>0</v>
      </c>
      <c r="P127" s="34">
        <v>0</v>
      </c>
      <c r="Q127" s="34"/>
      <c r="R127" s="34">
        <v>0</v>
      </c>
      <c r="S127" s="143">
        <v>3841.92</v>
      </c>
      <c r="T127" s="182">
        <f>M127+O127</f>
        <v>3841.92</v>
      </c>
      <c r="U127" s="178">
        <f t="shared" si="106"/>
        <v>0</v>
      </c>
      <c r="V127" s="178">
        <f t="shared" si="107"/>
        <v>3841.92</v>
      </c>
      <c r="W127" s="91">
        <f t="shared" ref="W127:W156" si="108">S127-T127</f>
        <v>0</v>
      </c>
      <c r="X127" s="3" t="s">
        <v>43</v>
      </c>
    </row>
    <row r="128" spans="2:24" x14ac:dyDescent="0.25">
      <c r="B128" s="3" t="s">
        <v>341</v>
      </c>
      <c r="C128" s="34">
        <v>372.6</v>
      </c>
      <c r="D128" s="34"/>
      <c r="E128" s="34">
        <v>159.69</v>
      </c>
      <c r="F128" s="34">
        <v>307.8</v>
      </c>
      <c r="G128" s="34"/>
      <c r="H128" s="34">
        <f>F128*H5</f>
        <v>131.91132134831463</v>
      </c>
      <c r="I128" s="34"/>
      <c r="J128" s="34"/>
      <c r="K128" s="34"/>
      <c r="L128" s="34"/>
      <c r="M128" s="34">
        <f>C128+F128+I128</f>
        <v>680.40000000000009</v>
      </c>
      <c r="N128" s="34">
        <f>E128+H128+K128</f>
        <v>291.60132134831463</v>
      </c>
      <c r="O128" s="121">
        <f>D128+G128+J128</f>
        <v>0</v>
      </c>
      <c r="P128" s="34">
        <v>0</v>
      </c>
      <c r="Q128" s="34"/>
      <c r="R128" s="34">
        <v>0</v>
      </c>
      <c r="S128" s="143">
        <v>680.4</v>
      </c>
      <c r="T128" s="182">
        <v>680</v>
      </c>
      <c r="U128" s="178">
        <f t="shared" si="106"/>
        <v>-0.39999999999997726</v>
      </c>
      <c r="V128" s="178">
        <f t="shared" si="107"/>
        <v>680</v>
      </c>
      <c r="W128" s="91">
        <f t="shared" si="108"/>
        <v>0.39999999999997726</v>
      </c>
      <c r="X128" s="3" t="s">
        <v>341</v>
      </c>
    </row>
    <row r="129" spans="2:24" x14ac:dyDescent="0.25">
      <c r="B129" s="3" t="s">
        <v>422</v>
      </c>
      <c r="C129" s="34"/>
      <c r="D129" s="34"/>
      <c r="E129" s="34"/>
      <c r="F129" s="34">
        <v>203.13</v>
      </c>
      <c r="G129" s="34">
        <v>203.12</v>
      </c>
      <c r="H129" s="34">
        <v>87.06</v>
      </c>
      <c r="I129" s="34"/>
      <c r="J129" s="34"/>
      <c r="K129" s="34"/>
      <c r="L129" s="34"/>
      <c r="M129" s="34">
        <f>C129+F129+I129</f>
        <v>203.13</v>
      </c>
      <c r="N129" s="34">
        <f>E129+H129+K129</f>
        <v>87.06</v>
      </c>
      <c r="O129" s="121">
        <f>D129+G129+J129</f>
        <v>203.12</v>
      </c>
      <c r="P129" s="34">
        <v>95</v>
      </c>
      <c r="Q129" s="34"/>
      <c r="R129" s="34"/>
      <c r="S129" s="143">
        <v>406.25</v>
      </c>
      <c r="T129" s="182">
        <f>M129+O129</f>
        <v>406.25</v>
      </c>
      <c r="U129" s="178">
        <f t="shared" si="106"/>
        <v>0</v>
      </c>
      <c r="V129" s="178">
        <f t="shared" si="107"/>
        <v>406.25</v>
      </c>
      <c r="W129" s="91"/>
      <c r="X129" s="3" t="s">
        <v>422</v>
      </c>
    </row>
    <row r="130" spans="2:24" x14ac:dyDescent="0.25">
      <c r="B130" s="3" t="s">
        <v>60</v>
      </c>
      <c r="C130" s="34">
        <v>7776.3</v>
      </c>
      <c r="D130" s="34">
        <v>0</v>
      </c>
      <c r="E130" s="34">
        <v>3332.7</v>
      </c>
      <c r="F130" s="34">
        <v>7382</v>
      </c>
      <c r="G130" s="34"/>
      <c r="H130" s="34">
        <v>3163.71</v>
      </c>
      <c r="I130" s="34"/>
      <c r="J130" s="34"/>
      <c r="K130" s="34"/>
      <c r="L130" s="34"/>
      <c r="M130" s="34">
        <f t="shared" ref="M130:M131" si="109">C130+F130+I130</f>
        <v>15158.3</v>
      </c>
      <c r="N130" s="34">
        <f t="shared" ref="N130:N131" si="110">E130+H130+K130</f>
        <v>6496.41</v>
      </c>
      <c r="O130" s="121">
        <f t="shared" ref="O130:O131" si="111">D130+G130+J130</f>
        <v>0</v>
      </c>
      <c r="P130" s="34">
        <v>0</v>
      </c>
      <c r="Q130" s="34"/>
      <c r="R130" s="34">
        <v>0</v>
      </c>
      <c r="S130" s="143">
        <v>15158.3</v>
      </c>
      <c r="T130" s="182">
        <f t="shared" ref="T130:T136" si="112">M130+O130</f>
        <v>15158.3</v>
      </c>
      <c r="U130" s="178">
        <f t="shared" si="106"/>
        <v>0</v>
      </c>
      <c r="V130" s="178">
        <f t="shared" si="107"/>
        <v>15158.3</v>
      </c>
      <c r="W130" s="91">
        <f t="shared" si="108"/>
        <v>0</v>
      </c>
      <c r="X130" s="3" t="s">
        <v>60</v>
      </c>
    </row>
    <row r="131" spans="2:24" x14ac:dyDescent="0.25">
      <c r="B131" s="3" t="s">
        <v>45</v>
      </c>
      <c r="C131" s="34">
        <v>457.46</v>
      </c>
      <c r="D131" s="34">
        <v>196.06</v>
      </c>
      <c r="E131" s="34">
        <v>196.05</v>
      </c>
      <c r="F131" s="34">
        <v>784.78</v>
      </c>
      <c r="G131" s="34">
        <v>336.34</v>
      </c>
      <c r="H131" s="34">
        <v>336.33</v>
      </c>
      <c r="I131" s="34"/>
      <c r="J131" s="34"/>
      <c r="K131" s="34"/>
      <c r="L131" s="34"/>
      <c r="M131" s="34">
        <f t="shared" si="109"/>
        <v>1242.24</v>
      </c>
      <c r="N131" s="34">
        <f t="shared" si="110"/>
        <v>532.38</v>
      </c>
      <c r="O131" s="121">
        <f t="shared" si="111"/>
        <v>532.4</v>
      </c>
      <c r="P131" s="34">
        <v>0</v>
      </c>
      <c r="Q131" s="34"/>
      <c r="R131" s="34">
        <v>0</v>
      </c>
      <c r="S131" s="143">
        <v>1774.64</v>
      </c>
      <c r="T131" s="182">
        <f t="shared" si="112"/>
        <v>1774.6399999999999</v>
      </c>
      <c r="U131" s="178">
        <f t="shared" si="106"/>
        <v>0</v>
      </c>
      <c r="V131" s="178">
        <f t="shared" si="107"/>
        <v>1774.64</v>
      </c>
      <c r="W131" s="91">
        <f t="shared" si="108"/>
        <v>0</v>
      </c>
      <c r="X131" s="3" t="s">
        <v>45</v>
      </c>
    </row>
    <row r="132" spans="2:24" x14ac:dyDescent="0.25">
      <c r="B132" s="3" t="s">
        <v>339</v>
      </c>
      <c r="C132" s="34">
        <v>135</v>
      </c>
      <c r="D132" s="34">
        <v>90</v>
      </c>
      <c r="E132" s="34">
        <v>57.86</v>
      </c>
      <c r="F132" s="34">
        <v>135</v>
      </c>
      <c r="G132" s="34">
        <v>90</v>
      </c>
      <c r="H132" s="34">
        <v>57.86</v>
      </c>
      <c r="I132" s="34"/>
      <c r="J132" s="34"/>
      <c r="K132" s="34"/>
      <c r="L132" s="34"/>
      <c r="M132" s="34">
        <f>C132+F132+I132</f>
        <v>270</v>
      </c>
      <c r="N132" s="34">
        <f>E132+H132+K132</f>
        <v>115.72</v>
      </c>
      <c r="O132" s="121">
        <f>D132+G132+J132</f>
        <v>180</v>
      </c>
      <c r="P132" s="34">
        <v>0</v>
      </c>
      <c r="Q132" s="34"/>
      <c r="R132" s="34"/>
      <c r="S132" s="143">
        <v>450</v>
      </c>
      <c r="T132" s="182">
        <f t="shared" si="112"/>
        <v>450</v>
      </c>
      <c r="U132" s="178">
        <f t="shared" si="106"/>
        <v>0</v>
      </c>
      <c r="V132" s="178">
        <f t="shared" si="107"/>
        <v>450</v>
      </c>
      <c r="W132" s="91">
        <f t="shared" si="108"/>
        <v>0</v>
      </c>
      <c r="X132" s="3" t="s">
        <v>339</v>
      </c>
    </row>
    <row r="133" spans="2:24" x14ac:dyDescent="0.25">
      <c r="B133" s="176" t="s">
        <v>228</v>
      </c>
      <c r="C133" s="34"/>
      <c r="D133" s="34">
        <v>274.58</v>
      </c>
      <c r="E133" s="34"/>
      <c r="F133" s="34"/>
      <c r="G133" s="34">
        <v>301.49</v>
      </c>
      <c r="H133" s="34"/>
      <c r="I133" s="34"/>
      <c r="J133" s="34"/>
      <c r="K133" s="34"/>
      <c r="L133" s="34"/>
      <c r="M133" s="34">
        <f t="shared" ref="M133:M136" si="113">C133+F133+I133</f>
        <v>0</v>
      </c>
      <c r="N133" s="34">
        <f t="shared" ref="N133:N136" si="114">E133+H133+K133</f>
        <v>0</v>
      </c>
      <c r="O133" s="121">
        <f t="shared" ref="O133:O136" si="115">D133+G133+J133</f>
        <v>576.06999999999994</v>
      </c>
      <c r="P133" s="34">
        <v>0</v>
      </c>
      <c r="Q133" s="34"/>
      <c r="R133" s="34">
        <v>0</v>
      </c>
      <c r="S133" s="143">
        <v>576.07000000000005</v>
      </c>
      <c r="T133" s="182">
        <f t="shared" si="112"/>
        <v>576.06999999999994</v>
      </c>
      <c r="U133" s="178">
        <f t="shared" si="106"/>
        <v>0</v>
      </c>
      <c r="V133" s="178">
        <f t="shared" si="107"/>
        <v>576.07000000000005</v>
      </c>
      <c r="W133" s="91">
        <f t="shared" si="108"/>
        <v>0</v>
      </c>
      <c r="X133" s="176" t="s">
        <v>228</v>
      </c>
    </row>
    <row r="134" spans="2:24" x14ac:dyDescent="0.25">
      <c r="B134" s="176" t="s">
        <v>424</v>
      </c>
      <c r="C134" s="34"/>
      <c r="D134" s="34">
        <v>3.03</v>
      </c>
      <c r="E134" s="34"/>
      <c r="F134" s="34"/>
      <c r="G134" s="34"/>
      <c r="H134" s="34"/>
      <c r="I134" s="34"/>
      <c r="J134" s="34"/>
      <c r="K134" s="34"/>
      <c r="L134" s="34"/>
      <c r="M134" s="34">
        <f t="shared" ref="M134" si="116">C134+F134+I134</f>
        <v>0</v>
      </c>
      <c r="N134" s="34">
        <f t="shared" ref="N134" si="117">E134+H134+K134</f>
        <v>0</v>
      </c>
      <c r="O134" s="121">
        <f t="shared" ref="O134" si="118">D134+G134+J134</f>
        <v>3.03</v>
      </c>
      <c r="P134" s="34">
        <v>0</v>
      </c>
      <c r="Q134" s="34"/>
      <c r="R134" s="34">
        <v>0</v>
      </c>
      <c r="S134" s="143">
        <v>3.03</v>
      </c>
      <c r="T134" s="182">
        <f t="shared" ref="T134" si="119">M134+O134</f>
        <v>3.03</v>
      </c>
      <c r="U134" s="178">
        <f t="shared" si="106"/>
        <v>0</v>
      </c>
      <c r="V134" s="178">
        <f t="shared" ref="V134" si="120">S134+U134</f>
        <v>3.03</v>
      </c>
      <c r="W134" s="91"/>
      <c r="X134" s="176" t="s">
        <v>424</v>
      </c>
    </row>
    <row r="135" spans="2:24" x14ac:dyDescent="0.25">
      <c r="B135" s="3" t="s">
        <v>46</v>
      </c>
      <c r="C135" s="34">
        <v>97.61</v>
      </c>
      <c r="D135" s="34">
        <v>0</v>
      </c>
      <c r="E135" s="34">
        <v>41.83</v>
      </c>
      <c r="F135" s="34">
        <v>101.22</v>
      </c>
      <c r="G135" s="34"/>
      <c r="H135" s="34">
        <f>H5*F135</f>
        <v>43.379025168539329</v>
      </c>
      <c r="I135" s="34"/>
      <c r="J135" s="34"/>
      <c r="K135" s="34"/>
      <c r="L135" s="34"/>
      <c r="M135" s="34">
        <f t="shared" si="113"/>
        <v>198.82999999999998</v>
      </c>
      <c r="N135" s="34">
        <f t="shared" si="114"/>
        <v>85.209025168539327</v>
      </c>
      <c r="O135" s="121">
        <f t="shared" si="115"/>
        <v>0</v>
      </c>
      <c r="P135" s="34">
        <v>0</v>
      </c>
      <c r="Q135" s="34"/>
      <c r="R135" s="34">
        <v>0</v>
      </c>
      <c r="S135" s="143">
        <v>198.83</v>
      </c>
      <c r="T135" s="182">
        <f t="shared" si="112"/>
        <v>198.82999999999998</v>
      </c>
      <c r="U135" s="178">
        <f t="shared" si="106"/>
        <v>0</v>
      </c>
      <c r="V135" s="178">
        <f t="shared" si="107"/>
        <v>198.83</v>
      </c>
      <c r="W135" s="91">
        <f t="shared" si="108"/>
        <v>0</v>
      </c>
      <c r="X135" s="3" t="s">
        <v>46</v>
      </c>
    </row>
    <row r="136" spans="2:24" x14ac:dyDescent="0.25">
      <c r="B136" s="3" t="s">
        <v>48</v>
      </c>
      <c r="C136" s="34">
        <v>938.6</v>
      </c>
      <c r="D136" s="34"/>
      <c r="E136" s="34">
        <v>402.26</v>
      </c>
      <c r="F136" s="34">
        <v>657.02</v>
      </c>
      <c r="G136" s="34"/>
      <c r="H136" s="34">
        <v>281.58</v>
      </c>
      <c r="I136" s="34"/>
      <c r="J136" s="34"/>
      <c r="K136" s="34"/>
      <c r="L136" s="34"/>
      <c r="M136" s="34">
        <f t="shared" si="113"/>
        <v>1595.62</v>
      </c>
      <c r="N136" s="34">
        <f t="shared" si="114"/>
        <v>683.83999999999992</v>
      </c>
      <c r="O136" s="121">
        <f t="shared" si="115"/>
        <v>0</v>
      </c>
      <c r="P136" s="34">
        <v>0</v>
      </c>
      <c r="Q136" s="34"/>
      <c r="R136" s="34">
        <v>0</v>
      </c>
      <c r="S136" s="143">
        <v>1595.62</v>
      </c>
      <c r="T136" s="182">
        <f t="shared" si="112"/>
        <v>1595.62</v>
      </c>
      <c r="U136" s="178">
        <f t="shared" si="106"/>
        <v>0</v>
      </c>
      <c r="V136" s="178">
        <f t="shared" si="107"/>
        <v>1595.62</v>
      </c>
      <c r="W136" s="91">
        <f t="shared" si="108"/>
        <v>0</v>
      </c>
      <c r="X136" s="3" t="s">
        <v>48</v>
      </c>
    </row>
    <row r="137" spans="2:24" x14ac:dyDescent="0.25">
      <c r="B137" s="3" t="s">
        <v>390</v>
      </c>
      <c r="C137" s="34">
        <v>220.5</v>
      </c>
      <c r="D137" s="34">
        <v>269.5</v>
      </c>
      <c r="E137" s="34">
        <v>94.5</v>
      </c>
      <c r="F137" s="34">
        <v>161.44</v>
      </c>
      <c r="G137" s="34">
        <v>197.31</v>
      </c>
      <c r="H137" s="34">
        <v>69.19</v>
      </c>
      <c r="I137" s="34"/>
      <c r="J137" s="34"/>
      <c r="K137" s="34"/>
      <c r="L137" s="34"/>
      <c r="M137" s="34">
        <f>C137+F137+I137</f>
        <v>381.94</v>
      </c>
      <c r="N137" s="34">
        <f>E137+H137+K137</f>
        <v>163.69</v>
      </c>
      <c r="O137" s="121">
        <f>D137+G137+J137</f>
        <v>466.81</v>
      </c>
      <c r="P137" s="34">
        <f>92+126</f>
        <v>218</v>
      </c>
      <c r="Q137" s="34"/>
      <c r="R137" s="34"/>
      <c r="S137" s="143">
        <f>630.75+218</f>
        <v>848.75</v>
      </c>
      <c r="T137" s="182">
        <f>M137+O137</f>
        <v>848.75</v>
      </c>
      <c r="U137" s="178">
        <f t="shared" si="106"/>
        <v>0</v>
      </c>
      <c r="V137" s="178">
        <f t="shared" si="107"/>
        <v>848.75</v>
      </c>
      <c r="W137" s="91">
        <f t="shared" si="108"/>
        <v>0</v>
      </c>
      <c r="X137" s="3" t="s">
        <v>390</v>
      </c>
    </row>
    <row r="138" spans="2:24" x14ac:dyDescent="0.25">
      <c r="B138" s="3" t="s">
        <v>378</v>
      </c>
      <c r="C138" s="34">
        <v>415</v>
      </c>
      <c r="D138" s="34"/>
      <c r="E138" s="34">
        <f>C138*H5</f>
        <v>177.85314606741574</v>
      </c>
      <c r="F138" s="34">
        <v>445</v>
      </c>
      <c r="G138" s="34"/>
      <c r="H138" s="34">
        <v>190.71</v>
      </c>
      <c r="I138" s="34">
        <v>57</v>
      </c>
      <c r="J138" s="34"/>
      <c r="K138" s="34">
        <v>24.43</v>
      </c>
      <c r="L138" s="34"/>
      <c r="M138" s="34">
        <f t="shared" ref="M138:M142" si="121">C138+F138+I138</f>
        <v>917</v>
      </c>
      <c r="N138" s="34">
        <f t="shared" ref="N138:N142" si="122">E138+H138+K138</f>
        <v>392.99314606741575</v>
      </c>
      <c r="O138" s="121">
        <f t="shared" ref="O138:O142" si="123">D138+G138+J138</f>
        <v>0</v>
      </c>
      <c r="P138" s="34"/>
      <c r="Q138" s="34"/>
      <c r="R138" s="34">
        <v>0</v>
      </c>
      <c r="S138" s="143">
        <v>917</v>
      </c>
      <c r="T138" s="182">
        <f t="shared" ref="T138:T142" si="124">M138+O138</f>
        <v>917</v>
      </c>
      <c r="U138" s="178">
        <f t="shared" si="106"/>
        <v>0</v>
      </c>
      <c r="V138" s="178">
        <f t="shared" si="107"/>
        <v>917</v>
      </c>
      <c r="W138" s="91">
        <f t="shared" si="108"/>
        <v>0</v>
      </c>
      <c r="X138" s="3" t="s">
        <v>378</v>
      </c>
    </row>
    <row r="139" spans="2:24" x14ac:dyDescent="0.25">
      <c r="B139" s="3" t="s">
        <v>379</v>
      </c>
      <c r="C139" s="34">
        <v>523.79999999999995</v>
      </c>
      <c r="D139" s="34">
        <v>0</v>
      </c>
      <c r="E139" s="34">
        <v>224.49</v>
      </c>
      <c r="F139" s="34">
        <v>426.8</v>
      </c>
      <c r="G139" s="34">
        <v>0</v>
      </c>
      <c r="H139" s="34">
        <v>182.91</v>
      </c>
      <c r="I139" s="34"/>
      <c r="J139" s="34"/>
      <c r="K139" s="34"/>
      <c r="L139" s="34"/>
      <c r="M139" s="34">
        <f t="shared" si="121"/>
        <v>950.59999999999991</v>
      </c>
      <c r="N139" s="34">
        <f t="shared" si="122"/>
        <v>407.4</v>
      </c>
      <c r="O139" s="121">
        <f t="shared" si="123"/>
        <v>0</v>
      </c>
      <c r="P139" s="34"/>
      <c r="Q139" s="34"/>
      <c r="R139" s="34">
        <v>0</v>
      </c>
      <c r="S139" s="143">
        <v>950.6</v>
      </c>
      <c r="T139" s="182">
        <f t="shared" si="124"/>
        <v>950.59999999999991</v>
      </c>
      <c r="U139" s="178">
        <f t="shared" si="106"/>
        <v>0</v>
      </c>
      <c r="V139" s="178">
        <f t="shared" si="107"/>
        <v>950.6</v>
      </c>
      <c r="W139" s="91">
        <f t="shared" si="108"/>
        <v>0</v>
      </c>
      <c r="X139" s="3" t="s">
        <v>379</v>
      </c>
    </row>
    <row r="140" spans="2:24" x14ac:dyDescent="0.25">
      <c r="B140" s="3" t="s">
        <v>425</v>
      </c>
      <c r="C140" s="34">
        <v>115</v>
      </c>
      <c r="D140" s="34"/>
      <c r="E140" s="34">
        <v>49.29</v>
      </c>
      <c r="F140" s="34">
        <v>172</v>
      </c>
      <c r="G140" s="34"/>
      <c r="H140" s="34">
        <f>0.43*F140</f>
        <v>73.959999999999994</v>
      </c>
      <c r="I140" s="34"/>
      <c r="J140" s="34"/>
      <c r="K140" s="34"/>
      <c r="L140" s="34"/>
      <c r="M140" s="34">
        <f t="shared" ref="M140" si="125">C140+F140+I140</f>
        <v>287</v>
      </c>
      <c r="N140" s="34">
        <f t="shared" ref="N140" si="126">E140+H140+K140</f>
        <v>123.25</v>
      </c>
      <c r="O140" s="121">
        <f t="shared" ref="O140" si="127">D140+G140+J140</f>
        <v>0</v>
      </c>
      <c r="P140" s="34"/>
      <c r="Q140" s="34"/>
      <c r="R140" s="34">
        <v>0</v>
      </c>
      <c r="S140" s="143">
        <v>287</v>
      </c>
      <c r="T140" s="182">
        <f t="shared" ref="T140" si="128">M140+O140</f>
        <v>287</v>
      </c>
      <c r="U140" s="178">
        <f t="shared" si="106"/>
        <v>0</v>
      </c>
      <c r="V140" s="178">
        <f t="shared" ref="V140" si="129">S140+U140</f>
        <v>287</v>
      </c>
      <c r="W140" s="91"/>
      <c r="X140" s="3" t="s">
        <v>425</v>
      </c>
    </row>
    <row r="141" spans="2:24" x14ac:dyDescent="0.25">
      <c r="B141" s="3" t="s">
        <v>75</v>
      </c>
      <c r="C141" s="34">
        <v>693</v>
      </c>
      <c r="D141" s="34"/>
      <c r="E141" s="34">
        <v>297</v>
      </c>
      <c r="F141" s="34">
        <v>693</v>
      </c>
      <c r="G141" s="34">
        <v>0</v>
      </c>
      <c r="H141" s="34">
        <v>297</v>
      </c>
      <c r="I141" s="34"/>
      <c r="J141" s="34"/>
      <c r="K141" s="34"/>
      <c r="L141" s="34"/>
      <c r="M141" s="34">
        <f t="shared" si="121"/>
        <v>1386</v>
      </c>
      <c r="N141" s="34">
        <f t="shared" si="122"/>
        <v>594</v>
      </c>
      <c r="O141" s="121">
        <f t="shared" si="123"/>
        <v>0</v>
      </c>
      <c r="P141" s="34"/>
      <c r="Q141" s="34"/>
      <c r="R141" s="34">
        <v>0</v>
      </c>
      <c r="S141" s="143">
        <v>1386</v>
      </c>
      <c r="T141" s="182">
        <f t="shared" si="124"/>
        <v>1386</v>
      </c>
      <c r="U141" s="178">
        <f t="shared" si="106"/>
        <v>0</v>
      </c>
      <c r="V141" s="178">
        <f t="shared" si="107"/>
        <v>1386</v>
      </c>
      <c r="W141" s="91">
        <f t="shared" si="108"/>
        <v>0</v>
      </c>
      <c r="X141" s="3" t="s">
        <v>75</v>
      </c>
    </row>
    <row r="142" spans="2:24" x14ac:dyDescent="0.25">
      <c r="B142" s="3" t="s">
        <v>50</v>
      </c>
      <c r="C142" s="34">
        <v>20.7</v>
      </c>
      <c r="D142" s="34">
        <v>141.44999999999999</v>
      </c>
      <c r="E142" s="34">
        <v>8.8699999999999992</v>
      </c>
      <c r="F142" s="34"/>
      <c r="G142" s="34">
        <v>193.2</v>
      </c>
      <c r="H142" s="34"/>
      <c r="I142" s="34"/>
      <c r="J142" s="34"/>
      <c r="K142" s="34"/>
      <c r="L142" s="34"/>
      <c r="M142" s="34">
        <f t="shared" si="121"/>
        <v>20.7</v>
      </c>
      <c r="N142" s="34">
        <f t="shared" si="122"/>
        <v>8.8699999999999992</v>
      </c>
      <c r="O142" s="121">
        <f t="shared" si="123"/>
        <v>334.65</v>
      </c>
      <c r="P142" s="34"/>
      <c r="Q142" s="34"/>
      <c r="R142" s="34">
        <v>0</v>
      </c>
      <c r="S142" s="143">
        <v>355.35</v>
      </c>
      <c r="T142" s="182">
        <f t="shared" si="124"/>
        <v>355.34999999999997</v>
      </c>
      <c r="U142" s="178">
        <f t="shared" si="106"/>
        <v>0</v>
      </c>
      <c r="V142" s="178">
        <f t="shared" si="107"/>
        <v>355.35</v>
      </c>
      <c r="W142" s="91">
        <f t="shared" si="108"/>
        <v>0</v>
      </c>
      <c r="X142" s="3" t="s">
        <v>50</v>
      </c>
    </row>
    <row r="143" spans="2:24" x14ac:dyDescent="0.25">
      <c r="B143" s="3" t="s">
        <v>340</v>
      </c>
      <c r="C143" s="34">
        <f>1500*0.15</f>
        <v>225</v>
      </c>
      <c r="D143" s="34"/>
      <c r="E143" s="34">
        <v>96.43</v>
      </c>
      <c r="F143" s="34">
        <f>1500*0.16</f>
        <v>240</v>
      </c>
      <c r="G143" s="34"/>
      <c r="H143" s="34">
        <v>102.86</v>
      </c>
      <c r="I143" s="34"/>
      <c r="J143" s="34"/>
      <c r="K143" s="34"/>
      <c r="L143" s="34"/>
      <c r="M143" s="34">
        <f>C143+F143+I143</f>
        <v>465</v>
      </c>
      <c r="N143" s="34">
        <f>E143+H143+K143</f>
        <v>199.29000000000002</v>
      </c>
      <c r="O143" s="121">
        <f>D143+G143+J143</f>
        <v>0</v>
      </c>
      <c r="P143" s="34"/>
      <c r="Q143" s="34"/>
      <c r="R143" s="34">
        <v>0</v>
      </c>
      <c r="S143" s="143">
        <v>465</v>
      </c>
      <c r="T143" s="182">
        <f>M143+O143</f>
        <v>465</v>
      </c>
      <c r="U143" s="178">
        <f t="shared" si="106"/>
        <v>0</v>
      </c>
      <c r="V143" s="178">
        <f t="shared" si="107"/>
        <v>465</v>
      </c>
      <c r="W143" s="91">
        <f t="shared" si="108"/>
        <v>0</v>
      </c>
      <c r="X143" s="3" t="s">
        <v>340</v>
      </c>
    </row>
    <row r="144" spans="2:24" x14ac:dyDescent="0.25">
      <c r="B144" s="176" t="s">
        <v>232</v>
      </c>
      <c r="C144" s="34">
        <v>57.49</v>
      </c>
      <c r="D144" s="34">
        <v>134.13</v>
      </c>
      <c r="E144" s="34">
        <v>24.64</v>
      </c>
      <c r="F144" s="34">
        <v>10.68</v>
      </c>
      <c r="G144" s="34">
        <v>24.92</v>
      </c>
      <c r="H144" s="34">
        <v>4.58</v>
      </c>
      <c r="I144" s="34"/>
      <c r="J144" s="34"/>
      <c r="K144" s="34"/>
      <c r="L144" s="34"/>
      <c r="M144" s="34">
        <f t="shared" ref="M144:M146" si="130">C144+F144+I144</f>
        <v>68.17</v>
      </c>
      <c r="N144" s="34">
        <f t="shared" ref="N144:N146" si="131">E144+H144+K144</f>
        <v>29.22</v>
      </c>
      <c r="O144" s="121">
        <f t="shared" ref="O144" si="132">D144+G144+J144</f>
        <v>159.05000000000001</v>
      </c>
      <c r="P144" s="34"/>
      <c r="Q144" s="34"/>
      <c r="R144" s="34">
        <v>0</v>
      </c>
      <c r="S144" s="143">
        <v>227.22</v>
      </c>
      <c r="T144" s="182">
        <f t="shared" ref="T144" si="133">M144+O144</f>
        <v>227.22000000000003</v>
      </c>
      <c r="U144" s="178">
        <f t="shared" si="106"/>
        <v>0</v>
      </c>
      <c r="V144" s="178">
        <f t="shared" si="107"/>
        <v>227.22</v>
      </c>
      <c r="W144" s="91">
        <f t="shared" si="108"/>
        <v>0</v>
      </c>
      <c r="X144" s="176" t="s">
        <v>232</v>
      </c>
    </row>
    <row r="145" spans="2:24" x14ac:dyDescent="0.25">
      <c r="B145" s="3" t="s">
        <v>344</v>
      </c>
      <c r="C145" s="34"/>
      <c r="D145" s="34"/>
      <c r="E145" s="34"/>
      <c r="F145" s="34"/>
      <c r="G145" s="34"/>
      <c r="H145" s="34"/>
      <c r="I145" s="34"/>
      <c r="J145" s="34"/>
      <c r="K145" s="34"/>
      <c r="L145" s="34"/>
      <c r="M145" s="157"/>
      <c r="N145" s="34">
        <f t="shared" si="131"/>
        <v>0</v>
      </c>
      <c r="O145" s="121"/>
      <c r="P145" s="157"/>
      <c r="Q145" s="157">
        <f>P168</f>
        <v>254.08999999999997</v>
      </c>
      <c r="R145" s="157"/>
      <c r="S145" s="143">
        <v>254.09</v>
      </c>
      <c r="T145" s="182">
        <f>Q145+R145</f>
        <v>254.08999999999997</v>
      </c>
      <c r="U145" s="178">
        <f t="shared" si="106"/>
        <v>0</v>
      </c>
      <c r="V145" s="178">
        <f t="shared" si="107"/>
        <v>254.09</v>
      </c>
      <c r="W145" s="91">
        <f t="shared" si="108"/>
        <v>0</v>
      </c>
      <c r="X145" s="3" t="s">
        <v>344</v>
      </c>
    </row>
    <row r="146" spans="2:24" x14ac:dyDescent="0.25">
      <c r="B146" s="3" t="s">
        <v>51</v>
      </c>
      <c r="C146" s="34">
        <v>2140.17</v>
      </c>
      <c r="D146" s="34"/>
      <c r="E146" s="34">
        <v>917.22</v>
      </c>
      <c r="F146" s="34">
        <v>3551.36</v>
      </c>
      <c r="G146" s="34">
        <v>0</v>
      </c>
      <c r="H146" s="34">
        <v>1522.01</v>
      </c>
      <c r="I146" s="34"/>
      <c r="J146" s="34"/>
      <c r="K146" s="34"/>
      <c r="L146" s="34"/>
      <c r="M146" s="34">
        <f t="shared" si="130"/>
        <v>5691.5300000000007</v>
      </c>
      <c r="N146" s="34">
        <f t="shared" si="131"/>
        <v>2439.23</v>
      </c>
      <c r="O146" s="121">
        <f t="shared" ref="O146" si="134">D146+G146+J146</f>
        <v>0</v>
      </c>
      <c r="P146" s="34"/>
      <c r="Q146" s="34"/>
      <c r="R146" s="34">
        <v>0</v>
      </c>
      <c r="S146" s="143">
        <v>5691.53</v>
      </c>
      <c r="T146" s="182">
        <f t="shared" ref="T146:T147" si="135">M146+O146</f>
        <v>5691.5300000000007</v>
      </c>
      <c r="U146" s="178">
        <f t="shared" si="106"/>
        <v>0</v>
      </c>
      <c r="V146" s="178">
        <f t="shared" si="107"/>
        <v>5691.53</v>
      </c>
      <c r="W146" s="91">
        <f t="shared" si="108"/>
        <v>0</v>
      </c>
      <c r="X146" s="3" t="s">
        <v>51</v>
      </c>
    </row>
    <row r="147" spans="2:24" x14ac:dyDescent="0.25">
      <c r="B147" s="3" t="s">
        <v>419</v>
      </c>
      <c r="C147" s="34">
        <f>12500*0.035</f>
        <v>437.50000000000006</v>
      </c>
      <c r="D147" s="34"/>
      <c r="E147" s="34">
        <v>187.5</v>
      </c>
      <c r="F147" s="34"/>
      <c r="G147" s="34"/>
      <c r="H147" s="34"/>
      <c r="I147" s="34"/>
      <c r="J147" s="34"/>
      <c r="K147" s="34"/>
      <c r="L147" s="34"/>
      <c r="M147" s="34">
        <f t="shared" ref="M147" si="136">C147+F147+I147</f>
        <v>437.50000000000006</v>
      </c>
      <c r="N147" s="34">
        <f t="shared" ref="N147" si="137">E147+H147+K147</f>
        <v>187.5</v>
      </c>
      <c r="O147" s="121">
        <f t="shared" ref="O147" si="138">D147+G147+J147</f>
        <v>0</v>
      </c>
      <c r="P147" s="34"/>
      <c r="Q147" s="34"/>
      <c r="R147" s="34"/>
      <c r="S147" s="143">
        <v>437.5</v>
      </c>
      <c r="T147" s="182">
        <f t="shared" si="135"/>
        <v>437.50000000000006</v>
      </c>
      <c r="U147" s="178">
        <f t="shared" si="106"/>
        <v>0</v>
      </c>
      <c r="V147" s="178">
        <f t="shared" si="107"/>
        <v>437.5</v>
      </c>
      <c r="W147" s="91"/>
      <c r="X147" s="3" t="s">
        <v>419</v>
      </c>
    </row>
    <row r="148" spans="2:24" x14ac:dyDescent="0.25">
      <c r="B148" s="3" t="s">
        <v>396</v>
      </c>
      <c r="C148" s="34">
        <v>46</v>
      </c>
      <c r="D148" s="34">
        <v>184</v>
      </c>
      <c r="E148" s="34">
        <v>19.71</v>
      </c>
      <c r="F148" s="34">
        <v>32</v>
      </c>
      <c r="G148" s="34">
        <v>128</v>
      </c>
      <c r="H148" s="34">
        <v>13.71</v>
      </c>
      <c r="I148" s="34"/>
      <c r="J148" s="34"/>
      <c r="K148" s="34"/>
      <c r="L148" s="34"/>
      <c r="M148" s="34">
        <f>C148+F148+I148</f>
        <v>78</v>
      </c>
      <c r="N148" s="34">
        <f>E148+H148+K148</f>
        <v>33.42</v>
      </c>
      <c r="O148" s="121">
        <f>D148+G148+J148</f>
        <v>312</v>
      </c>
      <c r="P148" s="34"/>
      <c r="Q148" s="34"/>
      <c r="R148" s="34"/>
      <c r="S148" s="143">
        <v>390</v>
      </c>
      <c r="T148" s="182">
        <f>M148+O148+P148</f>
        <v>390</v>
      </c>
      <c r="U148" s="178">
        <f t="shared" si="106"/>
        <v>0</v>
      </c>
      <c r="V148" s="178">
        <f t="shared" si="107"/>
        <v>390</v>
      </c>
      <c r="W148" s="91">
        <f t="shared" si="108"/>
        <v>0</v>
      </c>
      <c r="X148" s="3" t="s">
        <v>396</v>
      </c>
    </row>
    <row r="149" spans="2:24" x14ac:dyDescent="0.25">
      <c r="B149" s="3" t="s">
        <v>269</v>
      </c>
      <c r="C149" s="34">
        <v>287</v>
      </c>
      <c r="D149" s="34">
        <v>0</v>
      </c>
      <c r="E149" s="34">
        <v>123</v>
      </c>
      <c r="F149" s="34">
        <v>252.56</v>
      </c>
      <c r="G149" s="34">
        <v>0</v>
      </c>
      <c r="H149" s="34">
        <v>108.24</v>
      </c>
      <c r="I149" s="34"/>
      <c r="J149" s="34"/>
      <c r="K149" s="34"/>
      <c r="L149" s="34"/>
      <c r="M149" s="34">
        <f t="shared" ref="M149" si="139">C149+F149+I149</f>
        <v>539.55999999999995</v>
      </c>
      <c r="N149" s="34">
        <f t="shared" ref="N149" si="140">E149+H149+K149</f>
        <v>231.24</v>
      </c>
      <c r="O149" s="121"/>
      <c r="P149" s="34"/>
      <c r="Q149" s="34"/>
      <c r="R149" s="34">
        <v>0</v>
      </c>
      <c r="S149" s="143">
        <v>539.55999999999995</v>
      </c>
      <c r="T149" s="182">
        <f t="shared" ref="T149" si="141">M149+O149</f>
        <v>539.55999999999995</v>
      </c>
      <c r="U149" s="178">
        <f t="shared" si="106"/>
        <v>0</v>
      </c>
      <c r="V149" s="178">
        <f t="shared" si="107"/>
        <v>539.55999999999995</v>
      </c>
      <c r="W149" s="91">
        <f t="shared" si="108"/>
        <v>0</v>
      </c>
      <c r="X149" s="3" t="s">
        <v>269</v>
      </c>
    </row>
    <row r="150" spans="2:24" x14ac:dyDescent="0.25">
      <c r="B150" s="166" t="s">
        <v>395</v>
      </c>
      <c r="C150" s="34">
        <v>35</v>
      </c>
      <c r="D150" s="34">
        <v>230</v>
      </c>
      <c r="E150" s="34">
        <v>15</v>
      </c>
      <c r="F150" s="34">
        <v>25</v>
      </c>
      <c r="G150" s="34">
        <f>280-25</f>
        <v>255</v>
      </c>
      <c r="H150" s="34">
        <v>10.71</v>
      </c>
      <c r="I150" s="34"/>
      <c r="J150" s="34"/>
      <c r="K150" s="34"/>
      <c r="L150" s="34"/>
      <c r="M150" s="34">
        <f>C150+F150</f>
        <v>60</v>
      </c>
      <c r="N150" s="34">
        <f>D150+G150</f>
        <v>485</v>
      </c>
      <c r="O150" s="121">
        <f>E150+H150</f>
        <v>25.71</v>
      </c>
      <c r="P150" s="34"/>
      <c r="Q150" s="34"/>
      <c r="R150" s="34"/>
      <c r="S150" s="143">
        <v>545</v>
      </c>
      <c r="T150" s="182">
        <f>M150+N150+P150</f>
        <v>545</v>
      </c>
      <c r="U150" s="178">
        <f t="shared" si="106"/>
        <v>0</v>
      </c>
      <c r="V150" s="178">
        <f t="shared" si="107"/>
        <v>545</v>
      </c>
      <c r="W150" s="91">
        <f t="shared" si="108"/>
        <v>0</v>
      </c>
      <c r="X150" s="166" t="s">
        <v>395</v>
      </c>
    </row>
    <row r="151" spans="2:24" x14ac:dyDescent="0.25">
      <c r="B151" s="3" t="s">
        <v>52</v>
      </c>
      <c r="C151" s="34">
        <v>1634.47</v>
      </c>
      <c r="D151" s="34">
        <v>0</v>
      </c>
      <c r="E151" s="34">
        <v>700.49</v>
      </c>
      <c r="F151" s="34">
        <v>1159.95</v>
      </c>
      <c r="G151" s="34"/>
      <c r="H151" s="34">
        <v>497.12</v>
      </c>
      <c r="I151" s="34"/>
      <c r="J151" s="34"/>
      <c r="K151" s="34"/>
      <c r="L151" s="34"/>
      <c r="M151" s="34">
        <f t="shared" ref="M151:M156" si="142">C151+F151+I151</f>
        <v>2794.42</v>
      </c>
      <c r="N151" s="34">
        <f t="shared" ref="N151:N156" si="143">E151+H151+K151</f>
        <v>1197.6100000000001</v>
      </c>
      <c r="O151" s="121">
        <f t="shared" ref="O151:O156" si="144">D151+G151+J151</f>
        <v>0</v>
      </c>
      <c r="P151" s="34"/>
      <c r="Q151" s="34"/>
      <c r="R151" s="34">
        <v>0</v>
      </c>
      <c r="S151" s="143">
        <v>2794.42</v>
      </c>
      <c r="T151" s="182">
        <f t="shared" ref="T151:T156" si="145">M151+O151</f>
        <v>2794.42</v>
      </c>
      <c r="U151" s="178">
        <f t="shared" si="106"/>
        <v>0</v>
      </c>
      <c r="V151" s="178">
        <f t="shared" si="107"/>
        <v>2794.42</v>
      </c>
      <c r="W151" s="91">
        <f t="shared" si="108"/>
        <v>0</v>
      </c>
      <c r="X151" s="3" t="s">
        <v>52</v>
      </c>
    </row>
    <row r="152" spans="2:24" x14ac:dyDescent="0.25">
      <c r="B152" s="3" t="s">
        <v>76</v>
      </c>
      <c r="C152" s="34">
        <v>23.86</v>
      </c>
      <c r="D152" s="34">
        <v>23.85</v>
      </c>
      <c r="E152" s="34">
        <v>10.23</v>
      </c>
      <c r="F152" s="34">
        <v>41.29</v>
      </c>
      <c r="G152" s="34">
        <v>13.76</v>
      </c>
      <c r="H152" s="34">
        <v>55.05</v>
      </c>
      <c r="I152" s="34"/>
      <c r="J152" s="34"/>
      <c r="K152" s="34"/>
      <c r="L152" s="34"/>
      <c r="M152" s="34">
        <f t="shared" si="142"/>
        <v>65.150000000000006</v>
      </c>
      <c r="N152" s="34">
        <f t="shared" si="143"/>
        <v>65.28</v>
      </c>
      <c r="O152" s="121">
        <f t="shared" si="144"/>
        <v>37.61</v>
      </c>
      <c r="P152" s="34"/>
      <c r="Q152" s="34"/>
      <c r="R152" s="34">
        <v>0</v>
      </c>
      <c r="S152" s="143">
        <v>102.76</v>
      </c>
      <c r="T152" s="182">
        <f t="shared" si="145"/>
        <v>102.76</v>
      </c>
      <c r="U152" s="178">
        <f t="shared" si="106"/>
        <v>0</v>
      </c>
      <c r="V152" s="178">
        <f t="shared" si="107"/>
        <v>102.76</v>
      </c>
      <c r="W152" s="91">
        <f t="shared" si="108"/>
        <v>0</v>
      </c>
      <c r="X152" s="3" t="s">
        <v>76</v>
      </c>
    </row>
    <row r="153" spans="2:24" x14ac:dyDescent="0.25">
      <c r="B153" s="3" t="s">
        <v>53</v>
      </c>
      <c r="C153" s="34">
        <v>1864.96</v>
      </c>
      <c r="D153" s="34"/>
      <c r="E153" s="34">
        <v>799.27</v>
      </c>
      <c r="F153" s="34">
        <v>1864.96</v>
      </c>
      <c r="G153" s="34"/>
      <c r="H153" s="34">
        <v>799.27</v>
      </c>
      <c r="I153" s="34"/>
      <c r="J153" s="34"/>
      <c r="K153" s="34"/>
      <c r="L153" s="34"/>
      <c r="M153" s="34">
        <f t="shared" si="142"/>
        <v>3729.92</v>
      </c>
      <c r="N153" s="34">
        <f t="shared" si="143"/>
        <v>1598.54</v>
      </c>
      <c r="O153" s="121">
        <f t="shared" si="144"/>
        <v>0</v>
      </c>
      <c r="P153" s="34"/>
      <c r="Q153" s="34"/>
      <c r="R153" s="34">
        <v>0</v>
      </c>
      <c r="S153" s="143">
        <v>3729.92</v>
      </c>
      <c r="T153" s="182">
        <f t="shared" si="145"/>
        <v>3729.92</v>
      </c>
      <c r="U153" s="178">
        <f t="shared" si="106"/>
        <v>0</v>
      </c>
      <c r="V153" s="178">
        <f t="shared" si="107"/>
        <v>3729.92</v>
      </c>
      <c r="W153" s="91">
        <f t="shared" si="108"/>
        <v>0</v>
      </c>
      <c r="X153" s="3" t="s">
        <v>53</v>
      </c>
    </row>
    <row r="154" spans="2:24" x14ac:dyDescent="0.25">
      <c r="B154" s="3" t="s">
        <v>229</v>
      </c>
      <c r="C154" s="34">
        <v>1080</v>
      </c>
      <c r="D154" s="34">
        <v>0</v>
      </c>
      <c r="E154" s="34">
        <v>462.86</v>
      </c>
      <c r="F154" s="34">
        <v>927</v>
      </c>
      <c r="G154" s="34">
        <v>0</v>
      </c>
      <c r="H154" s="34">
        <v>397.29</v>
      </c>
      <c r="I154" s="34"/>
      <c r="J154" s="34"/>
      <c r="K154" s="34"/>
      <c r="L154" s="34"/>
      <c r="M154" s="34">
        <f t="shared" si="142"/>
        <v>2007</v>
      </c>
      <c r="N154" s="34">
        <f t="shared" si="143"/>
        <v>860.15000000000009</v>
      </c>
      <c r="O154" s="121">
        <f t="shared" si="144"/>
        <v>0</v>
      </c>
      <c r="P154" s="34"/>
      <c r="Q154" s="34"/>
      <c r="R154" s="34">
        <v>0</v>
      </c>
      <c r="S154" s="143">
        <v>2007</v>
      </c>
      <c r="T154" s="182">
        <f t="shared" si="145"/>
        <v>2007</v>
      </c>
      <c r="U154" s="178">
        <f t="shared" si="106"/>
        <v>0</v>
      </c>
      <c r="V154" s="178">
        <f t="shared" si="107"/>
        <v>2007</v>
      </c>
      <c r="W154" s="91">
        <f t="shared" si="108"/>
        <v>0</v>
      </c>
      <c r="X154" s="3" t="s">
        <v>229</v>
      </c>
    </row>
    <row r="155" spans="2:24" x14ac:dyDescent="0.25">
      <c r="B155" s="3" t="s">
        <v>55</v>
      </c>
      <c r="C155" s="34">
        <v>539.01</v>
      </c>
      <c r="D155" s="34">
        <v>0</v>
      </c>
      <c r="E155" s="34">
        <v>231</v>
      </c>
      <c r="F155" s="34">
        <v>544.72</v>
      </c>
      <c r="G155" s="34">
        <v>0</v>
      </c>
      <c r="H155" s="34">
        <v>233.45</v>
      </c>
      <c r="I155" s="34"/>
      <c r="J155" s="34"/>
      <c r="K155" s="34"/>
      <c r="L155" s="34"/>
      <c r="M155" s="34">
        <f t="shared" si="142"/>
        <v>1083.73</v>
      </c>
      <c r="N155" s="34">
        <f t="shared" si="143"/>
        <v>464.45</v>
      </c>
      <c r="O155" s="121">
        <f t="shared" si="144"/>
        <v>0</v>
      </c>
      <c r="P155" s="34">
        <v>0</v>
      </c>
      <c r="Q155" s="34"/>
      <c r="R155" s="34">
        <v>0</v>
      </c>
      <c r="S155" s="143">
        <v>1083.73</v>
      </c>
      <c r="T155" s="182">
        <f t="shared" si="145"/>
        <v>1083.73</v>
      </c>
      <c r="U155" s="178">
        <f t="shared" si="106"/>
        <v>0</v>
      </c>
      <c r="V155" s="178">
        <f t="shared" si="107"/>
        <v>1083.73</v>
      </c>
      <c r="W155" s="91">
        <f t="shared" si="108"/>
        <v>0</v>
      </c>
      <c r="X155" s="3" t="s">
        <v>55</v>
      </c>
    </row>
    <row r="156" spans="2:24" x14ac:dyDescent="0.25">
      <c r="B156" s="3" t="s">
        <v>54</v>
      </c>
      <c r="C156" s="34">
        <v>612</v>
      </c>
      <c r="D156" s="34">
        <v>0</v>
      </c>
      <c r="E156" s="34">
        <v>262.29000000000002</v>
      </c>
      <c r="F156" s="34">
        <v>526.32000000000005</v>
      </c>
      <c r="G156" s="34">
        <v>0</v>
      </c>
      <c r="H156" s="34">
        <v>225.57</v>
      </c>
      <c r="I156" s="34"/>
      <c r="J156" s="34"/>
      <c r="K156" s="34"/>
      <c r="L156" s="34"/>
      <c r="M156" s="34">
        <f t="shared" si="142"/>
        <v>1138.3200000000002</v>
      </c>
      <c r="N156" s="34">
        <f t="shared" si="143"/>
        <v>487.86</v>
      </c>
      <c r="O156" s="121">
        <f t="shared" si="144"/>
        <v>0</v>
      </c>
      <c r="P156" s="34">
        <v>0</v>
      </c>
      <c r="Q156" s="34"/>
      <c r="R156" s="34">
        <v>0</v>
      </c>
      <c r="S156" s="143">
        <v>1138.32</v>
      </c>
      <c r="T156" s="182">
        <f t="shared" si="145"/>
        <v>1138.3200000000002</v>
      </c>
      <c r="U156" s="178">
        <f t="shared" si="106"/>
        <v>0</v>
      </c>
      <c r="V156" s="178">
        <f t="shared" si="107"/>
        <v>1138.32</v>
      </c>
      <c r="W156" s="91">
        <f t="shared" si="108"/>
        <v>0</v>
      </c>
      <c r="X156" s="3" t="s">
        <v>54</v>
      </c>
    </row>
    <row r="157" spans="2:24" x14ac:dyDescent="0.25">
      <c r="B157" s="3"/>
      <c r="C157" s="57">
        <f>SUM(C125:C156)</f>
        <v>22419.25</v>
      </c>
      <c r="D157" s="57">
        <f t="shared" ref="D157:W157" si="146">SUM(D125:D156)</f>
        <v>1620.1</v>
      </c>
      <c r="E157" s="57">
        <f t="shared" si="146"/>
        <v>9608.2731460674167</v>
      </c>
      <c r="F157" s="57">
        <f t="shared" si="146"/>
        <v>22980.230000000003</v>
      </c>
      <c r="G157" s="57">
        <f t="shared" si="146"/>
        <v>2161.8600000000006</v>
      </c>
      <c r="H157" s="57">
        <f t="shared" si="146"/>
        <v>9886.260346516854</v>
      </c>
      <c r="I157" s="57">
        <f t="shared" si="146"/>
        <v>57</v>
      </c>
      <c r="J157" s="57">
        <f t="shared" si="146"/>
        <v>0</v>
      </c>
      <c r="K157" s="57">
        <f t="shared" si="146"/>
        <v>24.43</v>
      </c>
      <c r="L157" s="57">
        <f t="shared" si="146"/>
        <v>0</v>
      </c>
      <c r="M157" s="57">
        <f t="shared" si="146"/>
        <v>45456.479999999996</v>
      </c>
      <c r="N157" s="57">
        <f t="shared" si="146"/>
        <v>19978.25349258427</v>
      </c>
      <c r="O157" s="57">
        <f t="shared" si="146"/>
        <v>3322.6700000000005</v>
      </c>
      <c r="P157" s="57">
        <f t="shared" si="146"/>
        <v>543</v>
      </c>
      <c r="Q157" s="57">
        <f t="shared" si="146"/>
        <v>254.08999999999997</v>
      </c>
      <c r="R157" s="57">
        <f t="shared" si="146"/>
        <v>0</v>
      </c>
      <c r="S157" s="57">
        <f t="shared" si="146"/>
        <v>49492.53</v>
      </c>
      <c r="T157" s="57">
        <f t="shared" si="146"/>
        <v>49492.13</v>
      </c>
      <c r="U157" s="57">
        <f t="shared" si="146"/>
        <v>-0.39999999999997726</v>
      </c>
      <c r="V157" s="57">
        <f t="shared" si="146"/>
        <v>49492.13</v>
      </c>
      <c r="W157" s="57">
        <f t="shared" si="146"/>
        <v>0.39999999999997726</v>
      </c>
    </row>
    <row r="158" spans="2:24" x14ac:dyDescent="0.25">
      <c r="B158" s="3"/>
      <c r="C158" s="3"/>
      <c r="D158" s="3"/>
      <c r="E158" s="3"/>
      <c r="F158" s="3"/>
      <c r="G158" s="3"/>
      <c r="H158" s="3"/>
      <c r="I158" s="3"/>
      <c r="J158" s="3"/>
      <c r="K158" s="3"/>
      <c r="L158" s="8" t="s">
        <v>167</v>
      </c>
      <c r="M158" s="8"/>
      <c r="N158" s="8"/>
      <c r="O158" s="122">
        <f>S157-P157</f>
        <v>48949.53</v>
      </c>
      <c r="P158" s="34"/>
      <c r="Q158" s="34"/>
      <c r="R158" s="34"/>
    </row>
    <row r="159" spans="2:24" x14ac:dyDescent="0.25">
      <c r="C159" s="149" t="s">
        <v>100</v>
      </c>
      <c r="D159" s="149" t="s">
        <v>104</v>
      </c>
      <c r="E159" s="149" t="s">
        <v>101</v>
      </c>
      <c r="F159" s="149" t="s">
        <v>100</v>
      </c>
      <c r="G159" s="149" t="s">
        <v>104</v>
      </c>
      <c r="H159" s="149" t="s">
        <v>101</v>
      </c>
      <c r="I159" s="149" t="s">
        <v>100</v>
      </c>
      <c r="J159" s="149" t="s">
        <v>104</v>
      </c>
      <c r="K159" s="149" t="s">
        <v>101</v>
      </c>
      <c r="L159" s="37"/>
      <c r="M159" s="149" t="s">
        <v>105</v>
      </c>
      <c r="N159" s="149" t="s">
        <v>102</v>
      </c>
      <c r="O159" s="150" t="s">
        <v>103</v>
      </c>
      <c r="P159" s="151" t="s">
        <v>267</v>
      </c>
      <c r="Q159" s="151"/>
      <c r="R159" s="151" t="s">
        <v>267</v>
      </c>
      <c r="S159" s="124" t="s">
        <v>270</v>
      </c>
      <c r="T159" s="124" t="s">
        <v>93</v>
      </c>
      <c r="U159" s="90"/>
      <c r="V159" s="90"/>
    </row>
    <row r="160" spans="2:24" x14ac:dyDescent="0.25">
      <c r="B160" s="3" t="s">
        <v>311</v>
      </c>
      <c r="C160" s="3"/>
      <c r="D160" s="3">
        <v>0</v>
      </c>
      <c r="E160" s="3"/>
      <c r="F160" s="3"/>
      <c r="G160" s="3"/>
      <c r="H160" s="3"/>
      <c r="I160" s="3"/>
      <c r="J160" s="3"/>
      <c r="K160" s="3"/>
      <c r="L160" s="3"/>
      <c r="M160" s="34">
        <f>C160+F160+I160</f>
        <v>0</v>
      </c>
      <c r="N160" s="34">
        <f>E160+H160+K160</f>
        <v>0</v>
      </c>
      <c r="O160" s="34">
        <f>D160+G160+J160</f>
        <v>0</v>
      </c>
      <c r="P160" s="34">
        <v>0</v>
      </c>
      <c r="Q160" s="34"/>
      <c r="R160" s="34">
        <v>0</v>
      </c>
      <c r="S160" s="3">
        <v>0</v>
      </c>
      <c r="T160" s="152">
        <f>M160+O160</f>
        <v>0</v>
      </c>
      <c r="U160" s="171"/>
      <c r="V160" s="171"/>
    </row>
    <row r="161" spans="2:23" x14ac:dyDescent="0.25">
      <c r="B161" s="3"/>
      <c r="C161" s="3"/>
      <c r="D161" s="3"/>
      <c r="E161" s="3" t="s">
        <v>368</v>
      </c>
      <c r="F161" s="3"/>
      <c r="G161" s="3"/>
      <c r="H161" s="3"/>
      <c r="I161" s="3"/>
      <c r="J161" s="3"/>
      <c r="K161" s="3"/>
      <c r="L161" s="3"/>
      <c r="M161" s="3"/>
      <c r="N161" s="3"/>
      <c r="O161" s="3"/>
      <c r="P161" s="3"/>
      <c r="Q161" s="3"/>
      <c r="R161" s="3"/>
      <c r="S161" s="3"/>
      <c r="T161" s="3"/>
      <c r="U161" s="20"/>
      <c r="V161" s="20"/>
      <c r="W161">
        <f>49436-49492</f>
        <v>-56</v>
      </c>
    </row>
    <row r="162" spans="2:23" x14ac:dyDescent="0.25">
      <c r="B162" t="s">
        <v>367</v>
      </c>
      <c r="C162" s="162"/>
      <c r="D162" s="42"/>
      <c r="E162" s="42"/>
      <c r="I162" s="164" t="s">
        <v>383</v>
      </c>
      <c r="J162" s="164" t="s">
        <v>384</v>
      </c>
      <c r="K162" s="164" t="s">
        <v>385</v>
      </c>
      <c r="L162" s="164" t="s">
        <v>368</v>
      </c>
      <c r="M162" s="3"/>
      <c r="N162" s="164" t="s">
        <v>386</v>
      </c>
      <c r="O162" s="164" t="s">
        <v>387</v>
      </c>
      <c r="P162" s="164" t="s">
        <v>388</v>
      </c>
      <c r="Q162" s="169"/>
    </row>
    <row r="163" spans="2:23" x14ac:dyDescent="0.25">
      <c r="C163" s="162">
        <v>43083</v>
      </c>
      <c r="D163" s="177">
        <v>49</v>
      </c>
      <c r="E163" s="42">
        <v>63.92</v>
      </c>
      <c r="G163" s="163" t="s">
        <v>367</v>
      </c>
      <c r="I163" s="165"/>
      <c r="J163" s="135"/>
      <c r="K163" s="135">
        <f>I163-J163</f>
        <v>0</v>
      </c>
      <c r="L163" s="135">
        <v>0</v>
      </c>
      <c r="M163" s="157" t="e">
        <f>K163/L163</f>
        <v>#DIV/0!</v>
      </c>
      <c r="N163" s="157" t="e">
        <f>I163/M163</f>
        <v>#DIV/0!</v>
      </c>
      <c r="O163" s="157" t="e">
        <f>J163/M163</f>
        <v>#DIV/0!</v>
      </c>
      <c r="P163" s="135" t="e">
        <f>K163/M163</f>
        <v>#DIV/0!</v>
      </c>
      <c r="Q163" s="170"/>
    </row>
    <row r="164" spans="2:23" x14ac:dyDescent="0.25">
      <c r="C164" s="162">
        <v>42999</v>
      </c>
      <c r="D164" s="42">
        <v>49</v>
      </c>
      <c r="E164" s="42">
        <v>62.14</v>
      </c>
      <c r="I164" s="135">
        <v>70</v>
      </c>
      <c r="J164" s="135">
        <v>21</v>
      </c>
      <c r="K164" s="135">
        <f t="shared" ref="K164:K167" si="147">I164-J164</f>
        <v>49</v>
      </c>
      <c r="L164" s="135">
        <v>63.92</v>
      </c>
      <c r="M164" s="157">
        <f t="shared" ref="M164:M167" si="148">K164/L164</f>
        <v>0.76658322903629539</v>
      </c>
      <c r="N164" s="157">
        <f t="shared" ref="N164:N167" si="149">I164/M164</f>
        <v>91.314285714285717</v>
      </c>
      <c r="O164" s="157">
        <f t="shared" ref="O164:O167" si="150">J164/M164</f>
        <v>27.394285714285715</v>
      </c>
      <c r="P164" s="135">
        <f t="shared" ref="P164:P167" si="151">K164/M164</f>
        <v>63.92</v>
      </c>
      <c r="Q164" s="170"/>
      <c r="S164" s="167">
        <f>212+60+20+105</f>
        <v>397</v>
      </c>
    </row>
    <row r="165" spans="2:23" x14ac:dyDescent="0.25">
      <c r="C165" s="162">
        <v>43174</v>
      </c>
      <c r="D165" s="42">
        <v>49</v>
      </c>
      <c r="E165" s="42">
        <v>62.98</v>
      </c>
      <c r="I165" s="135">
        <v>70</v>
      </c>
      <c r="J165" s="135">
        <v>21</v>
      </c>
      <c r="K165" s="135">
        <f t="shared" si="147"/>
        <v>49</v>
      </c>
      <c r="L165" s="135">
        <v>62.14</v>
      </c>
      <c r="M165" s="157">
        <f t="shared" si="148"/>
        <v>0.78854200193112323</v>
      </c>
      <c r="N165" s="157">
        <f t="shared" si="149"/>
        <v>88.771428571428572</v>
      </c>
      <c r="O165" s="157">
        <f t="shared" si="150"/>
        <v>26.631428571428572</v>
      </c>
      <c r="P165" s="135">
        <f t="shared" si="151"/>
        <v>62.14</v>
      </c>
      <c r="Q165" s="170"/>
    </row>
    <row r="166" spans="2:23" x14ac:dyDescent="0.25">
      <c r="C166" s="162">
        <v>43265</v>
      </c>
      <c r="D166" s="42">
        <v>49</v>
      </c>
      <c r="E166" s="42">
        <v>65.05</v>
      </c>
      <c r="I166" s="135">
        <v>70</v>
      </c>
      <c r="J166" s="135">
        <v>21</v>
      </c>
      <c r="K166" s="135">
        <f t="shared" si="147"/>
        <v>49</v>
      </c>
      <c r="L166" s="135">
        <v>62.98</v>
      </c>
      <c r="M166" s="157">
        <f t="shared" si="148"/>
        <v>0.77802476976818047</v>
      </c>
      <c r="N166" s="157">
        <f t="shared" si="149"/>
        <v>89.971428571428561</v>
      </c>
      <c r="O166" s="157">
        <f t="shared" si="150"/>
        <v>26.991428571428568</v>
      </c>
      <c r="P166" s="135">
        <f t="shared" si="151"/>
        <v>62.97999999999999</v>
      </c>
      <c r="Q166" s="170"/>
    </row>
    <row r="167" spans="2:23" x14ac:dyDescent="0.25">
      <c r="E167">
        <f>SUM(E163:E166)</f>
        <v>254.08999999999997</v>
      </c>
      <c r="I167" s="135">
        <v>70</v>
      </c>
      <c r="J167" s="135">
        <v>21</v>
      </c>
      <c r="K167" s="135">
        <f t="shared" si="147"/>
        <v>49</v>
      </c>
      <c r="L167" s="135">
        <v>65.05</v>
      </c>
      <c r="M167" s="180">
        <f t="shared" si="148"/>
        <v>0.75326671790930055</v>
      </c>
      <c r="N167" s="157">
        <f t="shared" si="149"/>
        <v>92.928571428571431</v>
      </c>
      <c r="O167" s="157">
        <f t="shared" si="150"/>
        <v>27.878571428571426</v>
      </c>
      <c r="P167" s="135">
        <f t="shared" si="151"/>
        <v>65.05</v>
      </c>
      <c r="Q167" s="170"/>
    </row>
    <row r="168" spans="2:23" x14ac:dyDescent="0.25">
      <c r="I168" s="135"/>
      <c r="J168" s="135"/>
      <c r="K168" s="135"/>
      <c r="L168" s="135">
        <f>SUM(L163:L167)</f>
        <v>254.08999999999997</v>
      </c>
      <c r="M168" s="180"/>
      <c r="N168" s="157">
        <f>SUM(N164:N167)</f>
        <v>362.98571428571427</v>
      </c>
      <c r="O168" s="158">
        <f>SUM(O164:O167)</f>
        <v>108.89571428571429</v>
      </c>
      <c r="P168" s="135">
        <f>SUM(P164:P167)</f>
        <v>254.08999999999997</v>
      </c>
      <c r="Q168" s="170"/>
    </row>
    <row r="169" spans="2:23" x14ac:dyDescent="0.25">
      <c r="B169" s="3"/>
      <c r="C169" s="54"/>
      <c r="D169" s="54"/>
      <c r="E169" s="54"/>
      <c r="F169" s="54"/>
      <c r="G169" s="54"/>
      <c r="H169" s="54"/>
      <c r="I169" s="54"/>
      <c r="J169" s="54"/>
      <c r="K169" s="54"/>
      <c r="L169" s="3"/>
      <c r="M169" s="34">
        <f>C169+F169+I169</f>
        <v>0</v>
      </c>
      <c r="N169" s="34">
        <f>E169+H169+K169</f>
        <v>0</v>
      </c>
      <c r="O169" s="121">
        <f>D169+G169+J169</f>
        <v>0</v>
      </c>
      <c r="P169" s="34">
        <v>0</v>
      </c>
      <c r="Q169" s="34"/>
      <c r="R169" s="34">
        <v>0</v>
      </c>
      <c r="S169" s="145"/>
      <c r="T169" s="144">
        <f>M169+O169</f>
        <v>0</v>
      </c>
      <c r="U169" s="144"/>
      <c r="V169" s="144"/>
      <c r="W169" s="91">
        <f>S169-T169</f>
        <v>0</v>
      </c>
    </row>
    <row r="170" spans="2:23" x14ac:dyDescent="0.25">
      <c r="B170" s="3" t="s">
        <v>43</v>
      </c>
      <c r="C170" s="34">
        <v>575</v>
      </c>
      <c r="D170" s="34">
        <v>0</v>
      </c>
      <c r="E170" s="34">
        <v>246.86</v>
      </c>
      <c r="F170" s="34">
        <v>1653.82</v>
      </c>
      <c r="G170" s="34">
        <v>0</v>
      </c>
      <c r="H170" s="34">
        <v>708.78</v>
      </c>
      <c r="I170" s="34"/>
      <c r="J170" s="34"/>
      <c r="K170" s="34"/>
      <c r="L170" s="34"/>
      <c r="M170" s="34">
        <f>C170+F170+I170</f>
        <v>2228.8199999999997</v>
      </c>
      <c r="N170" s="34">
        <f>E170+H170+K170</f>
        <v>955.64</v>
      </c>
      <c r="O170" s="121">
        <f>D170+G170+J170</f>
        <v>0</v>
      </c>
      <c r="P170" s="34">
        <v>0</v>
      </c>
      <c r="Q170" s="34"/>
      <c r="R170" s="34">
        <v>0</v>
      </c>
      <c r="S170" s="143">
        <v>2229.8200000000002</v>
      </c>
      <c r="T170" s="144">
        <f>M170+O170</f>
        <v>2228.8199999999997</v>
      </c>
      <c r="U170" s="144"/>
      <c r="V170" s="144">
        <f>T170+U170</f>
        <v>2228.8199999999997</v>
      </c>
      <c r="W170" s="91">
        <f t="shared" ref="W170:W198" si="152">S170-T170</f>
        <v>1.0000000000004547</v>
      </c>
    </row>
    <row r="171" spans="2:23" x14ac:dyDescent="0.25">
      <c r="B171" s="3" t="s">
        <v>341</v>
      </c>
      <c r="C171" s="34">
        <v>307.8</v>
      </c>
      <c r="D171" s="34">
        <v>0</v>
      </c>
      <c r="E171" s="34">
        <v>131.91</v>
      </c>
      <c r="F171" s="34">
        <v>307.8</v>
      </c>
      <c r="G171" s="34">
        <v>0</v>
      </c>
      <c r="H171" s="34">
        <v>131.91</v>
      </c>
      <c r="I171" s="34"/>
      <c r="J171" s="34"/>
      <c r="K171" s="34"/>
      <c r="L171" s="34"/>
      <c r="M171" s="34">
        <f>C171+F171+I171</f>
        <v>615.6</v>
      </c>
      <c r="N171" s="34">
        <f>E171+H171+K171</f>
        <v>263.82</v>
      </c>
      <c r="O171" s="121">
        <f>D171+G171+J171</f>
        <v>0</v>
      </c>
      <c r="P171" s="34">
        <v>0</v>
      </c>
      <c r="Q171" s="34"/>
      <c r="R171" s="34">
        <v>0</v>
      </c>
      <c r="S171" s="143">
        <v>615.6</v>
      </c>
      <c r="T171" s="144">
        <f>M171+O171</f>
        <v>615.6</v>
      </c>
      <c r="U171" s="144"/>
      <c r="V171" s="144">
        <f t="shared" ref="V171:V197" si="153">T171+U171</f>
        <v>615.6</v>
      </c>
      <c r="W171" s="91">
        <f t="shared" si="152"/>
        <v>0</v>
      </c>
    </row>
    <row r="172" spans="2:23" x14ac:dyDescent="0.25">
      <c r="B172" s="3" t="s">
        <v>60</v>
      </c>
      <c r="C172" s="34">
        <v>7505.82</v>
      </c>
      <c r="D172" s="34">
        <v>0</v>
      </c>
      <c r="E172" s="34">
        <v>3216.78</v>
      </c>
      <c r="F172" s="34">
        <v>6728.19</v>
      </c>
      <c r="G172" s="34">
        <v>0</v>
      </c>
      <c r="H172" s="34">
        <v>2883.51</v>
      </c>
      <c r="I172" s="34"/>
      <c r="J172" s="34"/>
      <c r="K172" s="34"/>
      <c r="L172" s="34"/>
      <c r="M172" s="34">
        <f t="shared" ref="M172:M173" si="154">C172+F172+I172</f>
        <v>14234.009999999998</v>
      </c>
      <c r="N172" s="34">
        <f t="shared" ref="N172:N173" si="155">E172+H172+K172</f>
        <v>6100.2900000000009</v>
      </c>
      <c r="O172" s="121">
        <f t="shared" ref="O172:O173" si="156">D172+G172+J172</f>
        <v>0</v>
      </c>
      <c r="P172" s="34">
        <v>0</v>
      </c>
      <c r="Q172" s="34"/>
      <c r="R172" s="34">
        <v>0</v>
      </c>
      <c r="S172" s="143">
        <v>14234.01</v>
      </c>
      <c r="T172" s="144">
        <f t="shared" ref="T172:T183" si="157">M172+O172</f>
        <v>14234.009999999998</v>
      </c>
      <c r="U172" s="144"/>
      <c r="V172" s="144">
        <f t="shared" si="153"/>
        <v>14234.009999999998</v>
      </c>
      <c r="W172" s="91">
        <f t="shared" si="152"/>
        <v>0</v>
      </c>
    </row>
    <row r="173" spans="2:23" x14ac:dyDescent="0.25">
      <c r="B173" s="3" t="s">
        <v>45</v>
      </c>
      <c r="C173" s="34">
        <v>490.14</v>
      </c>
      <c r="D173" s="34">
        <v>163.38</v>
      </c>
      <c r="E173" s="34">
        <v>210.06</v>
      </c>
      <c r="F173" s="34">
        <v>583.5</v>
      </c>
      <c r="G173" s="34">
        <v>194.5</v>
      </c>
      <c r="H173" s="34">
        <v>250.07</v>
      </c>
      <c r="I173" s="34"/>
      <c r="J173" s="34"/>
      <c r="K173" s="34"/>
      <c r="L173" s="34"/>
      <c r="M173" s="34">
        <f t="shared" si="154"/>
        <v>1073.6399999999999</v>
      </c>
      <c r="N173" s="34">
        <f t="shared" si="155"/>
        <v>460.13</v>
      </c>
      <c r="O173" s="121">
        <f t="shared" si="156"/>
        <v>357.88</v>
      </c>
      <c r="P173" s="34">
        <v>0</v>
      </c>
      <c r="Q173" s="34"/>
      <c r="R173" s="34">
        <v>0</v>
      </c>
      <c r="S173" s="143">
        <v>1431.52</v>
      </c>
      <c r="T173" s="144">
        <f t="shared" si="157"/>
        <v>1431.52</v>
      </c>
      <c r="U173" s="144"/>
      <c r="V173" s="144">
        <f t="shared" si="153"/>
        <v>1431.52</v>
      </c>
      <c r="W173" s="91">
        <f t="shared" si="152"/>
        <v>0</v>
      </c>
    </row>
    <row r="174" spans="2:23" x14ac:dyDescent="0.25">
      <c r="B174" s="3" t="s">
        <v>339</v>
      </c>
      <c r="C174" s="34">
        <v>207.38</v>
      </c>
      <c r="D174" s="34">
        <v>88.87</v>
      </c>
      <c r="E174" s="34">
        <v>88.88</v>
      </c>
      <c r="F174" s="34">
        <v>135</v>
      </c>
      <c r="G174" s="34">
        <v>90</v>
      </c>
      <c r="H174" s="34">
        <v>217.93</v>
      </c>
      <c r="I174" s="34">
        <v>373.5</v>
      </c>
      <c r="J174" s="34">
        <v>249</v>
      </c>
      <c r="K174" s="34"/>
      <c r="L174" s="34"/>
      <c r="M174" s="34">
        <f>C174+F174+I174</f>
        <v>715.88</v>
      </c>
      <c r="N174" s="34">
        <f>E174+H174+K174</f>
        <v>306.81</v>
      </c>
      <c r="O174" s="121">
        <f>D174+G174+J174</f>
        <v>427.87</v>
      </c>
      <c r="P174" s="34">
        <v>0</v>
      </c>
      <c r="Q174" s="34"/>
      <c r="R174" s="34"/>
      <c r="S174" s="143">
        <v>1143.75</v>
      </c>
      <c r="T174" s="144">
        <f t="shared" si="157"/>
        <v>1143.75</v>
      </c>
      <c r="U174" s="144"/>
      <c r="V174" s="144">
        <f t="shared" si="153"/>
        <v>1143.75</v>
      </c>
      <c r="W174" s="91">
        <f t="shared" si="152"/>
        <v>0</v>
      </c>
    </row>
    <row r="175" spans="2:23" x14ac:dyDescent="0.25">
      <c r="B175" s="166" t="s">
        <v>228</v>
      </c>
      <c r="C175" s="34"/>
      <c r="D175" s="34">
        <v>266</v>
      </c>
      <c r="E175" s="34">
        <v>0</v>
      </c>
      <c r="F175" s="34"/>
      <c r="G175" s="34">
        <v>251.33</v>
      </c>
      <c r="H175" s="34"/>
      <c r="I175" s="34"/>
      <c r="J175" s="34"/>
      <c r="K175" s="34"/>
      <c r="L175" s="34"/>
      <c r="M175" s="34">
        <f t="shared" ref="M175:M183" si="158">C175+F175+I175</f>
        <v>0</v>
      </c>
      <c r="N175" s="34">
        <f t="shared" ref="N175:N183" si="159">E175+H175+K175</f>
        <v>0</v>
      </c>
      <c r="O175" s="121">
        <f t="shared" ref="O175:O183" si="160">D175+G175+J175</f>
        <v>517.33000000000004</v>
      </c>
      <c r="P175" s="34">
        <v>0</v>
      </c>
      <c r="Q175" s="34"/>
      <c r="R175" s="34">
        <v>0</v>
      </c>
      <c r="S175" s="143">
        <v>517.33000000000004</v>
      </c>
      <c r="T175" s="144">
        <f t="shared" si="157"/>
        <v>517.33000000000004</v>
      </c>
      <c r="U175" s="144"/>
      <c r="V175" s="144">
        <f t="shared" si="153"/>
        <v>517.33000000000004</v>
      </c>
      <c r="W175" s="91">
        <f t="shared" si="152"/>
        <v>0</v>
      </c>
    </row>
    <row r="176" spans="2:23" x14ac:dyDescent="0.25">
      <c r="B176" s="3" t="s">
        <v>46</v>
      </c>
      <c r="C176" s="34">
        <v>90.38</v>
      </c>
      <c r="D176" s="34"/>
      <c r="E176" s="34">
        <v>38.729999999999997</v>
      </c>
      <c r="F176" s="34">
        <v>93.99</v>
      </c>
      <c r="G176" s="34">
        <v>0</v>
      </c>
      <c r="H176" s="34">
        <v>40.28</v>
      </c>
      <c r="I176" s="34"/>
      <c r="J176" s="34"/>
      <c r="K176" s="34"/>
      <c r="L176" s="34"/>
      <c r="M176" s="34">
        <f t="shared" si="158"/>
        <v>184.37</v>
      </c>
      <c r="N176" s="34">
        <f t="shared" si="159"/>
        <v>79.009999999999991</v>
      </c>
      <c r="O176" s="121">
        <f t="shared" si="160"/>
        <v>0</v>
      </c>
      <c r="P176" s="34">
        <v>0</v>
      </c>
      <c r="Q176" s="34"/>
      <c r="R176" s="34">
        <v>0</v>
      </c>
      <c r="S176" s="143">
        <v>184.37</v>
      </c>
      <c r="T176" s="144">
        <f t="shared" si="157"/>
        <v>184.37</v>
      </c>
      <c r="U176" s="144"/>
      <c r="V176" s="144">
        <f t="shared" si="153"/>
        <v>184.37</v>
      </c>
      <c r="W176" s="91">
        <f t="shared" si="152"/>
        <v>0</v>
      </c>
    </row>
    <row r="177" spans="2:25" x14ac:dyDescent="0.25">
      <c r="B177" s="3" t="s">
        <v>48</v>
      </c>
      <c r="C177" s="34">
        <v>610.09</v>
      </c>
      <c r="D177" s="34"/>
      <c r="E177" s="34">
        <v>261.47000000000003</v>
      </c>
      <c r="F177" s="34">
        <v>610.09</v>
      </c>
      <c r="G177" s="34"/>
      <c r="H177" s="34">
        <v>261.47000000000003</v>
      </c>
      <c r="I177" s="34"/>
      <c r="J177" s="34"/>
      <c r="K177" s="34"/>
      <c r="L177" s="34"/>
      <c r="M177" s="34">
        <f t="shared" si="158"/>
        <v>1220.18</v>
      </c>
      <c r="N177" s="34">
        <f t="shared" si="159"/>
        <v>522.94000000000005</v>
      </c>
      <c r="O177" s="121">
        <f t="shared" si="160"/>
        <v>0</v>
      </c>
      <c r="P177" s="34">
        <v>0</v>
      </c>
      <c r="Q177" s="34"/>
      <c r="R177" s="34">
        <v>0</v>
      </c>
      <c r="S177" s="143">
        <v>1220.18</v>
      </c>
      <c r="T177" s="144">
        <f t="shared" si="157"/>
        <v>1220.18</v>
      </c>
      <c r="U177" s="144"/>
      <c r="V177" s="144">
        <f t="shared" si="153"/>
        <v>1220.18</v>
      </c>
      <c r="W177" s="91">
        <f t="shared" si="152"/>
        <v>0</v>
      </c>
    </row>
    <row r="178" spans="2:25" x14ac:dyDescent="0.25">
      <c r="B178" s="3" t="s">
        <v>390</v>
      </c>
      <c r="C178" s="34">
        <v>168</v>
      </c>
      <c r="D178" s="34">
        <v>252</v>
      </c>
      <c r="E178" s="34">
        <v>72</v>
      </c>
      <c r="F178" s="34">
        <v>149.63</v>
      </c>
      <c r="G178" s="34">
        <v>182.87</v>
      </c>
      <c r="H178" s="34">
        <v>64.13</v>
      </c>
      <c r="I178" s="34"/>
      <c r="J178" s="34"/>
      <c r="K178" s="34"/>
      <c r="L178" s="34"/>
      <c r="M178" s="34">
        <f>C178+F178+I178</f>
        <v>317.63</v>
      </c>
      <c r="N178" s="34">
        <f>E178+H178+K178</f>
        <v>136.13</v>
      </c>
      <c r="O178" s="121">
        <f>D178+G178+J178</f>
        <v>434.87</v>
      </c>
      <c r="P178" s="34">
        <f>-123-89</f>
        <v>-212</v>
      </c>
      <c r="Q178" s="34"/>
      <c r="R178" s="34"/>
      <c r="S178" s="143">
        <v>540.5</v>
      </c>
      <c r="T178" s="144">
        <f>M178+O178+P178</f>
        <v>540.5</v>
      </c>
      <c r="U178" s="144">
        <f>-P178</f>
        <v>212</v>
      </c>
      <c r="V178" s="144">
        <f t="shared" si="153"/>
        <v>752.5</v>
      </c>
      <c r="W178" s="91">
        <f t="shared" si="152"/>
        <v>0</v>
      </c>
    </row>
    <row r="179" spans="2:25" x14ac:dyDescent="0.25">
      <c r="B179" s="3" t="s">
        <v>378</v>
      </c>
      <c r="C179" s="34">
        <v>380</v>
      </c>
      <c r="D179" s="34"/>
      <c r="E179" s="34">
        <v>162.86000000000001</v>
      </c>
      <c r="F179" s="34">
        <v>384</v>
      </c>
      <c r="G179" s="34">
        <v>0</v>
      </c>
      <c r="H179" s="34">
        <v>164.57</v>
      </c>
      <c r="I179" s="34"/>
      <c r="J179" s="34"/>
      <c r="K179" s="34"/>
      <c r="L179" s="34"/>
      <c r="M179" s="34">
        <f t="shared" si="158"/>
        <v>764</v>
      </c>
      <c r="N179" s="34">
        <f t="shared" si="159"/>
        <v>327.43</v>
      </c>
      <c r="O179" s="121">
        <f t="shared" si="160"/>
        <v>0</v>
      </c>
      <c r="P179" s="34">
        <v>0</v>
      </c>
      <c r="Q179" s="34"/>
      <c r="R179" s="34">
        <v>0</v>
      </c>
      <c r="S179" s="143">
        <v>764</v>
      </c>
      <c r="T179" s="144">
        <f t="shared" si="157"/>
        <v>764</v>
      </c>
      <c r="U179" s="144"/>
      <c r="V179" s="144">
        <f t="shared" si="153"/>
        <v>764</v>
      </c>
      <c r="W179" s="91">
        <f t="shared" si="152"/>
        <v>0</v>
      </c>
    </row>
    <row r="180" spans="2:25" x14ac:dyDescent="0.25">
      <c r="B180" s="3" t="s">
        <v>379</v>
      </c>
      <c r="C180" s="34">
        <v>407.4</v>
      </c>
      <c r="D180" s="34">
        <v>0</v>
      </c>
      <c r="E180" s="34">
        <v>174.6</v>
      </c>
      <c r="F180" s="34">
        <v>465</v>
      </c>
      <c r="G180" s="34">
        <v>0</v>
      </c>
      <c r="H180" s="34">
        <v>199.54</v>
      </c>
      <c r="I180" s="34"/>
      <c r="J180" s="34"/>
      <c r="K180" s="34"/>
      <c r="L180" s="34"/>
      <c r="M180" s="34">
        <f t="shared" si="158"/>
        <v>872.4</v>
      </c>
      <c r="N180" s="34">
        <f t="shared" si="159"/>
        <v>374.14</v>
      </c>
      <c r="O180" s="121">
        <f t="shared" si="160"/>
        <v>0</v>
      </c>
      <c r="P180" s="34">
        <v>0</v>
      </c>
      <c r="Q180" s="34"/>
      <c r="R180" s="34">
        <v>0</v>
      </c>
      <c r="S180" s="143">
        <v>873</v>
      </c>
      <c r="T180" s="144">
        <f t="shared" si="157"/>
        <v>872.4</v>
      </c>
      <c r="U180" s="144"/>
      <c r="V180" s="144">
        <f t="shared" si="153"/>
        <v>872.4</v>
      </c>
      <c r="W180" s="91">
        <f t="shared" si="152"/>
        <v>0.60000000000002274</v>
      </c>
    </row>
    <row r="181" spans="2:25" x14ac:dyDescent="0.25">
      <c r="B181" s="3" t="s">
        <v>49</v>
      </c>
      <c r="C181" s="34"/>
      <c r="D181" s="34"/>
      <c r="E181" s="34"/>
      <c r="F181" s="34"/>
      <c r="G181" s="34"/>
      <c r="H181" s="34"/>
      <c r="I181" s="34"/>
      <c r="J181" s="34"/>
      <c r="K181" s="34"/>
      <c r="L181" s="34"/>
      <c r="M181" s="34">
        <f t="shared" si="158"/>
        <v>0</v>
      </c>
      <c r="N181" s="34">
        <f t="shared" si="159"/>
        <v>0</v>
      </c>
      <c r="O181" s="121">
        <f t="shared" si="160"/>
        <v>0</v>
      </c>
      <c r="P181" s="34">
        <v>0</v>
      </c>
      <c r="Q181" s="34"/>
      <c r="R181" s="34">
        <v>0</v>
      </c>
      <c r="S181" s="143">
        <v>0</v>
      </c>
      <c r="T181" s="144">
        <f t="shared" si="157"/>
        <v>0</v>
      </c>
      <c r="U181" s="144"/>
      <c r="V181" s="144">
        <f t="shared" si="153"/>
        <v>0</v>
      </c>
      <c r="W181" s="91">
        <f t="shared" si="152"/>
        <v>0</v>
      </c>
    </row>
    <row r="182" spans="2:25" x14ac:dyDescent="0.25">
      <c r="B182" s="3" t="s">
        <v>75</v>
      </c>
      <c r="C182" s="34">
        <v>693</v>
      </c>
      <c r="D182" s="34">
        <v>0</v>
      </c>
      <c r="E182" s="34">
        <v>297</v>
      </c>
      <c r="F182" s="34">
        <v>693</v>
      </c>
      <c r="G182" s="34">
        <v>0</v>
      </c>
      <c r="H182" s="34">
        <v>297</v>
      </c>
      <c r="I182" s="34"/>
      <c r="J182" s="34"/>
      <c r="K182" s="34"/>
      <c r="L182" s="34"/>
      <c r="M182" s="34">
        <f t="shared" si="158"/>
        <v>1386</v>
      </c>
      <c r="N182" s="34">
        <f t="shared" si="159"/>
        <v>594</v>
      </c>
      <c r="O182" s="121">
        <f t="shared" si="160"/>
        <v>0</v>
      </c>
      <c r="P182" s="34">
        <v>0</v>
      </c>
      <c r="Q182" s="34"/>
      <c r="R182" s="34">
        <v>0</v>
      </c>
      <c r="S182" s="143">
        <v>1386</v>
      </c>
      <c r="T182" s="144">
        <f t="shared" si="157"/>
        <v>1386</v>
      </c>
      <c r="U182" s="144"/>
      <c r="V182" s="144">
        <f t="shared" si="153"/>
        <v>1386</v>
      </c>
      <c r="W182" s="91">
        <f t="shared" si="152"/>
        <v>0</v>
      </c>
    </row>
    <row r="183" spans="2:25" x14ac:dyDescent="0.25">
      <c r="B183" s="3" t="s">
        <v>50</v>
      </c>
      <c r="C183" s="34">
        <v>69</v>
      </c>
      <c r="D183" s="34">
        <v>72.45</v>
      </c>
      <c r="E183" s="34">
        <v>29.57</v>
      </c>
      <c r="F183" s="34">
        <v>55.2</v>
      </c>
      <c r="G183" s="34">
        <v>144.9</v>
      </c>
      <c r="H183" s="34">
        <v>23.66</v>
      </c>
      <c r="I183" s="34"/>
      <c r="J183" s="34"/>
      <c r="K183" s="34"/>
      <c r="L183" s="34"/>
      <c r="M183" s="34">
        <f t="shared" si="158"/>
        <v>124.2</v>
      </c>
      <c r="N183" s="34">
        <f t="shared" si="159"/>
        <v>53.230000000000004</v>
      </c>
      <c r="O183" s="121">
        <f t="shared" si="160"/>
        <v>217.35000000000002</v>
      </c>
      <c r="P183" s="34">
        <v>0</v>
      </c>
      <c r="Q183" s="34"/>
      <c r="R183" s="34">
        <v>0</v>
      </c>
      <c r="S183" s="143">
        <v>341.45</v>
      </c>
      <c r="T183" s="144">
        <f t="shared" si="157"/>
        <v>341.55</v>
      </c>
      <c r="U183" s="144"/>
      <c r="V183" s="144">
        <f t="shared" si="153"/>
        <v>341.55</v>
      </c>
      <c r="W183" s="91">
        <f t="shared" si="152"/>
        <v>-0.10000000000002274</v>
      </c>
    </row>
    <row r="184" spans="2:25" x14ac:dyDescent="0.25">
      <c r="B184" s="3" t="s">
        <v>340</v>
      </c>
      <c r="C184" s="34">
        <v>240</v>
      </c>
      <c r="D184" s="34">
        <v>0</v>
      </c>
      <c r="E184" s="34">
        <v>102.86</v>
      </c>
      <c r="F184" s="34">
        <v>225</v>
      </c>
      <c r="G184" s="34">
        <v>0</v>
      </c>
      <c r="H184" s="34">
        <v>96.43</v>
      </c>
      <c r="I184" s="34"/>
      <c r="J184" s="34"/>
      <c r="K184" s="34"/>
      <c r="L184" s="34"/>
      <c r="M184" s="34">
        <f>C184+F184+I184</f>
        <v>465</v>
      </c>
      <c r="N184" s="34">
        <f>E184+H184+K184</f>
        <v>199.29000000000002</v>
      </c>
      <c r="O184" s="121">
        <f>D184+G184+J184</f>
        <v>0</v>
      </c>
      <c r="P184" s="34">
        <v>0</v>
      </c>
      <c r="Q184" s="34"/>
      <c r="R184" s="34">
        <v>0</v>
      </c>
      <c r="S184" s="143">
        <v>465</v>
      </c>
      <c r="T184" s="144">
        <f>M184+O184</f>
        <v>465</v>
      </c>
      <c r="U184" s="144"/>
      <c r="V184" s="144">
        <f t="shared" si="153"/>
        <v>465</v>
      </c>
      <c r="W184" s="91">
        <f t="shared" si="152"/>
        <v>0</v>
      </c>
    </row>
    <row r="185" spans="2:25" x14ac:dyDescent="0.25">
      <c r="B185" s="166" t="s">
        <v>232</v>
      </c>
      <c r="C185" s="34">
        <v>87.26</v>
      </c>
      <c r="D185" s="34">
        <v>87.25</v>
      </c>
      <c r="E185" s="34">
        <v>37.4</v>
      </c>
      <c r="F185" s="34">
        <v>140.09</v>
      </c>
      <c r="G185" s="34">
        <v>140.08000000000001</v>
      </c>
      <c r="H185" s="34">
        <v>60.04</v>
      </c>
      <c r="I185" s="34"/>
      <c r="J185" s="34"/>
      <c r="K185" s="34"/>
      <c r="L185" s="34"/>
      <c r="M185" s="34">
        <f t="shared" ref="M185:M197" si="161">C185+F185+I185</f>
        <v>227.35000000000002</v>
      </c>
      <c r="N185" s="34">
        <f t="shared" ref="N185:N197" si="162">E185+H185+K185</f>
        <v>97.44</v>
      </c>
      <c r="O185" s="121">
        <f t="shared" ref="O185:O187" si="163">D185+G185+J185</f>
        <v>227.33</v>
      </c>
      <c r="P185" s="34">
        <v>0</v>
      </c>
      <c r="Q185" s="34"/>
      <c r="R185" s="34">
        <v>0</v>
      </c>
      <c r="S185" s="143">
        <v>454.68</v>
      </c>
      <c r="T185" s="144">
        <f t="shared" ref="T185:T197" si="164">M185+O185</f>
        <v>454.68000000000006</v>
      </c>
      <c r="U185" s="144"/>
      <c r="V185" s="144">
        <f t="shared" si="153"/>
        <v>454.68000000000006</v>
      </c>
      <c r="W185" s="91">
        <f t="shared" si="152"/>
        <v>0</v>
      </c>
    </row>
    <row r="186" spans="2:25" x14ac:dyDescent="0.25">
      <c r="B186" s="3" t="s">
        <v>344</v>
      </c>
      <c r="C186" s="34"/>
      <c r="D186" s="34"/>
      <c r="E186" s="34"/>
      <c r="F186" s="34"/>
      <c r="G186" s="34"/>
      <c r="H186" s="34"/>
      <c r="I186" s="34"/>
      <c r="J186" s="34"/>
      <c r="K186" s="34"/>
      <c r="L186" s="34"/>
      <c r="M186" s="157">
        <f t="shared" si="161"/>
        <v>0</v>
      </c>
      <c r="N186" s="34">
        <f t="shared" si="162"/>
        <v>0</v>
      </c>
      <c r="O186" s="121"/>
      <c r="P186" s="157"/>
      <c r="Q186" s="157">
        <v>348.54</v>
      </c>
      <c r="R186" s="157">
        <v>-104.56</v>
      </c>
      <c r="S186" s="143">
        <v>243.98</v>
      </c>
      <c r="T186" s="144">
        <f>Q186+R186</f>
        <v>243.98000000000002</v>
      </c>
      <c r="U186" s="144">
        <f>-R186</f>
        <v>104.56</v>
      </c>
      <c r="V186" s="144">
        <f t="shared" si="153"/>
        <v>348.54</v>
      </c>
      <c r="W186" s="91">
        <f t="shared" si="152"/>
        <v>0</v>
      </c>
    </row>
    <row r="187" spans="2:25" x14ac:dyDescent="0.25">
      <c r="B187" s="3" t="s">
        <v>51</v>
      </c>
      <c r="C187" s="34">
        <v>918.88</v>
      </c>
      <c r="D187" s="34">
        <v>0</v>
      </c>
      <c r="E187" s="34">
        <v>393.81</v>
      </c>
      <c r="F187" s="34">
        <v>2542.65</v>
      </c>
      <c r="G187" s="34">
        <v>0</v>
      </c>
      <c r="H187" s="34">
        <v>1089.71</v>
      </c>
      <c r="I187" s="34"/>
      <c r="J187" s="34"/>
      <c r="K187" s="34"/>
      <c r="L187" s="34"/>
      <c r="M187" s="34">
        <f t="shared" si="161"/>
        <v>3461.53</v>
      </c>
      <c r="N187" s="34">
        <f t="shared" si="162"/>
        <v>1483.52</v>
      </c>
      <c r="O187" s="121">
        <f t="shared" si="163"/>
        <v>0</v>
      </c>
      <c r="P187" s="34">
        <v>0</v>
      </c>
      <c r="Q187" s="34"/>
      <c r="R187" s="34">
        <v>0</v>
      </c>
      <c r="S187" s="143">
        <v>3461.53</v>
      </c>
      <c r="T187" s="144">
        <f t="shared" si="164"/>
        <v>3461.53</v>
      </c>
      <c r="U187" s="144"/>
      <c r="V187" s="144">
        <f t="shared" si="153"/>
        <v>3461.53</v>
      </c>
      <c r="W187" s="91">
        <f t="shared" si="152"/>
        <v>0</v>
      </c>
    </row>
    <row r="188" spans="2:25" x14ac:dyDescent="0.25">
      <c r="B188" s="3" t="s">
        <v>396</v>
      </c>
      <c r="C188" s="34"/>
      <c r="D188" s="34"/>
      <c r="E188" s="34"/>
      <c r="F188" s="34">
        <v>31</v>
      </c>
      <c r="G188" s="34">
        <v>124</v>
      </c>
      <c r="H188" s="34">
        <v>13.29</v>
      </c>
      <c r="I188" s="34"/>
      <c r="J188" s="34"/>
      <c r="K188" s="34"/>
      <c r="L188" s="34"/>
      <c r="M188" s="34">
        <f>C188+F188+I188</f>
        <v>31</v>
      </c>
      <c r="N188" s="34">
        <f>E188+H188+K188</f>
        <v>13.29</v>
      </c>
      <c r="O188" s="121">
        <f>D188+G188+J188</f>
        <v>124</v>
      </c>
      <c r="P188" s="34">
        <v>-60</v>
      </c>
      <c r="Q188" s="34"/>
      <c r="R188" s="34"/>
      <c r="S188" s="143">
        <v>95</v>
      </c>
      <c r="T188" s="144">
        <f>M188+O188+P188</f>
        <v>95</v>
      </c>
      <c r="U188" s="144">
        <f>-P188</f>
        <v>60</v>
      </c>
      <c r="V188" s="144">
        <f t="shared" si="153"/>
        <v>155</v>
      </c>
      <c r="W188" s="91">
        <f t="shared" si="152"/>
        <v>0</v>
      </c>
    </row>
    <row r="189" spans="2:25" x14ac:dyDescent="0.25">
      <c r="B189" s="3" t="s">
        <v>365</v>
      </c>
      <c r="C189" s="34"/>
      <c r="D189" s="34">
        <v>41.05</v>
      </c>
      <c r="E189" s="34"/>
      <c r="F189" s="34"/>
      <c r="G189" s="34"/>
      <c r="H189" s="34"/>
      <c r="I189" s="34"/>
      <c r="J189" s="34"/>
      <c r="K189" s="34"/>
      <c r="L189" s="34"/>
      <c r="M189" s="34">
        <f>C189+F189+I189</f>
        <v>0</v>
      </c>
      <c r="N189" s="34">
        <f>E189+H189+K189</f>
        <v>0</v>
      </c>
      <c r="O189" s="121">
        <f>D189+G189+J189</f>
        <v>41.05</v>
      </c>
      <c r="P189" s="34">
        <v>-20</v>
      </c>
      <c r="Q189" s="34"/>
      <c r="R189" s="34"/>
      <c r="S189" s="143">
        <v>21.05</v>
      </c>
      <c r="T189" s="144">
        <f>M189+O189+P189</f>
        <v>21.049999999999997</v>
      </c>
      <c r="U189" s="144">
        <f>-P189</f>
        <v>20</v>
      </c>
      <c r="V189" s="144">
        <f t="shared" si="153"/>
        <v>41.05</v>
      </c>
      <c r="W189" s="91">
        <f t="shared" si="152"/>
        <v>0</v>
      </c>
      <c r="Y189" s="91"/>
    </row>
    <row r="190" spans="2:25" x14ac:dyDescent="0.25">
      <c r="B190" s="3" t="s">
        <v>269</v>
      </c>
      <c r="C190" s="34">
        <v>275.52</v>
      </c>
      <c r="D190" s="34">
        <v>0</v>
      </c>
      <c r="E190" s="34">
        <v>118.08</v>
      </c>
      <c r="F190" s="34">
        <v>287</v>
      </c>
      <c r="G190" s="34">
        <v>0</v>
      </c>
      <c r="H190" s="34">
        <v>123</v>
      </c>
      <c r="I190" s="34"/>
      <c r="J190" s="34"/>
      <c r="K190" s="34"/>
      <c r="L190" s="34"/>
      <c r="M190" s="34">
        <f t="shared" si="161"/>
        <v>562.52</v>
      </c>
      <c r="N190" s="34">
        <f t="shared" si="162"/>
        <v>241.07999999999998</v>
      </c>
      <c r="O190" s="121"/>
      <c r="P190" s="34">
        <v>0</v>
      </c>
      <c r="Q190" s="34"/>
      <c r="R190" s="34">
        <v>0</v>
      </c>
      <c r="S190" s="143">
        <v>562.52</v>
      </c>
      <c r="T190" s="144">
        <f t="shared" si="164"/>
        <v>562.52</v>
      </c>
      <c r="U190" s="144"/>
      <c r="V190" s="144">
        <f t="shared" si="153"/>
        <v>562.52</v>
      </c>
      <c r="W190" s="91">
        <f t="shared" si="152"/>
        <v>0</v>
      </c>
      <c r="Y190" s="91"/>
    </row>
    <row r="191" spans="2:25" x14ac:dyDescent="0.25">
      <c r="B191" s="166" t="s">
        <v>395</v>
      </c>
      <c r="C191" s="34"/>
      <c r="D191" s="34"/>
      <c r="E191" s="34"/>
      <c r="F191" s="34">
        <v>35</v>
      </c>
      <c r="G191" s="34">
        <f>250-35</f>
        <v>215</v>
      </c>
      <c r="H191" s="34">
        <v>15</v>
      </c>
      <c r="I191" s="34"/>
      <c r="J191" s="34"/>
      <c r="K191" s="34"/>
      <c r="L191" s="34"/>
      <c r="M191" s="34">
        <f>C191+F191</f>
        <v>35</v>
      </c>
      <c r="N191" s="34">
        <f>D191+G191</f>
        <v>215</v>
      </c>
      <c r="O191" s="121">
        <f>E191+H191</f>
        <v>15</v>
      </c>
      <c r="P191" s="34">
        <v>-105</v>
      </c>
      <c r="Q191" s="34"/>
      <c r="R191" s="34"/>
      <c r="S191" s="143">
        <v>145</v>
      </c>
      <c r="T191" s="144">
        <f>M191+N191+P191</f>
        <v>145</v>
      </c>
      <c r="U191" s="144">
        <f>-P191</f>
        <v>105</v>
      </c>
      <c r="V191" s="144">
        <f t="shared" si="153"/>
        <v>250</v>
      </c>
      <c r="W191" s="91">
        <f t="shared" si="152"/>
        <v>0</v>
      </c>
      <c r="Y191" s="91"/>
    </row>
    <row r="192" spans="2:25" x14ac:dyDescent="0.25">
      <c r="B192" s="3" t="s">
        <v>52</v>
      </c>
      <c r="C192" s="34">
        <v>1634.47</v>
      </c>
      <c r="D192" s="34">
        <v>0</v>
      </c>
      <c r="E192" s="34">
        <v>700.49</v>
      </c>
      <c r="F192" s="34">
        <v>1634.47</v>
      </c>
      <c r="G192" s="34"/>
      <c r="H192" s="34">
        <v>700.49</v>
      </c>
      <c r="I192" s="34"/>
      <c r="J192" s="34"/>
      <c r="K192" s="34"/>
      <c r="L192" s="34"/>
      <c r="M192" s="34">
        <f t="shared" si="161"/>
        <v>3268.94</v>
      </c>
      <c r="N192" s="34">
        <f t="shared" si="162"/>
        <v>1400.98</v>
      </c>
      <c r="O192" s="121">
        <f t="shared" ref="O192:O197" si="165">D192+G192+J192</f>
        <v>0</v>
      </c>
      <c r="P192" s="34">
        <v>0</v>
      </c>
      <c r="Q192" s="34"/>
      <c r="R192" s="34">
        <v>0</v>
      </c>
      <c r="S192" s="143">
        <v>3268.94</v>
      </c>
      <c r="T192" s="144">
        <f t="shared" si="164"/>
        <v>3268.94</v>
      </c>
      <c r="U192" s="144"/>
      <c r="V192" s="144">
        <f t="shared" si="153"/>
        <v>3268.94</v>
      </c>
      <c r="W192" s="91">
        <f t="shared" si="152"/>
        <v>0</v>
      </c>
      <c r="Y192" s="91"/>
    </row>
    <row r="193" spans="2:25" x14ac:dyDescent="0.25">
      <c r="B193" s="3" t="s">
        <v>76</v>
      </c>
      <c r="C193" s="34"/>
      <c r="D193" s="34">
        <v>44.04</v>
      </c>
      <c r="E193" s="34"/>
      <c r="F193" s="34"/>
      <c r="G193" s="34">
        <v>47.71</v>
      </c>
      <c r="H193" s="34"/>
      <c r="I193" s="34"/>
      <c r="J193" s="34"/>
      <c r="K193" s="34"/>
      <c r="L193" s="34"/>
      <c r="M193" s="34">
        <f t="shared" si="161"/>
        <v>0</v>
      </c>
      <c r="N193" s="34">
        <f t="shared" si="162"/>
        <v>0</v>
      </c>
      <c r="O193" s="121">
        <f t="shared" si="165"/>
        <v>91.75</v>
      </c>
      <c r="P193" s="34">
        <v>0</v>
      </c>
      <c r="Q193" s="34"/>
      <c r="R193" s="34">
        <v>0</v>
      </c>
      <c r="S193" s="143">
        <v>91.75</v>
      </c>
      <c r="T193" s="144">
        <f t="shared" si="164"/>
        <v>91.75</v>
      </c>
      <c r="U193" s="144"/>
      <c r="V193" s="144">
        <f t="shared" si="153"/>
        <v>91.75</v>
      </c>
      <c r="W193" s="91">
        <f t="shared" si="152"/>
        <v>0</v>
      </c>
      <c r="Y193" s="91"/>
    </row>
    <row r="194" spans="2:25" x14ac:dyDescent="0.25">
      <c r="B194" s="3" t="s">
        <v>53</v>
      </c>
      <c r="C194" s="34">
        <v>1864.96</v>
      </c>
      <c r="D194" s="34">
        <v>0</v>
      </c>
      <c r="E194" s="34">
        <v>799.27</v>
      </c>
      <c r="F194" s="34">
        <v>1864.96</v>
      </c>
      <c r="G194" s="34">
        <v>0</v>
      </c>
      <c r="H194" s="34">
        <v>799.27</v>
      </c>
      <c r="I194" s="34"/>
      <c r="J194" s="34"/>
      <c r="K194" s="34"/>
      <c r="L194" s="34"/>
      <c r="M194" s="34">
        <f t="shared" si="161"/>
        <v>3729.92</v>
      </c>
      <c r="N194" s="34">
        <f t="shared" si="162"/>
        <v>1598.54</v>
      </c>
      <c r="O194" s="121">
        <f t="shared" si="165"/>
        <v>0</v>
      </c>
      <c r="P194" s="34">
        <v>0</v>
      </c>
      <c r="Q194" s="34"/>
      <c r="R194" s="34">
        <v>0</v>
      </c>
      <c r="S194" s="143">
        <v>3729.92</v>
      </c>
      <c r="T194" s="144">
        <f t="shared" si="164"/>
        <v>3729.92</v>
      </c>
      <c r="U194" s="144"/>
      <c r="V194" s="144">
        <f t="shared" si="153"/>
        <v>3729.92</v>
      </c>
      <c r="W194" s="91">
        <f t="shared" si="152"/>
        <v>0</v>
      </c>
    </row>
    <row r="195" spans="2:25" x14ac:dyDescent="0.25">
      <c r="B195" s="3" t="s">
        <v>229</v>
      </c>
      <c r="C195" s="34">
        <v>617.5</v>
      </c>
      <c r="D195" s="34">
        <v>0</v>
      </c>
      <c r="E195" s="34">
        <v>264.64</v>
      </c>
      <c r="F195" s="34">
        <v>927</v>
      </c>
      <c r="G195" s="34">
        <v>0</v>
      </c>
      <c r="H195" s="34">
        <v>397.29</v>
      </c>
      <c r="I195" s="34"/>
      <c r="J195" s="34"/>
      <c r="K195" s="34"/>
      <c r="L195" s="34"/>
      <c r="M195" s="34">
        <f t="shared" si="161"/>
        <v>1544.5</v>
      </c>
      <c r="N195" s="34">
        <f t="shared" si="162"/>
        <v>661.93000000000006</v>
      </c>
      <c r="O195" s="121">
        <f t="shared" si="165"/>
        <v>0</v>
      </c>
      <c r="P195" s="34">
        <v>0</v>
      </c>
      <c r="Q195" s="34"/>
      <c r="R195" s="34">
        <v>0</v>
      </c>
      <c r="S195" s="143">
        <v>1544.5</v>
      </c>
      <c r="T195" s="144">
        <f t="shared" si="164"/>
        <v>1544.5</v>
      </c>
      <c r="U195" s="144"/>
      <c r="V195" s="144">
        <f t="shared" si="153"/>
        <v>1544.5</v>
      </c>
      <c r="W195" s="91">
        <f t="shared" si="152"/>
        <v>0</v>
      </c>
    </row>
    <row r="196" spans="2:25" x14ac:dyDescent="0.25">
      <c r="B196" s="3" t="s">
        <v>55</v>
      </c>
      <c r="C196" s="34">
        <v>336.09</v>
      </c>
      <c r="D196" s="34">
        <v>0</v>
      </c>
      <c r="E196" s="34">
        <v>144.04</v>
      </c>
      <c r="F196" s="34">
        <v>564.04</v>
      </c>
      <c r="G196" s="34">
        <v>0</v>
      </c>
      <c r="H196" s="34">
        <v>241.73</v>
      </c>
      <c r="I196" s="34"/>
      <c r="J196" s="34"/>
      <c r="K196" s="34"/>
      <c r="L196" s="34"/>
      <c r="M196" s="34">
        <f t="shared" si="161"/>
        <v>900.12999999999988</v>
      </c>
      <c r="N196" s="34">
        <f t="shared" si="162"/>
        <v>385.77</v>
      </c>
      <c r="O196" s="121">
        <f t="shared" si="165"/>
        <v>0</v>
      </c>
      <c r="P196" s="34">
        <v>0</v>
      </c>
      <c r="Q196" s="34"/>
      <c r="R196" s="34">
        <v>0</v>
      </c>
      <c r="S196" s="143">
        <v>900.13</v>
      </c>
      <c r="T196" s="144">
        <f t="shared" si="164"/>
        <v>900.12999999999988</v>
      </c>
      <c r="U196" s="144"/>
      <c r="V196" s="144">
        <f t="shared" si="153"/>
        <v>900.12999999999988</v>
      </c>
      <c r="W196" s="91">
        <f t="shared" si="152"/>
        <v>0</v>
      </c>
    </row>
    <row r="197" spans="2:25" x14ac:dyDescent="0.25">
      <c r="B197" s="3" t="s">
        <v>54</v>
      </c>
      <c r="C197" s="34">
        <v>416.16</v>
      </c>
      <c r="D197" s="34"/>
      <c r="E197" s="34">
        <v>178.35</v>
      </c>
      <c r="F197" s="34">
        <v>403.92</v>
      </c>
      <c r="G197" s="34"/>
      <c r="H197" s="34">
        <v>173.11</v>
      </c>
      <c r="I197" s="34"/>
      <c r="J197" s="34"/>
      <c r="K197" s="34"/>
      <c r="L197" s="34"/>
      <c r="M197" s="34">
        <f t="shared" si="161"/>
        <v>820.08</v>
      </c>
      <c r="N197" s="34">
        <f t="shared" si="162"/>
        <v>351.46000000000004</v>
      </c>
      <c r="O197" s="121">
        <f t="shared" si="165"/>
        <v>0</v>
      </c>
      <c r="P197" s="34">
        <v>0</v>
      </c>
      <c r="Q197" s="34"/>
      <c r="R197" s="34">
        <v>0</v>
      </c>
      <c r="S197" s="143">
        <v>820.08</v>
      </c>
      <c r="T197" s="144">
        <f t="shared" si="164"/>
        <v>820.08</v>
      </c>
      <c r="U197" s="144"/>
      <c r="V197" s="144">
        <f t="shared" si="153"/>
        <v>820.08</v>
      </c>
      <c r="W197" s="91">
        <f t="shared" si="152"/>
        <v>0</v>
      </c>
    </row>
    <row r="198" spans="2:25" x14ac:dyDescent="0.25">
      <c r="B198" s="3"/>
      <c r="C198" s="57">
        <f t="shared" ref="C198:K198" si="166">SUM(C170:C197)</f>
        <v>17894.849999999995</v>
      </c>
      <c r="D198" s="57">
        <f t="shared" si="166"/>
        <v>1015.04</v>
      </c>
      <c r="E198" s="57">
        <f t="shared" si="166"/>
        <v>7669.66</v>
      </c>
      <c r="F198" s="57">
        <f t="shared" si="166"/>
        <v>20514.349999999999</v>
      </c>
      <c r="G198" s="57">
        <f t="shared" si="166"/>
        <v>1390.39</v>
      </c>
      <c r="H198" s="57">
        <f t="shared" si="166"/>
        <v>8952.2100000000009</v>
      </c>
      <c r="I198" s="57">
        <f t="shared" si="166"/>
        <v>373.5</v>
      </c>
      <c r="J198" s="57">
        <f t="shared" si="166"/>
        <v>249</v>
      </c>
      <c r="K198" s="57">
        <f t="shared" si="166"/>
        <v>0</v>
      </c>
      <c r="L198" s="57"/>
      <c r="M198" s="57">
        <f t="shared" ref="M198:R198" si="167">SUM(M170:M197)</f>
        <v>38782.699999999997</v>
      </c>
      <c r="N198" s="57">
        <f t="shared" si="167"/>
        <v>16821.870000000003</v>
      </c>
      <c r="O198" s="69">
        <f t="shared" si="167"/>
        <v>2454.4299999999998</v>
      </c>
      <c r="P198" s="57">
        <f t="shared" si="167"/>
        <v>-397</v>
      </c>
      <c r="Q198" s="57">
        <f t="shared" si="167"/>
        <v>348.54</v>
      </c>
      <c r="R198" s="57">
        <f t="shared" si="167"/>
        <v>-104.56</v>
      </c>
      <c r="S198" s="147">
        <f>SUM(S169:S197)</f>
        <v>41285.61</v>
      </c>
      <c r="T198" s="147">
        <f>SUM(T169:T197)</f>
        <v>41284.109999999993</v>
      </c>
      <c r="U198" s="147"/>
      <c r="V198" s="147">
        <f>SUM(V170:V197)</f>
        <v>41785.67</v>
      </c>
      <c r="W198" s="91">
        <f t="shared" si="152"/>
        <v>1.500000000007276</v>
      </c>
    </row>
    <row r="199" spans="2:25" x14ac:dyDescent="0.25">
      <c r="B199" s="3"/>
      <c r="C199" s="3"/>
      <c r="D199" s="3"/>
      <c r="E199" s="3"/>
      <c r="F199" s="3"/>
      <c r="G199" s="3"/>
      <c r="H199" s="3"/>
      <c r="I199" s="3"/>
      <c r="J199" s="3"/>
      <c r="K199" s="3"/>
      <c r="L199" s="8" t="s">
        <v>167</v>
      </c>
      <c r="M199" s="8"/>
      <c r="N199" s="8"/>
      <c r="O199" s="122">
        <f>S198-P198</f>
        <v>41682.61</v>
      </c>
      <c r="P199" s="34"/>
      <c r="Q199" s="34"/>
      <c r="R199" s="34"/>
    </row>
    <row r="200" spans="2:25" x14ac:dyDescent="0.25">
      <c r="C200" s="149" t="s">
        <v>100</v>
      </c>
      <c r="D200" s="149" t="s">
        <v>104</v>
      </c>
      <c r="E200" s="149" t="s">
        <v>101</v>
      </c>
      <c r="F200" s="149" t="s">
        <v>100</v>
      </c>
      <c r="G200" s="149" t="s">
        <v>104</v>
      </c>
      <c r="H200" s="149" t="s">
        <v>101</v>
      </c>
      <c r="I200" s="149" t="s">
        <v>100</v>
      </c>
      <c r="J200" s="149" t="s">
        <v>104</v>
      </c>
      <c r="K200" s="149" t="s">
        <v>101</v>
      </c>
      <c r="L200" s="37"/>
      <c r="M200" s="149" t="s">
        <v>105</v>
      </c>
      <c r="N200" s="149" t="s">
        <v>102</v>
      </c>
      <c r="O200" s="150" t="s">
        <v>103</v>
      </c>
      <c r="P200" s="151" t="s">
        <v>267</v>
      </c>
      <c r="Q200" s="151"/>
      <c r="R200" s="151" t="s">
        <v>267</v>
      </c>
      <c r="S200" s="124" t="s">
        <v>270</v>
      </c>
      <c r="T200" s="124" t="s">
        <v>93</v>
      </c>
      <c r="U200" s="90"/>
      <c r="V200" s="90"/>
    </row>
    <row r="201" spans="2:25" x14ac:dyDescent="0.25">
      <c r="B201" s="3" t="s">
        <v>311</v>
      </c>
      <c r="C201" s="3"/>
      <c r="D201" s="3">
        <v>0</v>
      </c>
      <c r="E201" s="3"/>
      <c r="F201" s="3"/>
      <c r="G201" s="3"/>
      <c r="H201" s="3"/>
      <c r="I201" s="3"/>
      <c r="J201" s="3"/>
      <c r="K201" s="3"/>
      <c r="L201" s="3"/>
      <c r="M201" s="34">
        <f>C201+F201+I201</f>
        <v>0</v>
      </c>
      <c r="N201" s="34">
        <f>E201+H201+K201</f>
        <v>0</v>
      </c>
      <c r="O201" s="34">
        <f>D201+G201+J201</f>
        <v>0</v>
      </c>
      <c r="P201" s="34">
        <v>0</v>
      </c>
      <c r="Q201" s="34"/>
      <c r="R201" s="34">
        <v>0</v>
      </c>
      <c r="S201" s="3">
        <v>0</v>
      </c>
      <c r="T201" s="152">
        <f>M201+O201</f>
        <v>0</v>
      </c>
      <c r="U201" s="171"/>
      <c r="V201" s="171"/>
    </row>
    <row r="202" spans="2:25" x14ac:dyDescent="0.25">
      <c r="B202" s="3"/>
      <c r="C202" s="3"/>
      <c r="D202" s="3"/>
      <c r="E202" s="3" t="s">
        <v>368</v>
      </c>
      <c r="F202" s="3"/>
      <c r="G202" s="3"/>
      <c r="H202" s="3"/>
      <c r="I202" s="3"/>
      <c r="J202" s="3"/>
      <c r="K202" s="3"/>
      <c r="L202" s="3"/>
      <c r="M202" s="3"/>
      <c r="N202" s="3"/>
      <c r="O202" s="3"/>
      <c r="P202" s="3"/>
      <c r="Q202" s="3"/>
      <c r="R202" s="3"/>
      <c r="S202" s="3"/>
      <c r="T202" s="3"/>
      <c r="U202" s="20"/>
      <c r="V202" s="20"/>
    </row>
    <row r="203" spans="2:25" x14ac:dyDescent="0.25">
      <c r="B203" t="s">
        <v>367</v>
      </c>
      <c r="C203" s="162">
        <v>42719</v>
      </c>
      <c r="D203" s="42">
        <v>60</v>
      </c>
      <c r="E203" s="42">
        <v>58.37</v>
      </c>
      <c r="I203" s="164" t="s">
        <v>383</v>
      </c>
      <c r="J203" s="164" t="s">
        <v>384</v>
      </c>
      <c r="K203" s="164" t="s">
        <v>385</v>
      </c>
      <c r="L203" s="164" t="s">
        <v>368</v>
      </c>
      <c r="M203" s="3"/>
      <c r="N203" s="164" t="s">
        <v>386</v>
      </c>
      <c r="O203" s="164" t="s">
        <v>387</v>
      </c>
      <c r="P203" s="164" t="s">
        <v>388</v>
      </c>
      <c r="Q203" s="169"/>
    </row>
    <row r="204" spans="2:25" x14ac:dyDescent="0.25">
      <c r="C204" s="162">
        <v>42635</v>
      </c>
      <c r="D204" s="42">
        <v>60</v>
      </c>
      <c r="E204" s="42">
        <v>59.08</v>
      </c>
      <c r="G204" s="163" t="s">
        <v>367</v>
      </c>
      <c r="I204" s="165">
        <v>66</v>
      </c>
      <c r="J204" s="135">
        <v>19.8</v>
      </c>
      <c r="K204" s="135">
        <f>I204-J204</f>
        <v>46.2</v>
      </c>
      <c r="L204" s="135">
        <v>60.11</v>
      </c>
      <c r="M204" s="157">
        <f>K204/L204</f>
        <v>0.76859091665280321</v>
      </c>
      <c r="N204" s="157">
        <f>I204/M204</f>
        <v>85.871428571428567</v>
      </c>
      <c r="O204" s="157">
        <f>J204/M204</f>
        <v>25.761428571428571</v>
      </c>
      <c r="P204" s="135">
        <f>K204/M204</f>
        <v>60.11</v>
      </c>
      <c r="Q204" s="170"/>
    </row>
    <row r="205" spans="2:25" x14ac:dyDescent="0.25">
      <c r="C205" s="162">
        <v>42810</v>
      </c>
      <c r="D205" s="42">
        <v>60</v>
      </c>
      <c r="E205" s="42">
        <v>58.12</v>
      </c>
      <c r="I205" s="135">
        <v>66</v>
      </c>
      <c r="J205" s="135">
        <v>19.8</v>
      </c>
      <c r="K205" s="135">
        <f t="shared" ref="K205:K207" si="168">I205-J205</f>
        <v>46.2</v>
      </c>
      <c r="L205" s="135">
        <v>60.67</v>
      </c>
      <c r="M205" s="157">
        <f t="shared" ref="M205:M207" si="169">K205/L205</f>
        <v>0.76149662106477667</v>
      </c>
      <c r="N205" s="157">
        <f t="shared" ref="N205:N207" si="170">I205/M205</f>
        <v>86.671428571428564</v>
      </c>
      <c r="O205" s="157">
        <f t="shared" ref="O205:O207" si="171">J205/M205</f>
        <v>26.001428571428573</v>
      </c>
      <c r="P205" s="135">
        <f t="shared" ref="P205:P207" si="172">K205/M205</f>
        <v>60.67</v>
      </c>
      <c r="Q205" s="170"/>
      <c r="S205" s="167">
        <f>212+60+20+105</f>
        <v>397</v>
      </c>
    </row>
    <row r="206" spans="2:25" x14ac:dyDescent="0.25">
      <c r="C206" s="162">
        <v>42901</v>
      </c>
      <c r="D206" s="42">
        <v>60</v>
      </c>
      <c r="E206" s="42">
        <v>57.25</v>
      </c>
      <c r="I206" s="135">
        <v>66</v>
      </c>
      <c r="J206" s="135">
        <v>19.8</v>
      </c>
      <c r="K206" s="135">
        <f t="shared" si="168"/>
        <v>46.2</v>
      </c>
      <c r="L206" s="135">
        <v>60.59</v>
      </c>
      <c r="M206" s="157">
        <f t="shared" si="169"/>
        <v>0.76250206304670742</v>
      </c>
      <c r="N206" s="157">
        <f t="shared" si="170"/>
        <v>86.55714285714285</v>
      </c>
      <c r="O206" s="157">
        <f t="shared" si="171"/>
        <v>25.967142857142857</v>
      </c>
      <c r="P206" s="135">
        <f t="shared" si="172"/>
        <v>60.59</v>
      </c>
      <c r="Q206" s="170"/>
    </row>
    <row r="207" spans="2:25" x14ac:dyDescent="0.25">
      <c r="C207" s="42"/>
      <c r="D207" s="42"/>
      <c r="E207" s="42">
        <f>SUM(E203:E206)</f>
        <v>232.82</v>
      </c>
      <c r="I207" s="135">
        <v>66</v>
      </c>
      <c r="J207" s="135">
        <v>19.8</v>
      </c>
      <c r="K207" s="135">
        <f t="shared" si="168"/>
        <v>46.2</v>
      </c>
      <c r="L207" s="135">
        <v>62.61</v>
      </c>
      <c r="M207" s="157">
        <f t="shared" si="169"/>
        <v>0.73790129372304747</v>
      </c>
      <c r="N207" s="157">
        <f t="shared" si="170"/>
        <v>89.442857142857136</v>
      </c>
      <c r="O207" s="157">
        <f t="shared" si="171"/>
        <v>26.832857142857144</v>
      </c>
      <c r="P207" s="135">
        <f t="shared" si="172"/>
        <v>62.61</v>
      </c>
      <c r="Q207" s="170"/>
    </row>
    <row r="208" spans="2:25" x14ac:dyDescent="0.25">
      <c r="I208" s="135"/>
      <c r="J208" s="135"/>
      <c r="K208" s="135"/>
      <c r="L208" s="135"/>
      <c r="M208" s="135"/>
      <c r="N208" s="135">
        <f>SUM(N204:N207)</f>
        <v>348.54285714285714</v>
      </c>
      <c r="O208" s="135">
        <f>SUM(O204:O207)</f>
        <v>104.56285714285715</v>
      </c>
      <c r="P208" s="135">
        <f>SUM(P204:P207)</f>
        <v>243.98000000000002</v>
      </c>
      <c r="Q208" s="170"/>
    </row>
    <row r="209" spans="2:23" x14ac:dyDescent="0.25">
      <c r="B209" s="3" t="s">
        <v>42</v>
      </c>
      <c r="C209" s="4" t="s">
        <v>98</v>
      </c>
      <c r="D209" s="4"/>
      <c r="E209" s="4"/>
      <c r="F209" s="4" t="s">
        <v>99</v>
      </c>
      <c r="G209" s="4"/>
      <c r="H209" s="4"/>
      <c r="I209" s="4" t="s">
        <v>342</v>
      </c>
      <c r="J209" s="4"/>
      <c r="K209" s="4"/>
      <c r="L209" s="4"/>
      <c r="M209" s="4" t="s">
        <v>93</v>
      </c>
      <c r="N209" s="3" t="s">
        <v>93</v>
      </c>
      <c r="O209" s="119"/>
      <c r="P209" s="34"/>
      <c r="Q209" s="34"/>
      <c r="R209" s="34" t="s">
        <v>345</v>
      </c>
    </row>
    <row r="210" spans="2:23" x14ac:dyDescent="0.25">
      <c r="B210" s="3"/>
      <c r="C210" s="54" t="s">
        <v>100</v>
      </c>
      <c r="D210" s="54" t="s">
        <v>104</v>
      </c>
      <c r="E210" s="54" t="s">
        <v>101</v>
      </c>
      <c r="F210" s="54" t="s">
        <v>100</v>
      </c>
      <c r="G210" s="54" t="s">
        <v>104</v>
      </c>
      <c r="H210" s="54" t="s">
        <v>101</v>
      </c>
      <c r="I210" s="54" t="s">
        <v>100</v>
      </c>
      <c r="J210" s="54" t="s">
        <v>104</v>
      </c>
      <c r="K210" s="54" t="s">
        <v>101</v>
      </c>
      <c r="L210" s="32" t="s">
        <v>104</v>
      </c>
      <c r="M210" s="54" t="s">
        <v>105</v>
      </c>
      <c r="N210" s="54" t="s">
        <v>102</v>
      </c>
      <c r="O210" s="120" t="s">
        <v>103</v>
      </c>
      <c r="P210" s="123" t="s">
        <v>267</v>
      </c>
      <c r="Q210" s="123"/>
      <c r="R210" s="123" t="s">
        <v>346</v>
      </c>
      <c r="S210" s="124" t="s">
        <v>270</v>
      </c>
      <c r="T210" s="124" t="s">
        <v>93</v>
      </c>
      <c r="U210" s="90"/>
      <c r="V210" s="90"/>
    </row>
    <row r="211" spans="2:23" x14ac:dyDescent="0.25">
      <c r="B211" s="3"/>
      <c r="C211" s="54"/>
      <c r="D211" s="54"/>
      <c r="E211" s="54"/>
      <c r="F211" s="54"/>
      <c r="G211" s="54"/>
      <c r="H211" s="54"/>
      <c r="I211" s="54"/>
      <c r="J211" s="54"/>
      <c r="K211" s="54"/>
      <c r="L211" s="3"/>
      <c r="M211" s="34">
        <f>C211+F211+I211</f>
        <v>0</v>
      </c>
      <c r="N211" s="34">
        <f>E211+H211+K211</f>
        <v>0</v>
      </c>
      <c r="O211" s="121">
        <f>D211+G211+J211</f>
        <v>0</v>
      </c>
      <c r="P211" s="34">
        <v>0</v>
      </c>
      <c r="Q211" s="34"/>
      <c r="R211" s="34">
        <v>0</v>
      </c>
      <c r="S211" s="145"/>
      <c r="T211" s="144">
        <f>M211+O211</f>
        <v>0</v>
      </c>
      <c r="U211" s="144"/>
      <c r="V211" s="144"/>
    </row>
    <row r="212" spans="2:23" x14ac:dyDescent="0.25">
      <c r="B212" s="3" t="s">
        <v>43</v>
      </c>
      <c r="C212" s="34">
        <v>2730</v>
      </c>
      <c r="D212" s="34"/>
      <c r="E212" s="34">
        <v>1170</v>
      </c>
      <c r="F212" s="34">
        <v>664.53</v>
      </c>
      <c r="G212" s="34"/>
      <c r="H212" s="34">
        <v>284.8</v>
      </c>
      <c r="I212" s="34"/>
      <c r="J212" s="34"/>
      <c r="K212" s="34"/>
      <c r="L212" s="34"/>
      <c r="M212" s="34">
        <f>C212+F212+I212</f>
        <v>3394.5299999999997</v>
      </c>
      <c r="N212" s="34">
        <f>E212+H212+K212</f>
        <v>1454.8</v>
      </c>
      <c r="O212" s="121">
        <f>D212+G212+J212</f>
        <v>0</v>
      </c>
      <c r="P212" s="34">
        <v>0</v>
      </c>
      <c r="Q212" s="34"/>
      <c r="R212" s="34">
        <v>0</v>
      </c>
      <c r="S212" s="143">
        <v>3394.53</v>
      </c>
      <c r="T212" s="144">
        <f>M212+O212</f>
        <v>3394.5299999999997</v>
      </c>
      <c r="U212" s="144"/>
      <c r="V212" s="144"/>
      <c r="W212" s="91">
        <f>S212-T212</f>
        <v>0</v>
      </c>
    </row>
    <row r="213" spans="2:23" x14ac:dyDescent="0.25">
      <c r="B213" s="3" t="s">
        <v>341</v>
      </c>
      <c r="C213" s="34">
        <v>307.8</v>
      </c>
      <c r="D213" s="34"/>
      <c r="E213" s="34">
        <v>131.91</v>
      </c>
      <c r="F213" s="34">
        <v>307.8</v>
      </c>
      <c r="G213" s="34"/>
      <c r="H213" s="34">
        <v>131.91</v>
      </c>
      <c r="I213" s="34"/>
      <c r="J213" s="34"/>
      <c r="K213" s="34"/>
      <c r="L213" s="34"/>
      <c r="M213" s="34">
        <f>C213+F213+I213</f>
        <v>615.6</v>
      </c>
      <c r="N213" s="34">
        <f>E213+H213+K213</f>
        <v>263.82</v>
      </c>
      <c r="O213" s="121">
        <f>D213+G213+J213</f>
        <v>0</v>
      </c>
      <c r="P213" s="34">
        <v>0</v>
      </c>
      <c r="Q213" s="34"/>
      <c r="R213" s="34">
        <v>0</v>
      </c>
      <c r="S213" s="143">
        <v>615.6</v>
      </c>
      <c r="T213" s="144">
        <f>M213+O213</f>
        <v>615.6</v>
      </c>
      <c r="U213" s="144"/>
      <c r="V213" s="144"/>
      <c r="W213" s="91">
        <f t="shared" ref="W213:W235" si="173">S213-T213</f>
        <v>0</v>
      </c>
    </row>
    <row r="214" spans="2:23" x14ac:dyDescent="0.25">
      <c r="B214" s="3" t="s">
        <v>60</v>
      </c>
      <c r="C214" s="34">
        <v>7192.8</v>
      </c>
      <c r="D214" s="34"/>
      <c r="E214" s="34">
        <v>3082.63</v>
      </c>
      <c r="F214" s="34">
        <v>6694.38</v>
      </c>
      <c r="G214" s="34"/>
      <c r="H214" s="34">
        <v>2869.02</v>
      </c>
      <c r="I214" s="34"/>
      <c r="J214" s="34"/>
      <c r="K214" s="34"/>
      <c r="L214" s="34"/>
      <c r="M214" s="34">
        <f t="shared" ref="M214:M215" si="174">C214+F214+I214</f>
        <v>13887.18</v>
      </c>
      <c r="N214" s="34">
        <f t="shared" ref="N214:N215" si="175">E214+H214+K214</f>
        <v>5951.65</v>
      </c>
      <c r="O214" s="121">
        <f t="shared" ref="O214:O215" si="176">D214+G214+J214</f>
        <v>0</v>
      </c>
      <c r="P214" s="34">
        <v>0</v>
      </c>
      <c r="Q214" s="34"/>
      <c r="R214" s="34">
        <v>0</v>
      </c>
      <c r="S214" s="143">
        <v>13887.18</v>
      </c>
      <c r="T214" s="144">
        <f t="shared" ref="T214:T224" si="177">M214+O214</f>
        <v>13887.18</v>
      </c>
      <c r="U214" s="144"/>
      <c r="V214" s="144"/>
      <c r="W214" s="91">
        <f t="shared" si="173"/>
        <v>0</v>
      </c>
    </row>
    <row r="215" spans="2:23" x14ac:dyDescent="0.25">
      <c r="B215" s="3" t="s">
        <v>45</v>
      </c>
      <c r="C215" s="34">
        <v>466.8</v>
      </c>
      <c r="D215" s="34">
        <v>155.6</v>
      </c>
      <c r="E215" s="34">
        <v>200.06</v>
      </c>
      <c r="F215" s="34">
        <v>548.65</v>
      </c>
      <c r="G215" s="34">
        <v>182.67</v>
      </c>
      <c r="H215" s="34">
        <v>235.13</v>
      </c>
      <c r="I215" s="34"/>
      <c r="J215" s="34"/>
      <c r="K215" s="34"/>
      <c r="L215" s="34"/>
      <c r="M215" s="34">
        <f t="shared" si="174"/>
        <v>1015.45</v>
      </c>
      <c r="N215" s="34">
        <f t="shared" si="175"/>
        <v>435.19</v>
      </c>
      <c r="O215" s="121">
        <f t="shared" si="176"/>
        <v>338.27</v>
      </c>
      <c r="P215" s="34">
        <v>0</v>
      </c>
      <c r="Q215" s="34"/>
      <c r="R215" s="34">
        <v>0</v>
      </c>
      <c r="S215" s="143">
        <v>1352.72</v>
      </c>
      <c r="T215" s="144">
        <f t="shared" si="177"/>
        <v>1353.72</v>
      </c>
      <c r="U215" s="144"/>
      <c r="V215" s="144"/>
      <c r="W215" s="91">
        <f t="shared" si="173"/>
        <v>-1</v>
      </c>
    </row>
    <row r="216" spans="2:23" x14ac:dyDescent="0.25">
      <c r="B216" s="3" t="s">
        <v>339</v>
      </c>
      <c r="C216" s="34">
        <v>71.25</v>
      </c>
      <c r="D216" s="34">
        <v>71.25</v>
      </c>
      <c r="E216" s="34">
        <v>30.54</v>
      </c>
      <c r="F216" s="34">
        <v>123.75</v>
      </c>
      <c r="G216" s="34">
        <v>123.75</v>
      </c>
      <c r="H216" s="34">
        <v>53.04</v>
      </c>
      <c r="I216" s="34"/>
      <c r="J216" s="34"/>
      <c r="K216" s="34"/>
      <c r="L216" s="34"/>
      <c r="M216" s="34">
        <f>C216+F216+I216</f>
        <v>195</v>
      </c>
      <c r="N216" s="34">
        <f>E216+H216+K216</f>
        <v>83.58</v>
      </c>
      <c r="O216" s="121">
        <f>D216+G216+J216</f>
        <v>195</v>
      </c>
      <c r="P216" s="34">
        <v>0</v>
      </c>
      <c r="Q216" s="34"/>
      <c r="R216" s="34"/>
      <c r="S216" s="143">
        <v>390</v>
      </c>
      <c r="T216" s="144">
        <f t="shared" si="177"/>
        <v>390</v>
      </c>
      <c r="U216" s="144"/>
      <c r="V216" s="144"/>
      <c r="W216" s="91">
        <f t="shared" si="173"/>
        <v>0</v>
      </c>
    </row>
    <row r="217" spans="2:23" x14ac:dyDescent="0.25">
      <c r="B217" s="3" t="s">
        <v>228</v>
      </c>
      <c r="C217" s="34"/>
      <c r="D217" s="34">
        <v>269.97000000000003</v>
      </c>
      <c r="E217" s="34"/>
      <c r="F217" s="34"/>
      <c r="G217" s="34">
        <v>244.42</v>
      </c>
      <c r="H217" s="34"/>
      <c r="I217" s="34"/>
      <c r="J217" s="34"/>
      <c r="K217" s="34"/>
      <c r="L217" s="34"/>
      <c r="M217" s="34">
        <f t="shared" ref="M217:M224" si="178">C217+F217+I217</f>
        <v>0</v>
      </c>
      <c r="N217" s="34">
        <f t="shared" ref="N217:N224" si="179">E217+H217+K217</f>
        <v>0</v>
      </c>
      <c r="O217" s="121">
        <f t="shared" ref="O217:O224" si="180">D217+G217+J217</f>
        <v>514.39</v>
      </c>
      <c r="P217" s="34">
        <v>0</v>
      </c>
      <c r="Q217" s="34"/>
      <c r="R217" s="34">
        <v>0</v>
      </c>
      <c r="S217" s="143">
        <v>514.39</v>
      </c>
      <c r="T217" s="144">
        <f t="shared" si="177"/>
        <v>514.39</v>
      </c>
      <c r="U217" s="144"/>
      <c r="V217" s="144"/>
      <c r="W217" s="91">
        <f t="shared" si="173"/>
        <v>0</v>
      </c>
    </row>
    <row r="218" spans="2:23" x14ac:dyDescent="0.25">
      <c r="B218" s="3" t="s">
        <v>46</v>
      </c>
      <c r="C218" s="34">
        <v>83.15</v>
      </c>
      <c r="D218" s="34"/>
      <c r="E218" s="34">
        <v>35.64</v>
      </c>
      <c r="F218" s="34">
        <v>83.15</v>
      </c>
      <c r="G218" s="34"/>
      <c r="H218" s="34">
        <v>35.630000000000003</v>
      </c>
      <c r="I218" s="34"/>
      <c r="J218" s="34"/>
      <c r="K218" s="34"/>
      <c r="L218" s="34"/>
      <c r="M218" s="34">
        <f t="shared" si="178"/>
        <v>166.3</v>
      </c>
      <c r="N218" s="34">
        <f t="shared" si="179"/>
        <v>71.27000000000001</v>
      </c>
      <c r="O218" s="121">
        <f t="shared" si="180"/>
        <v>0</v>
      </c>
      <c r="P218" s="34">
        <v>0</v>
      </c>
      <c r="Q218" s="34"/>
      <c r="R218" s="34">
        <v>0</v>
      </c>
      <c r="S218" s="143">
        <v>166.3</v>
      </c>
      <c r="T218" s="144">
        <f t="shared" si="177"/>
        <v>166.3</v>
      </c>
      <c r="U218" s="144"/>
      <c r="V218" s="144"/>
      <c r="W218" s="91">
        <f t="shared" si="173"/>
        <v>0</v>
      </c>
    </row>
    <row r="219" spans="2:23" x14ac:dyDescent="0.25">
      <c r="B219" s="3" t="s">
        <v>48</v>
      </c>
      <c r="C219" s="34">
        <v>750.88</v>
      </c>
      <c r="D219" s="34"/>
      <c r="E219" s="34">
        <v>321.81</v>
      </c>
      <c r="F219" s="34">
        <v>1079.3900000000001</v>
      </c>
      <c r="G219" s="34"/>
      <c r="H219" s="34">
        <v>462.6</v>
      </c>
      <c r="I219" s="34"/>
      <c r="J219" s="34"/>
      <c r="K219" s="34"/>
      <c r="L219" s="34"/>
      <c r="M219" s="34">
        <f t="shared" si="178"/>
        <v>1830.27</v>
      </c>
      <c r="N219" s="34">
        <f t="shared" si="179"/>
        <v>784.41000000000008</v>
      </c>
      <c r="O219" s="121">
        <f t="shared" si="180"/>
        <v>0</v>
      </c>
      <c r="P219" s="34">
        <v>0</v>
      </c>
      <c r="Q219" s="34"/>
      <c r="R219" s="34">
        <v>0</v>
      </c>
      <c r="S219" s="143">
        <v>1830.27</v>
      </c>
      <c r="T219" s="144">
        <f t="shared" si="177"/>
        <v>1830.27</v>
      </c>
      <c r="U219" s="144"/>
      <c r="V219" s="144"/>
      <c r="W219" s="91">
        <f t="shared" si="173"/>
        <v>0</v>
      </c>
    </row>
    <row r="220" spans="2:23" x14ac:dyDescent="0.25">
      <c r="B220" s="3" t="s">
        <v>378</v>
      </c>
      <c r="C220" s="34"/>
      <c r="D220" s="34"/>
      <c r="E220" s="34"/>
      <c r="F220" s="34">
        <v>513</v>
      </c>
      <c r="G220" s="34"/>
      <c r="H220" s="34">
        <v>219.86</v>
      </c>
      <c r="I220" s="34"/>
      <c r="J220" s="34"/>
      <c r="K220" s="34"/>
      <c r="L220" s="34"/>
      <c r="M220" s="34">
        <f t="shared" si="178"/>
        <v>513</v>
      </c>
      <c r="N220" s="34">
        <f t="shared" si="179"/>
        <v>219.86</v>
      </c>
      <c r="O220" s="121">
        <f t="shared" si="180"/>
        <v>0</v>
      </c>
      <c r="P220" s="34">
        <v>0</v>
      </c>
      <c r="Q220" s="34"/>
      <c r="R220" s="34">
        <v>0</v>
      </c>
      <c r="S220" s="143">
        <v>513</v>
      </c>
      <c r="T220" s="144">
        <f t="shared" si="177"/>
        <v>513</v>
      </c>
      <c r="U220" s="144"/>
      <c r="V220" s="144"/>
      <c r="W220" s="91">
        <f t="shared" si="173"/>
        <v>0</v>
      </c>
    </row>
    <row r="221" spans="2:23" x14ac:dyDescent="0.25">
      <c r="B221" s="3" t="s">
        <v>379</v>
      </c>
      <c r="C221" s="34">
        <v>411.28</v>
      </c>
      <c r="D221" s="34"/>
      <c r="E221" s="34">
        <v>176.26</v>
      </c>
      <c r="F221" s="34">
        <v>388</v>
      </c>
      <c r="G221" s="34"/>
      <c r="H221" s="34">
        <v>166.29</v>
      </c>
      <c r="I221" s="34"/>
      <c r="J221" s="34"/>
      <c r="K221" s="34"/>
      <c r="L221" s="34"/>
      <c r="M221" s="34">
        <f t="shared" si="178"/>
        <v>799.28</v>
      </c>
      <c r="N221" s="34">
        <f t="shared" si="179"/>
        <v>342.54999999999995</v>
      </c>
      <c r="O221" s="121">
        <f t="shared" si="180"/>
        <v>0</v>
      </c>
      <c r="P221" s="34">
        <v>0</v>
      </c>
      <c r="Q221" s="34"/>
      <c r="R221" s="34">
        <v>0</v>
      </c>
      <c r="S221" s="143">
        <v>799.28</v>
      </c>
      <c r="T221" s="144">
        <f t="shared" si="177"/>
        <v>799.28</v>
      </c>
      <c r="U221" s="144"/>
      <c r="V221" s="144"/>
      <c r="W221" s="91">
        <f t="shared" si="173"/>
        <v>0</v>
      </c>
    </row>
    <row r="222" spans="2:23" x14ac:dyDescent="0.25">
      <c r="B222" s="3" t="s">
        <v>49</v>
      </c>
      <c r="C222" s="34">
        <v>41.85</v>
      </c>
      <c r="D222" s="34"/>
      <c r="E222" s="34">
        <v>17.940000000000001</v>
      </c>
      <c r="F222" s="34"/>
      <c r="G222" s="34"/>
      <c r="H222" s="34"/>
      <c r="I222" s="34"/>
      <c r="J222" s="34"/>
      <c r="K222" s="34"/>
      <c r="L222" s="34"/>
      <c r="M222" s="34">
        <f t="shared" si="178"/>
        <v>41.85</v>
      </c>
      <c r="N222" s="34">
        <f t="shared" si="179"/>
        <v>17.940000000000001</v>
      </c>
      <c r="O222" s="121">
        <f t="shared" si="180"/>
        <v>0</v>
      </c>
      <c r="P222" s="34">
        <v>0</v>
      </c>
      <c r="Q222" s="34"/>
      <c r="R222" s="34">
        <v>0</v>
      </c>
      <c r="S222" s="143">
        <v>41.85</v>
      </c>
      <c r="T222" s="144">
        <f t="shared" si="177"/>
        <v>41.85</v>
      </c>
      <c r="U222" s="144"/>
      <c r="V222" s="144"/>
      <c r="W222" s="91">
        <f t="shared" si="173"/>
        <v>0</v>
      </c>
    </row>
    <row r="223" spans="2:23" x14ac:dyDescent="0.25">
      <c r="B223" s="3" t="s">
        <v>75</v>
      </c>
      <c r="C223" s="34">
        <v>641.52</v>
      </c>
      <c r="D223" s="34"/>
      <c r="E223" s="34">
        <v>274.94</v>
      </c>
      <c r="F223" s="34">
        <v>693</v>
      </c>
      <c r="G223" s="34"/>
      <c r="H223" s="34">
        <v>297</v>
      </c>
      <c r="I223" s="34"/>
      <c r="J223" s="34"/>
      <c r="K223" s="34"/>
      <c r="L223" s="34"/>
      <c r="M223" s="34">
        <f t="shared" si="178"/>
        <v>1334.52</v>
      </c>
      <c r="N223" s="34">
        <f t="shared" si="179"/>
        <v>571.94000000000005</v>
      </c>
      <c r="O223" s="121">
        <f t="shared" si="180"/>
        <v>0</v>
      </c>
      <c r="P223" s="34">
        <v>0</v>
      </c>
      <c r="Q223" s="34"/>
      <c r="R223" s="34">
        <v>0</v>
      </c>
      <c r="S223" s="143">
        <v>1334.52</v>
      </c>
      <c r="T223" s="144">
        <f t="shared" si="177"/>
        <v>1334.52</v>
      </c>
      <c r="U223" s="144"/>
      <c r="V223" s="144"/>
      <c r="W223" s="91">
        <f t="shared" si="173"/>
        <v>0</v>
      </c>
    </row>
    <row r="224" spans="2:23" x14ac:dyDescent="0.25">
      <c r="B224" s="3" t="s">
        <v>50</v>
      </c>
      <c r="C224" s="34">
        <v>96.6</v>
      </c>
      <c r="D224" s="34">
        <v>179.4</v>
      </c>
      <c r="E224" s="34">
        <v>41.4</v>
      </c>
      <c r="F224" s="34">
        <v>138</v>
      </c>
      <c r="G224" s="34">
        <v>248.4</v>
      </c>
      <c r="H224" s="34">
        <v>59.14</v>
      </c>
      <c r="I224" s="34"/>
      <c r="J224" s="34"/>
      <c r="K224" s="34"/>
      <c r="L224" s="34"/>
      <c r="M224" s="34">
        <f t="shared" si="178"/>
        <v>234.6</v>
      </c>
      <c r="N224" s="34">
        <f t="shared" si="179"/>
        <v>100.53999999999999</v>
      </c>
      <c r="O224" s="121">
        <f t="shared" si="180"/>
        <v>427.8</v>
      </c>
      <c r="P224" s="34">
        <v>0</v>
      </c>
      <c r="Q224" s="34"/>
      <c r="R224" s="34">
        <v>0</v>
      </c>
      <c r="S224" s="143">
        <v>662.4</v>
      </c>
      <c r="T224" s="144">
        <f t="shared" si="177"/>
        <v>662.4</v>
      </c>
      <c r="U224" s="144"/>
      <c r="V224" s="144"/>
      <c r="W224" s="91">
        <f t="shared" si="173"/>
        <v>0</v>
      </c>
    </row>
    <row r="225" spans="2:23" x14ac:dyDescent="0.25">
      <c r="B225" s="3" t="s">
        <v>340</v>
      </c>
      <c r="C225" s="34">
        <v>300</v>
      </c>
      <c r="D225" s="34"/>
      <c r="E225" s="34">
        <v>128.57</v>
      </c>
      <c r="F225" s="34">
        <v>240</v>
      </c>
      <c r="G225" s="34"/>
      <c r="H225" s="34">
        <v>102.86</v>
      </c>
      <c r="I225" s="34"/>
      <c r="J225" s="34"/>
      <c r="K225" s="34"/>
      <c r="L225" s="34"/>
      <c r="M225" s="34">
        <f>C225+F225+I225</f>
        <v>540</v>
      </c>
      <c r="N225" s="34">
        <f>E225+H225+K225</f>
        <v>231.43</v>
      </c>
      <c r="O225" s="121">
        <f>D225+G225+J225</f>
        <v>0</v>
      </c>
      <c r="P225" s="34">
        <v>0</v>
      </c>
      <c r="Q225" s="34"/>
      <c r="R225" s="34">
        <v>0</v>
      </c>
      <c r="S225" s="143">
        <v>540</v>
      </c>
      <c r="T225" s="144">
        <f>M225+O225</f>
        <v>540</v>
      </c>
      <c r="U225" s="144"/>
      <c r="V225" s="144"/>
      <c r="W225" s="91">
        <f t="shared" si="173"/>
        <v>0</v>
      </c>
    </row>
    <row r="226" spans="2:23" x14ac:dyDescent="0.25">
      <c r="B226" s="3" t="s">
        <v>232</v>
      </c>
      <c r="C226" s="34">
        <v>159.19999999999999</v>
      </c>
      <c r="D226" s="34"/>
      <c r="E226" s="34">
        <v>68.23</v>
      </c>
      <c r="F226" s="34">
        <v>242.4</v>
      </c>
      <c r="G226" s="34"/>
      <c r="H226" s="34">
        <v>103.89</v>
      </c>
      <c r="I226" s="34"/>
      <c r="J226" s="34"/>
      <c r="K226" s="34"/>
      <c r="L226" s="34"/>
      <c r="M226" s="34">
        <f t="shared" ref="M226:M235" si="181">C226+F226+I226</f>
        <v>401.6</v>
      </c>
      <c r="N226" s="34">
        <f t="shared" ref="N226:N235" si="182">E226+H226+K226</f>
        <v>172.12</v>
      </c>
      <c r="O226" s="121">
        <f t="shared" ref="O226:O228" si="183">D226+G226+J226</f>
        <v>0</v>
      </c>
      <c r="P226" s="34">
        <v>0</v>
      </c>
      <c r="Q226" s="34"/>
      <c r="R226" s="34">
        <v>0</v>
      </c>
      <c r="S226" s="143">
        <v>401.6</v>
      </c>
      <c r="T226" s="144">
        <f t="shared" ref="T226:T235" si="184">M226+O226</f>
        <v>401.6</v>
      </c>
      <c r="U226" s="144"/>
      <c r="V226" s="144"/>
      <c r="W226" s="91">
        <f t="shared" si="173"/>
        <v>0</v>
      </c>
    </row>
    <row r="227" spans="2:23" x14ac:dyDescent="0.25">
      <c r="B227" s="3" t="s">
        <v>344</v>
      </c>
      <c r="C227" s="34"/>
      <c r="D227" s="34"/>
      <c r="E227" s="34"/>
      <c r="F227" s="34"/>
      <c r="G227" s="34"/>
      <c r="H227" s="34"/>
      <c r="I227" s="34"/>
      <c r="J227" s="34">
        <f>N246</f>
        <v>332.59999999999997</v>
      </c>
      <c r="K227" s="34"/>
      <c r="L227" s="34"/>
      <c r="M227" s="157">
        <f t="shared" si="181"/>
        <v>0</v>
      </c>
      <c r="N227" s="34">
        <f t="shared" si="182"/>
        <v>0</v>
      </c>
      <c r="O227" s="121">
        <f t="shared" si="183"/>
        <v>332.59999999999997</v>
      </c>
      <c r="P227" s="157">
        <v>0</v>
      </c>
      <c r="Q227" s="157"/>
      <c r="R227" s="157"/>
      <c r="S227" s="143">
        <v>332.82</v>
      </c>
      <c r="T227" s="144">
        <f t="shared" si="184"/>
        <v>332.59999999999997</v>
      </c>
      <c r="U227" s="144"/>
      <c r="V227" s="144"/>
      <c r="W227" s="91">
        <f t="shared" si="173"/>
        <v>0.22000000000002728</v>
      </c>
    </row>
    <row r="228" spans="2:23" x14ac:dyDescent="0.25">
      <c r="B228" s="3" t="s">
        <v>51</v>
      </c>
      <c r="C228" s="34">
        <v>2251.9</v>
      </c>
      <c r="D228" s="34"/>
      <c r="E228" s="34">
        <v>965.1</v>
      </c>
      <c r="F228" s="34">
        <v>2360.37</v>
      </c>
      <c r="G228" s="34"/>
      <c r="H228" s="34">
        <v>1011.59</v>
      </c>
      <c r="I228" s="34"/>
      <c r="J228" s="34"/>
      <c r="K228" s="34"/>
      <c r="L228" s="34"/>
      <c r="M228" s="34">
        <f t="shared" si="181"/>
        <v>4612.2700000000004</v>
      </c>
      <c r="N228" s="34">
        <f t="shared" si="182"/>
        <v>1976.69</v>
      </c>
      <c r="O228" s="121">
        <f t="shared" si="183"/>
        <v>0</v>
      </c>
      <c r="P228" s="34">
        <v>0</v>
      </c>
      <c r="Q228" s="34"/>
      <c r="R228" s="34">
        <v>0</v>
      </c>
      <c r="S228" s="143">
        <v>4612.2700000000004</v>
      </c>
      <c r="T228" s="144">
        <f t="shared" si="184"/>
        <v>4612.2700000000004</v>
      </c>
      <c r="U228" s="144"/>
      <c r="V228" s="144"/>
      <c r="W228" s="91">
        <f t="shared" si="173"/>
        <v>0</v>
      </c>
    </row>
    <row r="229" spans="2:23" x14ac:dyDescent="0.25">
      <c r="B229" s="3" t="s">
        <v>269</v>
      </c>
      <c r="C229" s="34">
        <v>229.6</v>
      </c>
      <c r="D229" s="34"/>
      <c r="E229" s="34">
        <v>98.4</v>
      </c>
      <c r="F229" s="34">
        <v>275.52</v>
      </c>
      <c r="G229" s="34"/>
      <c r="H229" s="34">
        <v>118.08</v>
      </c>
      <c r="I229" s="34"/>
      <c r="J229" s="34"/>
      <c r="K229" s="34"/>
      <c r="L229" s="34"/>
      <c r="M229" s="34">
        <f t="shared" si="181"/>
        <v>505.12</v>
      </c>
      <c r="N229" s="34">
        <f t="shared" si="182"/>
        <v>216.48000000000002</v>
      </c>
      <c r="O229" s="121"/>
      <c r="P229" s="34">
        <v>0</v>
      </c>
      <c r="Q229" s="34"/>
      <c r="R229" s="34">
        <v>0</v>
      </c>
      <c r="S229" s="143">
        <v>505.12</v>
      </c>
      <c r="T229" s="144">
        <f t="shared" si="184"/>
        <v>505.12</v>
      </c>
      <c r="U229" s="144"/>
      <c r="V229" s="144"/>
      <c r="W229" s="91">
        <f t="shared" si="173"/>
        <v>0</v>
      </c>
    </row>
    <row r="230" spans="2:23" x14ac:dyDescent="0.25">
      <c r="B230" s="3" t="s">
        <v>52</v>
      </c>
      <c r="C230" s="34">
        <v>1634.47</v>
      </c>
      <c r="D230" s="34"/>
      <c r="E230" s="34">
        <v>700.49</v>
      </c>
      <c r="F230" s="34">
        <v>1634.47</v>
      </c>
      <c r="G230" s="34"/>
      <c r="H230" s="34">
        <v>700.49</v>
      </c>
      <c r="I230" s="34"/>
      <c r="J230" s="34"/>
      <c r="K230" s="34"/>
      <c r="L230" s="34"/>
      <c r="M230" s="34">
        <f t="shared" si="181"/>
        <v>3268.94</v>
      </c>
      <c r="N230" s="34">
        <f t="shared" si="182"/>
        <v>1400.98</v>
      </c>
      <c r="O230" s="121">
        <f t="shared" ref="O230:O235" si="185">D230+G230+J230</f>
        <v>0</v>
      </c>
      <c r="P230" s="34">
        <v>0</v>
      </c>
      <c r="Q230" s="34"/>
      <c r="R230" s="34">
        <v>0</v>
      </c>
      <c r="S230" s="143">
        <v>3268.94</v>
      </c>
      <c r="T230" s="144">
        <f t="shared" si="184"/>
        <v>3268.94</v>
      </c>
      <c r="U230" s="144"/>
      <c r="V230" s="144"/>
      <c r="W230" s="91">
        <f t="shared" si="173"/>
        <v>0</v>
      </c>
    </row>
    <row r="231" spans="2:23" x14ac:dyDescent="0.25">
      <c r="B231" s="3" t="s">
        <v>76</v>
      </c>
      <c r="C231" s="34"/>
      <c r="D231" s="34">
        <v>29.36</v>
      </c>
      <c r="E231" s="34"/>
      <c r="F231" s="34"/>
      <c r="G231" s="34">
        <v>29.36</v>
      </c>
      <c r="H231" s="34"/>
      <c r="I231" s="34"/>
      <c r="J231" s="34"/>
      <c r="K231" s="34"/>
      <c r="L231" s="34"/>
      <c r="M231" s="34">
        <f t="shared" si="181"/>
        <v>0</v>
      </c>
      <c r="N231" s="34">
        <f t="shared" si="182"/>
        <v>0</v>
      </c>
      <c r="O231" s="121">
        <f t="shared" si="185"/>
        <v>58.72</v>
      </c>
      <c r="P231" s="34">
        <v>0</v>
      </c>
      <c r="Q231" s="34"/>
      <c r="R231" s="34">
        <v>0</v>
      </c>
      <c r="S231" s="143">
        <v>58.72</v>
      </c>
      <c r="T231" s="144">
        <f t="shared" si="184"/>
        <v>58.72</v>
      </c>
      <c r="U231" s="144"/>
      <c r="V231" s="144"/>
      <c r="W231" s="91">
        <f t="shared" si="173"/>
        <v>0</v>
      </c>
    </row>
    <row r="232" spans="2:23" x14ac:dyDescent="0.25">
      <c r="B232" s="3" t="s">
        <v>53</v>
      </c>
      <c r="C232" s="34">
        <v>1767.93</v>
      </c>
      <c r="D232" s="34"/>
      <c r="E232" s="34">
        <v>757.68</v>
      </c>
      <c r="F232" s="34">
        <v>1786.94</v>
      </c>
      <c r="G232" s="34"/>
      <c r="H232" s="34">
        <v>765.83</v>
      </c>
      <c r="I232" s="34"/>
      <c r="J232" s="34"/>
      <c r="K232" s="34"/>
      <c r="L232" s="34"/>
      <c r="M232" s="34">
        <f t="shared" si="181"/>
        <v>3554.87</v>
      </c>
      <c r="N232" s="34">
        <f t="shared" si="182"/>
        <v>1523.51</v>
      </c>
      <c r="O232" s="121">
        <f t="shared" si="185"/>
        <v>0</v>
      </c>
      <c r="P232" s="34">
        <v>0</v>
      </c>
      <c r="Q232" s="34"/>
      <c r="R232" s="34">
        <v>0</v>
      </c>
      <c r="S232" s="143">
        <v>3554.87</v>
      </c>
      <c r="T232" s="144">
        <f t="shared" si="184"/>
        <v>3554.87</v>
      </c>
      <c r="U232" s="144"/>
      <c r="V232" s="144"/>
      <c r="W232" s="91">
        <f t="shared" si="173"/>
        <v>0</v>
      </c>
    </row>
    <row r="233" spans="2:23" x14ac:dyDescent="0.25">
      <c r="B233" s="3" t="s">
        <v>229</v>
      </c>
      <c r="C233" s="34">
        <v>385.17</v>
      </c>
      <c r="D233" s="34"/>
      <c r="E233" s="34">
        <v>165.07</v>
      </c>
      <c r="F233" s="34">
        <v>315.77</v>
      </c>
      <c r="G233" s="34"/>
      <c r="H233" s="34">
        <v>135.33000000000001</v>
      </c>
      <c r="I233" s="34"/>
      <c r="J233" s="34"/>
      <c r="K233" s="34"/>
      <c r="L233" s="34"/>
      <c r="M233" s="34">
        <f t="shared" si="181"/>
        <v>700.94</v>
      </c>
      <c r="N233" s="34">
        <f t="shared" si="182"/>
        <v>300.39999999999998</v>
      </c>
      <c r="O233" s="121">
        <f t="shared" si="185"/>
        <v>0</v>
      </c>
      <c r="P233" s="34">
        <v>0</v>
      </c>
      <c r="Q233" s="34"/>
      <c r="R233" s="34">
        <v>0</v>
      </c>
      <c r="S233" s="143">
        <v>700.94</v>
      </c>
      <c r="T233" s="144">
        <f t="shared" si="184"/>
        <v>700.94</v>
      </c>
      <c r="U233" s="144"/>
      <c r="V233" s="144"/>
      <c r="W233" s="91">
        <f t="shared" si="173"/>
        <v>0</v>
      </c>
    </row>
    <row r="234" spans="2:23" x14ac:dyDescent="0.25">
      <c r="B234" s="3" t="s">
        <v>55</v>
      </c>
      <c r="C234" s="34">
        <v>672.15</v>
      </c>
      <c r="D234" s="34"/>
      <c r="E234" s="34">
        <v>288.06</v>
      </c>
      <c r="F234" s="34">
        <v>437.13</v>
      </c>
      <c r="G234" s="34"/>
      <c r="H234" s="34">
        <v>187.34</v>
      </c>
      <c r="I234" s="34"/>
      <c r="J234" s="34"/>
      <c r="K234" s="34"/>
      <c r="L234" s="34"/>
      <c r="M234" s="34">
        <f t="shared" si="181"/>
        <v>1109.28</v>
      </c>
      <c r="N234" s="34">
        <f t="shared" si="182"/>
        <v>475.4</v>
      </c>
      <c r="O234" s="121">
        <f t="shared" si="185"/>
        <v>0</v>
      </c>
      <c r="P234" s="34">
        <v>0</v>
      </c>
      <c r="Q234" s="34"/>
      <c r="R234" s="34">
        <v>0</v>
      </c>
      <c r="S234" s="143">
        <v>1109.28</v>
      </c>
      <c r="T234" s="144">
        <f t="shared" si="184"/>
        <v>1109.28</v>
      </c>
      <c r="U234" s="144"/>
      <c r="V234" s="144"/>
      <c r="W234" s="91">
        <f t="shared" si="173"/>
        <v>0</v>
      </c>
    </row>
    <row r="235" spans="2:23" x14ac:dyDescent="0.25">
      <c r="B235" s="3" t="s">
        <v>54</v>
      </c>
      <c r="C235" s="34">
        <v>881.28</v>
      </c>
      <c r="D235" s="34"/>
      <c r="E235" s="34">
        <v>377.69</v>
      </c>
      <c r="F235" s="34">
        <v>538.55999999999995</v>
      </c>
      <c r="G235" s="34"/>
      <c r="H235" s="34">
        <v>230.81</v>
      </c>
      <c r="I235" s="34"/>
      <c r="J235" s="34"/>
      <c r="K235" s="34"/>
      <c r="L235" s="34"/>
      <c r="M235" s="34">
        <f t="shared" si="181"/>
        <v>1419.84</v>
      </c>
      <c r="N235" s="34">
        <f t="shared" si="182"/>
        <v>608.5</v>
      </c>
      <c r="O235" s="121">
        <f t="shared" si="185"/>
        <v>0</v>
      </c>
      <c r="P235" s="34">
        <v>0</v>
      </c>
      <c r="Q235" s="34"/>
      <c r="R235" s="34">
        <v>0</v>
      </c>
      <c r="S235" s="143">
        <v>1419.84</v>
      </c>
      <c r="T235" s="144">
        <f t="shared" si="184"/>
        <v>1419.84</v>
      </c>
      <c r="U235" s="144"/>
      <c r="V235" s="144"/>
      <c r="W235" s="91">
        <f t="shared" si="173"/>
        <v>0</v>
      </c>
    </row>
    <row r="236" spans="2:23" x14ac:dyDescent="0.25">
      <c r="B236" s="3"/>
      <c r="C236" s="57">
        <f t="shared" ref="C236:K236" si="186">SUM(C212:C235)</f>
        <v>21075.63</v>
      </c>
      <c r="D236" s="57">
        <f t="shared" si="186"/>
        <v>705.58</v>
      </c>
      <c r="E236" s="57">
        <f t="shared" si="186"/>
        <v>9032.4199999999983</v>
      </c>
      <c r="F236" s="57">
        <f t="shared" si="186"/>
        <v>19064.810000000001</v>
      </c>
      <c r="G236" s="57">
        <f t="shared" si="186"/>
        <v>828.59999999999991</v>
      </c>
      <c r="H236" s="57">
        <f t="shared" si="186"/>
        <v>8170.64</v>
      </c>
      <c r="I236" s="57">
        <f t="shared" si="186"/>
        <v>0</v>
      </c>
      <c r="J236" s="57">
        <f t="shared" si="186"/>
        <v>332.59999999999997</v>
      </c>
      <c r="K236" s="57">
        <f t="shared" si="186"/>
        <v>0</v>
      </c>
      <c r="L236" s="57"/>
      <c r="M236" s="57">
        <f>SUM(M212:M235)</f>
        <v>40140.439999999995</v>
      </c>
      <c r="N236" s="57">
        <f>SUM(N212:N235)</f>
        <v>17203.060000000001</v>
      </c>
      <c r="O236" s="69">
        <f>SUM(O212:O235)</f>
        <v>1866.7799999999997</v>
      </c>
      <c r="P236" s="57">
        <f>SUM(P212:P235)</f>
        <v>0</v>
      </c>
      <c r="Q236" s="57"/>
      <c r="R236" s="57">
        <f>SUM(R212:R235)</f>
        <v>0</v>
      </c>
      <c r="S236" s="147">
        <f>SUM(S211:S235)</f>
        <v>42006.44</v>
      </c>
      <c r="T236" s="147">
        <f>SUM(T211:T235)</f>
        <v>42007.22</v>
      </c>
      <c r="U236" s="147"/>
      <c r="V236" s="147"/>
    </row>
    <row r="237" spans="2:23" x14ac:dyDescent="0.25">
      <c r="B237" s="3"/>
      <c r="C237" s="3"/>
      <c r="D237" s="3"/>
      <c r="E237" s="3"/>
      <c r="F237" s="3"/>
      <c r="G237" s="3"/>
      <c r="H237" s="3"/>
      <c r="I237" s="3"/>
      <c r="J237" s="3"/>
      <c r="K237" s="3"/>
      <c r="L237" s="8" t="s">
        <v>167</v>
      </c>
      <c r="M237" s="8"/>
      <c r="N237" s="8"/>
      <c r="O237" s="122">
        <f>M236+O236</f>
        <v>42007.219999999994</v>
      </c>
      <c r="P237" s="34"/>
      <c r="Q237" s="34"/>
      <c r="R237" s="34"/>
    </row>
    <row r="238" spans="2:23" x14ac:dyDescent="0.25">
      <c r="C238" s="149" t="s">
        <v>100</v>
      </c>
      <c r="D238" s="149" t="s">
        <v>104</v>
      </c>
      <c r="E238" s="149" t="s">
        <v>101</v>
      </c>
      <c r="F238" s="149" t="s">
        <v>100</v>
      </c>
      <c r="G238" s="149" t="s">
        <v>104</v>
      </c>
      <c r="H238" s="149" t="s">
        <v>101</v>
      </c>
      <c r="I238" s="149" t="s">
        <v>100</v>
      </c>
      <c r="J238" s="149" t="s">
        <v>104</v>
      </c>
      <c r="K238" s="149" t="s">
        <v>101</v>
      </c>
      <c r="L238" s="37"/>
      <c r="M238" s="149" t="s">
        <v>105</v>
      </c>
      <c r="N238" s="149" t="s">
        <v>102</v>
      </c>
      <c r="O238" s="150" t="s">
        <v>103</v>
      </c>
      <c r="P238" s="151" t="s">
        <v>267</v>
      </c>
      <c r="Q238" s="151"/>
      <c r="R238" s="151" t="s">
        <v>267</v>
      </c>
      <c r="S238" s="124" t="s">
        <v>270</v>
      </c>
      <c r="T238" s="124" t="s">
        <v>93</v>
      </c>
      <c r="U238" s="90"/>
      <c r="V238" s="90"/>
    </row>
    <row r="239" spans="2:23" x14ac:dyDescent="0.25">
      <c r="B239" s="3" t="s">
        <v>311</v>
      </c>
      <c r="C239" s="3"/>
      <c r="D239" s="3">
        <v>0</v>
      </c>
      <c r="E239" s="3"/>
      <c r="F239" s="3"/>
      <c r="G239" s="3"/>
      <c r="H239" s="3"/>
      <c r="I239" s="3"/>
      <c r="J239" s="3"/>
      <c r="K239" s="3"/>
      <c r="L239" s="3"/>
      <c r="M239" s="34">
        <f>C239+F239+I239</f>
        <v>0</v>
      </c>
      <c r="N239" s="34">
        <f>E239+H239+K239</f>
        <v>0</v>
      </c>
      <c r="O239" s="34">
        <f>D239+G239+J239</f>
        <v>0</v>
      </c>
      <c r="P239" s="34">
        <v>0</v>
      </c>
      <c r="Q239" s="34"/>
      <c r="R239" s="34">
        <v>0</v>
      </c>
      <c r="S239" s="3">
        <v>0</v>
      </c>
      <c r="T239" s="152">
        <f>M239+O239</f>
        <v>0</v>
      </c>
      <c r="U239" s="171"/>
      <c r="V239" s="171"/>
    </row>
    <row r="240" spans="2:23" x14ac:dyDescent="0.25">
      <c r="B240" s="3"/>
      <c r="C240" s="3"/>
      <c r="D240" s="3"/>
      <c r="E240" s="3" t="s">
        <v>368</v>
      </c>
      <c r="F240" s="3"/>
      <c r="G240" s="3"/>
      <c r="H240" s="3"/>
      <c r="I240" s="3"/>
      <c r="J240" s="3"/>
      <c r="K240" s="3"/>
      <c r="L240" s="3"/>
      <c r="M240" s="3"/>
      <c r="N240" s="3"/>
      <c r="O240" s="3"/>
      <c r="P240" s="3"/>
      <c r="Q240" s="3"/>
      <c r="R240" s="3"/>
      <c r="S240" s="3"/>
      <c r="T240" s="3"/>
      <c r="U240" s="20"/>
      <c r="V240" s="20"/>
    </row>
    <row r="241" spans="2:22" x14ac:dyDescent="0.25">
      <c r="B241" t="s">
        <v>367</v>
      </c>
      <c r="C241" s="162">
        <v>42355</v>
      </c>
      <c r="D241" s="42">
        <v>60</v>
      </c>
      <c r="E241" s="42">
        <v>58.37</v>
      </c>
      <c r="I241" s="164" t="s">
        <v>383</v>
      </c>
      <c r="J241" s="164" t="s">
        <v>384</v>
      </c>
      <c r="K241" s="164" t="s">
        <v>385</v>
      </c>
      <c r="L241" s="164" t="s">
        <v>368</v>
      </c>
      <c r="M241" s="3"/>
      <c r="N241" s="164" t="s">
        <v>386</v>
      </c>
      <c r="O241" s="164" t="s">
        <v>387</v>
      </c>
      <c r="P241" s="164" t="s">
        <v>388</v>
      </c>
      <c r="Q241" s="169"/>
    </row>
    <row r="242" spans="2:22" x14ac:dyDescent="0.25">
      <c r="C242" s="162">
        <v>42446</v>
      </c>
      <c r="D242" s="42">
        <v>60</v>
      </c>
      <c r="E242" s="42">
        <v>59.08</v>
      </c>
      <c r="G242" s="163" t="s">
        <v>367</v>
      </c>
      <c r="I242" s="165">
        <v>60</v>
      </c>
      <c r="J242" s="135">
        <v>18</v>
      </c>
      <c r="K242" s="135">
        <f>I242-J242</f>
        <v>42</v>
      </c>
      <c r="L242" s="135">
        <v>58.37</v>
      </c>
      <c r="M242" s="157">
        <f>K242/L242</f>
        <v>0.71954771286619845</v>
      </c>
      <c r="N242" s="157">
        <f>I242/M242</f>
        <v>83.385714285714272</v>
      </c>
      <c r="O242" s="157">
        <f>J242/M242</f>
        <v>25.015714285714285</v>
      </c>
      <c r="P242" s="135">
        <f>K242/M242</f>
        <v>58.37</v>
      </c>
      <c r="Q242" s="170"/>
    </row>
    <row r="243" spans="2:22" x14ac:dyDescent="0.25">
      <c r="C243" s="162">
        <v>42537</v>
      </c>
      <c r="D243" s="42">
        <v>60</v>
      </c>
      <c r="E243" s="42">
        <v>58.12</v>
      </c>
      <c r="I243" s="135">
        <v>60</v>
      </c>
      <c r="J243" s="135">
        <v>18</v>
      </c>
      <c r="K243" s="135">
        <f t="shared" ref="K243:K245" si="187">I243-J243</f>
        <v>42</v>
      </c>
      <c r="L243" s="135">
        <v>59.08</v>
      </c>
      <c r="M243" s="157">
        <f t="shared" ref="M243:M245" si="188">K243/L243</f>
        <v>0.7109004739336493</v>
      </c>
      <c r="N243" s="157">
        <f t="shared" ref="N243:N245" si="189">I243/M243</f>
        <v>84.399999999999991</v>
      </c>
      <c r="O243" s="157">
        <f t="shared" ref="O243:O245" si="190">J243/M243</f>
        <v>25.32</v>
      </c>
      <c r="P243" s="135">
        <f t="shared" ref="P243:P245" si="191">K243/M243</f>
        <v>59.08</v>
      </c>
      <c r="Q243" s="170"/>
    </row>
    <row r="244" spans="2:22" x14ac:dyDescent="0.25">
      <c r="C244" s="162">
        <v>42264</v>
      </c>
      <c r="D244" s="42">
        <v>60</v>
      </c>
      <c r="E244" s="42">
        <v>57.25</v>
      </c>
      <c r="I244" s="135">
        <v>60</v>
      </c>
      <c r="J244" s="135">
        <v>18</v>
      </c>
      <c r="K244" s="135">
        <f t="shared" si="187"/>
        <v>42</v>
      </c>
      <c r="L244" s="135">
        <v>58.12</v>
      </c>
      <c r="M244" s="157">
        <f t="shared" si="188"/>
        <v>0.72264280798348246</v>
      </c>
      <c r="N244" s="157">
        <f t="shared" si="189"/>
        <v>83.028571428571425</v>
      </c>
      <c r="O244" s="157">
        <f t="shared" si="190"/>
        <v>24.908571428571427</v>
      </c>
      <c r="P244" s="135">
        <f t="shared" si="191"/>
        <v>58.12</v>
      </c>
      <c r="Q244" s="170"/>
    </row>
    <row r="245" spans="2:22" x14ac:dyDescent="0.25">
      <c r="C245" s="42"/>
      <c r="D245" s="42"/>
      <c r="E245" s="42">
        <f>SUM(E241:E244)</f>
        <v>232.82</v>
      </c>
      <c r="I245" s="135">
        <v>60</v>
      </c>
      <c r="J245" s="135">
        <v>18</v>
      </c>
      <c r="K245" s="135">
        <f t="shared" si="187"/>
        <v>42</v>
      </c>
      <c r="L245" s="135">
        <v>57.25</v>
      </c>
      <c r="M245" s="157">
        <f t="shared" si="188"/>
        <v>0.73362445414847166</v>
      </c>
      <c r="N245" s="157">
        <f t="shared" si="189"/>
        <v>81.785714285714278</v>
      </c>
      <c r="O245" s="157">
        <f t="shared" si="190"/>
        <v>24.535714285714285</v>
      </c>
      <c r="P245" s="135">
        <f t="shared" si="191"/>
        <v>57.25</v>
      </c>
      <c r="Q245" s="170"/>
    </row>
    <row r="246" spans="2:22" x14ac:dyDescent="0.25">
      <c r="I246" s="135"/>
      <c r="J246" s="135"/>
      <c r="K246" s="135"/>
      <c r="L246" s="135"/>
      <c r="M246" s="135"/>
      <c r="N246" s="135">
        <f>SUM(N242:N245)</f>
        <v>332.59999999999997</v>
      </c>
      <c r="O246" s="135">
        <f>SUM(O242:O245)</f>
        <v>99.78</v>
      </c>
      <c r="P246" s="135">
        <f>SUM(P242:P245)</f>
        <v>232.82</v>
      </c>
      <c r="Q246" s="170"/>
    </row>
    <row r="247" spans="2:22" x14ac:dyDescent="0.25">
      <c r="B247" t="s">
        <v>366</v>
      </c>
    </row>
    <row r="248" spans="2:22" x14ac:dyDescent="0.25">
      <c r="B248" s="3" t="s">
        <v>42</v>
      </c>
      <c r="C248" s="4" t="s">
        <v>98</v>
      </c>
      <c r="D248" s="4"/>
      <c r="E248" s="4"/>
      <c r="F248" s="4" t="s">
        <v>99</v>
      </c>
      <c r="G248" s="4"/>
      <c r="H248" s="4"/>
      <c r="I248" s="4" t="s">
        <v>342</v>
      </c>
      <c r="J248" s="4"/>
      <c r="K248" s="4"/>
      <c r="L248" s="4"/>
      <c r="M248" s="4" t="s">
        <v>93</v>
      </c>
      <c r="N248" s="3" t="s">
        <v>93</v>
      </c>
      <c r="O248" s="119"/>
      <c r="P248" s="34"/>
      <c r="Q248" s="34"/>
      <c r="R248" s="34" t="s">
        <v>345</v>
      </c>
    </row>
    <row r="249" spans="2:22" x14ac:dyDescent="0.25">
      <c r="B249" s="3"/>
      <c r="C249" s="54" t="s">
        <v>100</v>
      </c>
      <c r="D249" s="54" t="s">
        <v>104</v>
      </c>
      <c r="E249" s="54" t="s">
        <v>101</v>
      </c>
      <c r="F249" s="54" t="s">
        <v>100</v>
      </c>
      <c r="G249" s="54" t="s">
        <v>104</v>
      </c>
      <c r="H249" s="54" t="s">
        <v>101</v>
      </c>
      <c r="I249" s="54" t="s">
        <v>100</v>
      </c>
      <c r="J249" s="54" t="s">
        <v>104</v>
      </c>
      <c r="K249" s="54" t="s">
        <v>101</v>
      </c>
      <c r="L249" s="32" t="s">
        <v>104</v>
      </c>
      <c r="M249" s="54" t="s">
        <v>105</v>
      </c>
      <c r="N249" s="54" t="s">
        <v>102</v>
      </c>
      <c r="O249" s="120" t="s">
        <v>103</v>
      </c>
      <c r="P249" s="123" t="s">
        <v>267</v>
      </c>
      <c r="Q249" s="123"/>
      <c r="R249" s="123" t="s">
        <v>346</v>
      </c>
      <c r="S249" s="124" t="s">
        <v>270</v>
      </c>
      <c r="T249" s="124" t="s">
        <v>93</v>
      </c>
      <c r="U249" s="90"/>
      <c r="V249" s="90"/>
    </row>
    <row r="250" spans="2:22" x14ac:dyDescent="0.25">
      <c r="B250" s="3"/>
      <c r="C250" s="54"/>
      <c r="D250" s="54"/>
      <c r="E250" s="54"/>
      <c r="F250" s="54"/>
      <c r="G250" s="54"/>
      <c r="H250" s="54"/>
      <c r="I250" s="54"/>
      <c r="J250" s="54"/>
      <c r="K250" s="54"/>
      <c r="L250" s="3"/>
      <c r="M250" s="34">
        <f>C250+F250+I250</f>
        <v>0</v>
      </c>
      <c r="N250" s="34">
        <f>E250+H250+K250</f>
        <v>0</v>
      </c>
      <c r="O250" s="121">
        <f>D250+G250+J250</f>
        <v>0</v>
      </c>
      <c r="P250" s="34">
        <v>0</v>
      </c>
      <c r="Q250" s="34"/>
      <c r="R250" s="34">
        <v>0</v>
      </c>
      <c r="S250" s="145"/>
      <c r="T250" s="144">
        <f>M250+O250</f>
        <v>0</v>
      </c>
      <c r="U250" s="144"/>
      <c r="V250" s="144"/>
    </row>
    <row r="251" spans="2:22" x14ac:dyDescent="0.25">
      <c r="B251" s="3" t="s">
        <v>43</v>
      </c>
      <c r="C251" s="34">
        <v>2058.8000000000002</v>
      </c>
      <c r="D251" s="34"/>
      <c r="E251" s="34">
        <v>882.34</v>
      </c>
      <c r="F251" s="34">
        <v>2513.62</v>
      </c>
      <c r="G251" s="34"/>
      <c r="H251" s="34">
        <v>1077.27</v>
      </c>
      <c r="I251" s="34"/>
      <c r="J251" s="34"/>
      <c r="K251" s="34"/>
      <c r="L251" s="34"/>
      <c r="M251" s="34">
        <f>C251+F251+I251</f>
        <v>4572.42</v>
      </c>
      <c r="N251" s="34">
        <f>E251+H251+K251</f>
        <v>1959.6100000000001</v>
      </c>
      <c r="O251" s="121">
        <f>D251+G251+J251</f>
        <v>0</v>
      </c>
      <c r="P251" s="34">
        <v>0</v>
      </c>
      <c r="Q251" s="34"/>
      <c r="R251" s="34">
        <v>0</v>
      </c>
      <c r="S251" s="143">
        <v>4572.42</v>
      </c>
      <c r="T251" s="144">
        <f>M251+O251</f>
        <v>4572.42</v>
      </c>
      <c r="U251" s="144"/>
      <c r="V251" s="144"/>
    </row>
    <row r="252" spans="2:22" x14ac:dyDescent="0.25">
      <c r="B252" s="3" t="s">
        <v>341</v>
      </c>
      <c r="C252" s="34">
        <v>275.39999999999998</v>
      </c>
      <c r="D252" s="34"/>
      <c r="E252" s="34">
        <v>118.03</v>
      </c>
      <c r="F252" s="34">
        <v>291.60000000000002</v>
      </c>
      <c r="G252" s="34"/>
      <c r="H252" s="34">
        <v>124.97</v>
      </c>
      <c r="I252" s="34"/>
      <c r="J252" s="34"/>
      <c r="K252" s="34"/>
      <c r="L252" s="34"/>
      <c r="M252" s="34">
        <f>C252+F252+I252</f>
        <v>567</v>
      </c>
      <c r="N252" s="34">
        <f>E252+H252+K252</f>
        <v>243</v>
      </c>
      <c r="O252" s="121">
        <f>D252+G252+J252</f>
        <v>0</v>
      </c>
      <c r="P252" s="34">
        <v>0</v>
      </c>
      <c r="Q252" s="34"/>
      <c r="R252" s="34">
        <v>0</v>
      </c>
      <c r="S252" s="143">
        <v>567</v>
      </c>
      <c r="T252" s="144">
        <f>M252+O252</f>
        <v>567</v>
      </c>
      <c r="U252" s="144"/>
      <c r="V252" s="144"/>
    </row>
    <row r="253" spans="2:22" x14ac:dyDescent="0.25">
      <c r="B253" s="3" t="s">
        <v>60</v>
      </c>
      <c r="C253" s="34">
        <v>7063.2</v>
      </c>
      <c r="D253" s="34"/>
      <c r="E253" s="34">
        <v>3027.09</v>
      </c>
      <c r="F253" s="34">
        <v>6415.2</v>
      </c>
      <c r="G253" s="34"/>
      <c r="H253" s="34">
        <v>2749.37</v>
      </c>
      <c r="I253" s="34"/>
      <c r="J253" s="34"/>
      <c r="K253" s="34"/>
      <c r="L253" s="34"/>
      <c r="M253" s="34">
        <f t="shared" ref="M253:M272" si="192">C253+F253+I253</f>
        <v>13478.4</v>
      </c>
      <c r="N253" s="34">
        <f t="shared" ref="N253:N272" si="193">E253+H253+K253</f>
        <v>5776.46</v>
      </c>
      <c r="O253" s="121">
        <f t="shared" ref="O253:O265" si="194">D253+G253+J253</f>
        <v>0</v>
      </c>
      <c r="P253" s="34">
        <v>0</v>
      </c>
      <c r="Q253" s="34"/>
      <c r="R253" s="34">
        <v>0</v>
      </c>
      <c r="S253" s="143">
        <v>13478.4</v>
      </c>
      <c r="T253" s="144">
        <f t="shared" ref="T253:T272" si="195">M253+O253</f>
        <v>13478.4</v>
      </c>
      <c r="U253" s="144"/>
      <c r="V253" s="144"/>
    </row>
    <row r="254" spans="2:22" x14ac:dyDescent="0.25">
      <c r="B254" s="3" t="s">
        <v>45</v>
      </c>
      <c r="C254" s="34">
        <v>447.3</v>
      </c>
      <c r="D254" s="34">
        <v>149.1</v>
      </c>
      <c r="E254" s="34">
        <v>191.7</v>
      </c>
      <c r="F254" s="34">
        <v>502.92</v>
      </c>
      <c r="G254" s="34">
        <v>167.64</v>
      </c>
      <c r="H254" s="34">
        <v>215.54</v>
      </c>
      <c r="I254" s="34"/>
      <c r="J254" s="34"/>
      <c r="K254" s="34"/>
      <c r="L254" s="34"/>
      <c r="M254" s="34">
        <f t="shared" si="192"/>
        <v>950.22</v>
      </c>
      <c r="N254" s="34">
        <f t="shared" si="193"/>
        <v>407.24</v>
      </c>
      <c r="O254" s="121">
        <f t="shared" si="194"/>
        <v>316.74</v>
      </c>
      <c r="P254" s="34">
        <v>0</v>
      </c>
      <c r="Q254" s="34"/>
      <c r="R254" s="34">
        <v>0</v>
      </c>
      <c r="S254" s="143">
        <v>1266.96</v>
      </c>
      <c r="T254" s="144">
        <f t="shared" si="195"/>
        <v>1266.96</v>
      </c>
      <c r="U254" s="144"/>
      <c r="V254" s="144"/>
    </row>
    <row r="255" spans="2:22" x14ac:dyDescent="0.25">
      <c r="B255" s="3" t="s">
        <v>339</v>
      </c>
      <c r="C255" s="34"/>
      <c r="D255" s="34"/>
      <c r="E255" s="34"/>
      <c r="F255" s="34">
        <v>67.5</v>
      </c>
      <c r="G255" s="34">
        <v>67.5</v>
      </c>
      <c r="H255" s="34">
        <v>28.93</v>
      </c>
      <c r="I255" s="34"/>
      <c r="J255" s="34"/>
      <c r="K255" s="34"/>
      <c r="L255" s="34"/>
      <c r="M255" s="34">
        <f>C255+F255+I255</f>
        <v>67.5</v>
      </c>
      <c r="N255" s="34">
        <f>E255+H255+K255</f>
        <v>28.93</v>
      </c>
      <c r="O255" s="121">
        <f>D255+G255+J255</f>
        <v>67.5</v>
      </c>
      <c r="P255" s="34">
        <v>-32</v>
      </c>
      <c r="Q255" s="34"/>
      <c r="R255" s="34"/>
      <c r="S255" s="143">
        <v>135</v>
      </c>
      <c r="T255" s="144">
        <f t="shared" si="195"/>
        <v>135</v>
      </c>
      <c r="U255" s="144"/>
      <c r="V255" s="144"/>
    </row>
    <row r="256" spans="2:22" x14ac:dyDescent="0.25">
      <c r="B256" s="3" t="s">
        <v>228</v>
      </c>
      <c r="C256" s="34"/>
      <c r="D256" s="34">
        <v>194.54</v>
      </c>
      <c r="E256" s="34"/>
      <c r="F256" s="34"/>
      <c r="G256" s="34">
        <v>223.16</v>
      </c>
      <c r="H256" s="34"/>
      <c r="I256" s="34"/>
      <c r="J256" s="34"/>
      <c r="K256" s="34"/>
      <c r="L256" s="34"/>
      <c r="M256" s="34">
        <f t="shared" si="192"/>
        <v>0</v>
      </c>
      <c r="N256" s="34">
        <f t="shared" si="193"/>
        <v>0</v>
      </c>
      <c r="O256" s="121">
        <f t="shared" si="194"/>
        <v>417.7</v>
      </c>
      <c r="P256" s="34">
        <v>0</v>
      </c>
      <c r="Q256" s="34"/>
      <c r="R256" s="34">
        <v>0</v>
      </c>
      <c r="S256" s="143">
        <v>417.7</v>
      </c>
      <c r="T256" s="144">
        <f t="shared" si="195"/>
        <v>417.7</v>
      </c>
      <c r="U256" s="144"/>
      <c r="V256" s="144"/>
    </row>
    <row r="257" spans="2:33" x14ac:dyDescent="0.25">
      <c r="B257" s="3" t="s">
        <v>46</v>
      </c>
      <c r="C257" s="34">
        <v>75.92</v>
      </c>
      <c r="D257" s="34"/>
      <c r="E257" s="34">
        <v>32.54</v>
      </c>
      <c r="F257" s="34">
        <v>79.53</v>
      </c>
      <c r="G257" s="34"/>
      <c r="H257" s="34">
        <v>34.08</v>
      </c>
      <c r="I257" s="34"/>
      <c r="J257" s="34"/>
      <c r="K257" s="34"/>
      <c r="L257" s="34"/>
      <c r="M257" s="34">
        <f t="shared" si="192"/>
        <v>155.44999999999999</v>
      </c>
      <c r="N257" s="34">
        <f t="shared" si="193"/>
        <v>66.62</v>
      </c>
      <c r="O257" s="121">
        <f t="shared" si="194"/>
        <v>0</v>
      </c>
      <c r="P257" s="34">
        <v>0</v>
      </c>
      <c r="Q257" s="34"/>
      <c r="R257" s="34">
        <v>0</v>
      </c>
      <c r="S257" s="143">
        <v>155.44999999999999</v>
      </c>
      <c r="T257" s="144">
        <f t="shared" si="195"/>
        <v>155.44999999999999</v>
      </c>
      <c r="U257" s="144"/>
      <c r="V257" s="144"/>
    </row>
    <row r="258" spans="2:33" x14ac:dyDescent="0.25">
      <c r="B258" s="3" t="s">
        <v>48</v>
      </c>
      <c r="C258" s="34">
        <v>1220.18</v>
      </c>
      <c r="D258" s="34"/>
      <c r="E258" s="34">
        <v>522.92999999999995</v>
      </c>
      <c r="F258" s="34">
        <v>610.09</v>
      </c>
      <c r="G258" s="34"/>
      <c r="H258" s="34">
        <v>261.47000000000003</v>
      </c>
      <c r="I258" s="34"/>
      <c r="J258" s="34"/>
      <c r="K258" s="34"/>
      <c r="L258" s="34"/>
      <c r="M258" s="34">
        <f t="shared" si="192"/>
        <v>1830.27</v>
      </c>
      <c r="N258" s="34">
        <f t="shared" si="193"/>
        <v>784.4</v>
      </c>
      <c r="O258" s="121">
        <f t="shared" si="194"/>
        <v>0</v>
      </c>
      <c r="P258" s="34">
        <v>0</v>
      </c>
      <c r="Q258" s="34"/>
      <c r="R258" s="34">
        <v>0</v>
      </c>
      <c r="S258" s="143">
        <v>1830.27</v>
      </c>
      <c r="T258" s="144">
        <f t="shared" si="195"/>
        <v>1830.27</v>
      </c>
      <c r="U258" s="144"/>
      <c r="V258" s="144"/>
    </row>
    <row r="259" spans="2:33" x14ac:dyDescent="0.25">
      <c r="B259" s="3" t="s">
        <v>49</v>
      </c>
      <c r="C259" s="34">
        <v>195.3</v>
      </c>
      <c r="D259" s="34"/>
      <c r="E259" s="34">
        <v>83.7</v>
      </c>
      <c r="F259" s="34">
        <v>111.6</v>
      </c>
      <c r="G259" s="34"/>
      <c r="H259" s="34">
        <v>47.83</v>
      </c>
      <c r="I259" s="34"/>
      <c r="J259" s="34"/>
      <c r="K259" s="34"/>
      <c r="L259" s="34"/>
      <c r="M259" s="34">
        <f t="shared" si="192"/>
        <v>306.89999999999998</v>
      </c>
      <c r="N259" s="34">
        <f t="shared" si="193"/>
        <v>131.53</v>
      </c>
      <c r="O259" s="121">
        <f t="shared" si="194"/>
        <v>0</v>
      </c>
      <c r="P259" s="34">
        <v>0</v>
      </c>
      <c r="Q259" s="34"/>
      <c r="R259" s="34">
        <v>0</v>
      </c>
      <c r="S259" s="143">
        <v>306.89999999999998</v>
      </c>
      <c r="T259" s="144">
        <f t="shared" si="195"/>
        <v>306.89999999999998</v>
      </c>
      <c r="U259" s="144"/>
      <c r="V259" s="144"/>
    </row>
    <row r="260" spans="2:33" x14ac:dyDescent="0.25">
      <c r="B260" s="3" t="s">
        <v>75</v>
      </c>
      <c r="C260" s="34">
        <v>641.52</v>
      </c>
      <c r="D260" s="34"/>
      <c r="E260" s="34">
        <v>274.94</v>
      </c>
      <c r="F260" s="34">
        <v>641.52</v>
      </c>
      <c r="G260" s="34"/>
      <c r="H260" s="34">
        <v>274.94</v>
      </c>
      <c r="I260" s="34"/>
      <c r="J260" s="34"/>
      <c r="K260" s="34"/>
      <c r="L260" s="34"/>
      <c r="M260" s="34">
        <f t="shared" si="192"/>
        <v>1283.04</v>
      </c>
      <c r="N260" s="34">
        <f t="shared" si="193"/>
        <v>549.88</v>
      </c>
      <c r="O260" s="121">
        <f t="shared" si="194"/>
        <v>0</v>
      </c>
      <c r="P260" s="34">
        <v>0</v>
      </c>
      <c r="Q260" s="34"/>
      <c r="R260" s="34">
        <v>0</v>
      </c>
      <c r="S260" s="143">
        <v>1283.04</v>
      </c>
      <c r="T260" s="144">
        <f t="shared" si="195"/>
        <v>1283.04</v>
      </c>
      <c r="U260" s="144"/>
      <c r="V260" s="144"/>
    </row>
    <row r="261" spans="2:33" x14ac:dyDescent="0.25">
      <c r="B261" s="3" t="s">
        <v>50</v>
      </c>
      <c r="C261" s="34">
        <v>110.4</v>
      </c>
      <c r="D261" s="34">
        <v>165.6</v>
      </c>
      <c r="E261" s="34">
        <v>47.31</v>
      </c>
      <c r="F261" s="34">
        <v>138</v>
      </c>
      <c r="G261" s="34">
        <v>248.4</v>
      </c>
      <c r="H261" s="34">
        <v>59.14</v>
      </c>
      <c r="I261" s="34"/>
      <c r="J261" s="34"/>
      <c r="K261" s="34"/>
      <c r="L261" s="34"/>
      <c r="M261" s="34">
        <f t="shared" si="192"/>
        <v>248.4</v>
      </c>
      <c r="N261" s="34">
        <f t="shared" si="193"/>
        <v>106.45</v>
      </c>
      <c r="O261" s="121">
        <f t="shared" si="194"/>
        <v>414</v>
      </c>
      <c r="P261" s="34">
        <v>0</v>
      </c>
      <c r="Q261" s="34"/>
      <c r="R261" s="34">
        <v>0</v>
      </c>
      <c r="S261" s="143">
        <v>662.4</v>
      </c>
      <c r="T261" s="144">
        <f t="shared" si="195"/>
        <v>662.4</v>
      </c>
      <c r="U261" s="144"/>
      <c r="V261" s="144"/>
    </row>
    <row r="262" spans="2:33" x14ac:dyDescent="0.25">
      <c r="B262" s="3" t="s">
        <v>340</v>
      </c>
      <c r="C262" s="34">
        <v>300</v>
      </c>
      <c r="D262" s="34"/>
      <c r="E262" s="34">
        <v>128.57</v>
      </c>
      <c r="F262" s="34">
        <v>405</v>
      </c>
      <c r="G262" s="34"/>
      <c r="H262" s="34">
        <v>173.58</v>
      </c>
      <c r="I262" s="34"/>
      <c r="J262" s="34"/>
      <c r="K262" s="34"/>
      <c r="L262" s="34"/>
      <c r="M262" s="34">
        <f>C262+F262+I262</f>
        <v>705</v>
      </c>
      <c r="N262" s="34">
        <f>E262+H262+K262</f>
        <v>302.14999999999998</v>
      </c>
      <c r="O262" s="121">
        <f>D262+G262+J262</f>
        <v>0</v>
      </c>
      <c r="P262" s="34">
        <v>0</v>
      </c>
      <c r="Q262" s="34"/>
      <c r="R262" s="34">
        <v>0</v>
      </c>
      <c r="S262" s="143">
        <v>705</v>
      </c>
      <c r="T262" s="144">
        <f>M262+O262</f>
        <v>705</v>
      </c>
      <c r="U262" s="144"/>
      <c r="V262" s="144"/>
    </row>
    <row r="263" spans="2:33" x14ac:dyDescent="0.25">
      <c r="B263" s="3" t="s">
        <v>232</v>
      </c>
      <c r="C263" s="34">
        <v>115.95</v>
      </c>
      <c r="D263" s="34"/>
      <c r="E263" s="34">
        <v>49.69</v>
      </c>
      <c r="F263" s="34">
        <v>172.26</v>
      </c>
      <c r="G263" s="34"/>
      <c r="H263" s="34">
        <v>73.83</v>
      </c>
      <c r="I263" s="34"/>
      <c r="J263" s="34"/>
      <c r="K263" s="34"/>
      <c r="L263" s="34"/>
      <c r="M263" s="34">
        <f t="shared" si="192"/>
        <v>288.20999999999998</v>
      </c>
      <c r="N263" s="34">
        <f t="shared" si="193"/>
        <v>123.52</v>
      </c>
      <c r="O263" s="121">
        <f t="shared" si="194"/>
        <v>0</v>
      </c>
      <c r="P263" s="34">
        <v>0</v>
      </c>
      <c r="Q263" s="34"/>
      <c r="R263" s="34">
        <v>0</v>
      </c>
      <c r="S263" s="143">
        <v>288.20999999999998</v>
      </c>
      <c r="T263" s="144">
        <f t="shared" si="195"/>
        <v>288.20999999999998</v>
      </c>
      <c r="U263" s="144"/>
      <c r="V263" s="144"/>
    </row>
    <row r="264" spans="2:33" x14ac:dyDescent="0.25">
      <c r="B264" s="3" t="s">
        <v>344</v>
      </c>
      <c r="C264" s="34"/>
      <c r="D264" s="34"/>
      <c r="E264" s="34"/>
      <c r="F264" s="34"/>
      <c r="G264" s="34"/>
      <c r="H264" s="34"/>
      <c r="I264" s="34"/>
      <c r="J264" s="34"/>
      <c r="K264" s="34"/>
      <c r="L264" s="34"/>
      <c r="M264" s="157">
        <f t="shared" si="192"/>
        <v>0</v>
      </c>
      <c r="N264" s="157">
        <f t="shared" si="193"/>
        <v>0</v>
      </c>
      <c r="O264" s="158">
        <f>AE277</f>
        <v>268.48571428571427</v>
      </c>
      <c r="P264" s="157">
        <v>0</v>
      </c>
      <c r="Q264" s="157"/>
      <c r="R264" s="157">
        <f>-AF277</f>
        <v>-80.545714285714283</v>
      </c>
      <c r="S264" s="143">
        <v>268.49</v>
      </c>
      <c r="T264" s="144">
        <f t="shared" si="195"/>
        <v>268.48571428571427</v>
      </c>
      <c r="U264" s="144"/>
      <c r="V264" s="144"/>
    </row>
    <row r="265" spans="2:33" x14ac:dyDescent="0.25">
      <c r="B265" s="3" t="s">
        <v>51</v>
      </c>
      <c r="C265" s="34">
        <f>1554*1.0309</f>
        <v>1602.0185999999999</v>
      </c>
      <c r="D265" s="34"/>
      <c r="E265" s="34">
        <v>686.57</v>
      </c>
      <c r="F265" s="34">
        <v>2377.31</v>
      </c>
      <c r="G265" s="34"/>
      <c r="H265" s="34">
        <v>1018.85</v>
      </c>
      <c r="I265" s="34"/>
      <c r="J265" s="34"/>
      <c r="K265" s="34"/>
      <c r="L265" s="34"/>
      <c r="M265" s="34">
        <f t="shared" si="192"/>
        <v>3979.3285999999998</v>
      </c>
      <c r="N265" s="34">
        <f t="shared" si="193"/>
        <v>1705.42</v>
      </c>
      <c r="O265" s="121">
        <f t="shared" si="194"/>
        <v>0</v>
      </c>
      <c r="P265" s="34">
        <v>0</v>
      </c>
      <c r="Q265" s="34"/>
      <c r="R265" s="34">
        <v>0</v>
      </c>
      <c r="S265" s="143">
        <v>3979.33</v>
      </c>
      <c r="T265" s="144">
        <f t="shared" si="195"/>
        <v>3979.3285999999998</v>
      </c>
      <c r="U265" s="144"/>
      <c r="V265" s="144"/>
    </row>
    <row r="266" spans="2:33" x14ac:dyDescent="0.25">
      <c r="B266" s="3" t="s">
        <v>269</v>
      </c>
      <c r="C266" s="34">
        <v>169.6</v>
      </c>
      <c r="D266" s="34"/>
      <c r="E266" s="34">
        <v>72.69</v>
      </c>
      <c r="F266" s="34">
        <v>848</v>
      </c>
      <c r="G266" s="34"/>
      <c r="H266" s="34">
        <f>90.86+272.57</f>
        <v>363.43</v>
      </c>
      <c r="I266" s="34"/>
      <c r="J266" s="34"/>
      <c r="K266" s="34"/>
      <c r="L266" s="34"/>
      <c r="M266" s="34">
        <f t="shared" si="192"/>
        <v>1017.6</v>
      </c>
      <c r="N266" s="34">
        <f t="shared" si="193"/>
        <v>436.12</v>
      </c>
      <c r="O266" s="121"/>
      <c r="P266" s="34">
        <v>0</v>
      </c>
      <c r="Q266" s="34"/>
      <c r="R266" s="34">
        <v>0</v>
      </c>
      <c r="S266" s="143">
        <v>1017.6</v>
      </c>
      <c r="T266" s="144">
        <f t="shared" si="195"/>
        <v>1017.6</v>
      </c>
      <c r="U266" s="144"/>
      <c r="V266" s="144"/>
    </row>
    <row r="267" spans="2:33" x14ac:dyDescent="0.25">
      <c r="B267" s="3" t="s">
        <v>52</v>
      </c>
      <c r="C267" s="34">
        <v>1581.75</v>
      </c>
      <c r="D267" s="34"/>
      <c r="E267" s="34">
        <v>677.89</v>
      </c>
      <c r="F267" s="34">
        <v>1581.75</v>
      </c>
      <c r="G267" s="34"/>
      <c r="H267" s="34">
        <v>677.89</v>
      </c>
      <c r="I267" s="34"/>
      <c r="J267" s="34"/>
      <c r="K267" s="34"/>
      <c r="L267" s="34"/>
      <c r="M267" s="34">
        <f t="shared" si="192"/>
        <v>3163.5</v>
      </c>
      <c r="N267" s="34">
        <f t="shared" si="193"/>
        <v>1355.78</v>
      </c>
      <c r="O267" s="121">
        <f t="shared" ref="O267:O272" si="196">D267+G267+J267</f>
        <v>0</v>
      </c>
      <c r="P267" s="34">
        <v>0</v>
      </c>
      <c r="Q267" s="34"/>
      <c r="R267" s="34">
        <v>0</v>
      </c>
      <c r="S267" s="143">
        <v>3163.5</v>
      </c>
      <c r="T267" s="144">
        <f t="shared" si="195"/>
        <v>3163.5</v>
      </c>
      <c r="U267" s="144"/>
      <c r="V267" s="144"/>
    </row>
    <row r="268" spans="2:33" x14ac:dyDescent="0.25">
      <c r="B268" s="3" t="s">
        <v>76</v>
      </c>
      <c r="C268" s="34"/>
      <c r="D268" s="34">
        <v>25.69</v>
      </c>
      <c r="E268" s="34"/>
      <c r="F268" s="34"/>
      <c r="G268" s="34">
        <v>22.02</v>
      </c>
      <c r="H268" s="34"/>
      <c r="I268" s="34"/>
      <c r="J268" s="34"/>
      <c r="K268" s="34"/>
      <c r="L268" s="34"/>
      <c r="M268" s="34">
        <f t="shared" si="192"/>
        <v>0</v>
      </c>
      <c r="N268" s="34">
        <f t="shared" si="193"/>
        <v>0</v>
      </c>
      <c r="O268" s="121">
        <f t="shared" si="196"/>
        <v>47.71</v>
      </c>
      <c r="P268" s="34">
        <v>0</v>
      </c>
      <c r="Q268" s="34"/>
      <c r="R268" s="34">
        <v>0</v>
      </c>
      <c r="S268" s="143">
        <v>47.71</v>
      </c>
      <c r="T268" s="144">
        <f t="shared" si="195"/>
        <v>47.71</v>
      </c>
      <c r="U268" s="144"/>
      <c r="V268" s="144"/>
    </row>
    <row r="269" spans="2:33" x14ac:dyDescent="0.25">
      <c r="B269" s="3" t="s">
        <v>53</v>
      </c>
      <c r="C269" s="34">
        <v>1621.8</v>
      </c>
      <c r="D269" s="34"/>
      <c r="E269" s="34">
        <v>695.06</v>
      </c>
      <c r="F269" s="34">
        <v>1701.08</v>
      </c>
      <c r="G269" s="34"/>
      <c r="H269" s="34">
        <v>729.03</v>
      </c>
      <c r="I269" s="34"/>
      <c r="J269" s="34"/>
      <c r="K269" s="34"/>
      <c r="L269" s="34"/>
      <c r="M269" s="34">
        <f t="shared" si="192"/>
        <v>3322.88</v>
      </c>
      <c r="N269" s="34">
        <f t="shared" si="193"/>
        <v>1424.09</v>
      </c>
      <c r="O269" s="121">
        <f t="shared" si="196"/>
        <v>0</v>
      </c>
      <c r="P269" s="34">
        <v>0</v>
      </c>
      <c r="Q269" s="34"/>
      <c r="R269" s="34">
        <v>0</v>
      </c>
      <c r="S269" s="143">
        <v>3322.88</v>
      </c>
      <c r="T269" s="144">
        <f t="shared" si="195"/>
        <v>3322.88</v>
      </c>
      <c r="U269" s="144"/>
      <c r="V269" s="144"/>
    </row>
    <row r="270" spans="2:33" x14ac:dyDescent="0.25">
      <c r="B270" s="3" t="s">
        <v>229</v>
      </c>
      <c r="C270" s="34">
        <v>405.95</v>
      </c>
      <c r="D270" s="34"/>
      <c r="E270" s="34">
        <f>C270*E280</f>
        <v>173.98701412141506</v>
      </c>
      <c r="F270" s="34">
        <v>308.83</v>
      </c>
      <c r="G270" s="34"/>
      <c r="H270" s="34">
        <v>132.36000000000001</v>
      </c>
      <c r="I270" s="34">
        <v>88.25</v>
      </c>
      <c r="J270" s="34"/>
      <c r="K270" s="34">
        <f>I270*E280</f>
        <v>37.823263939438057</v>
      </c>
      <c r="L270" s="34"/>
      <c r="M270" s="34">
        <f t="shared" si="192"/>
        <v>803.03</v>
      </c>
      <c r="N270" s="34">
        <f t="shared" si="193"/>
        <v>344.17027806085315</v>
      </c>
      <c r="O270" s="121">
        <f t="shared" si="196"/>
        <v>0</v>
      </c>
      <c r="P270" s="34">
        <v>0</v>
      </c>
      <c r="Q270" s="34"/>
      <c r="R270" s="34">
        <v>0</v>
      </c>
      <c r="S270" s="143">
        <v>803.03</v>
      </c>
      <c r="T270" s="144">
        <f t="shared" si="195"/>
        <v>803.03</v>
      </c>
      <c r="U270" s="144"/>
      <c r="V270" s="144"/>
      <c r="Z270" t="s">
        <v>361</v>
      </c>
    </row>
    <row r="271" spans="2:33" x14ac:dyDescent="0.25">
      <c r="B271" s="3" t="s">
        <v>55</v>
      </c>
      <c r="C271" s="34">
        <v>866.54</v>
      </c>
      <c r="D271" s="34"/>
      <c r="E271" s="34">
        <v>371.37</v>
      </c>
      <c r="F271" s="34">
        <v>1345.79</v>
      </c>
      <c r="G271" s="34"/>
      <c r="H271" s="34">
        <v>576.77</v>
      </c>
      <c r="I271" s="34"/>
      <c r="J271" s="34"/>
      <c r="K271" s="34"/>
      <c r="L271" s="34"/>
      <c r="M271" s="34">
        <f t="shared" si="192"/>
        <v>2212.33</v>
      </c>
      <c r="N271" s="34">
        <f t="shared" si="193"/>
        <v>948.14</v>
      </c>
      <c r="O271" s="121">
        <f t="shared" si="196"/>
        <v>0</v>
      </c>
      <c r="P271" s="34">
        <v>0</v>
      </c>
      <c r="Q271" s="34"/>
      <c r="R271" s="34">
        <v>0</v>
      </c>
      <c r="S271" s="143">
        <v>2212.33</v>
      </c>
      <c r="T271" s="144">
        <f t="shared" si="195"/>
        <v>2212.33</v>
      </c>
      <c r="U271" s="144"/>
      <c r="V271" s="144"/>
      <c r="AE271" t="s">
        <v>358</v>
      </c>
      <c r="AF271" t="s">
        <v>359</v>
      </c>
      <c r="AG271" t="s">
        <v>360</v>
      </c>
    </row>
    <row r="272" spans="2:33" x14ac:dyDescent="0.25">
      <c r="B272" s="3" t="s">
        <v>54</v>
      </c>
      <c r="C272" s="34">
        <v>881.28</v>
      </c>
      <c r="D272" s="34"/>
      <c r="E272" s="34">
        <v>377.69</v>
      </c>
      <c r="F272" s="34">
        <v>820.08</v>
      </c>
      <c r="G272" s="34"/>
      <c r="H272" s="34">
        <v>351.46</v>
      </c>
      <c r="I272" s="34"/>
      <c r="J272" s="34"/>
      <c r="K272" s="34"/>
      <c r="L272" s="34"/>
      <c r="M272" s="34">
        <f t="shared" si="192"/>
        <v>1701.3600000000001</v>
      </c>
      <c r="N272" s="34">
        <f t="shared" si="193"/>
        <v>729.15</v>
      </c>
      <c r="O272" s="121">
        <f t="shared" si="196"/>
        <v>0</v>
      </c>
      <c r="P272" s="34">
        <v>0</v>
      </c>
      <c r="Q272" s="34"/>
      <c r="R272" s="34">
        <v>0</v>
      </c>
      <c r="S272" s="143">
        <v>1701.36</v>
      </c>
      <c r="T272" s="144">
        <f t="shared" si="195"/>
        <v>1701.3600000000001</v>
      </c>
      <c r="U272" s="144"/>
      <c r="V272" s="144"/>
      <c r="Z272" s="132">
        <v>56</v>
      </c>
      <c r="AA272" s="132">
        <v>16.8</v>
      </c>
      <c r="AB272" s="132">
        <f>Z272-AA272</f>
        <v>39.200000000000003</v>
      </c>
      <c r="AC272" s="132">
        <v>42.14</v>
      </c>
      <c r="AD272" s="132">
        <f>AB272/AC272</f>
        <v>0.93023255813953498</v>
      </c>
      <c r="AE272" s="132">
        <f>Z272/AD272</f>
        <v>60.199999999999996</v>
      </c>
      <c r="AF272" s="132">
        <f>AA272/AD272</f>
        <v>18.059999999999999</v>
      </c>
      <c r="AG272" s="132">
        <f>AB272/AD272</f>
        <v>42.14</v>
      </c>
    </row>
    <row r="273" spans="2:33" x14ac:dyDescent="0.25">
      <c r="B273" s="3"/>
      <c r="C273" s="57">
        <f t="shared" ref="C273:K273" si="197">SUM(C251:C272)</f>
        <v>19632.908599999999</v>
      </c>
      <c r="D273" s="57">
        <f t="shared" si="197"/>
        <v>534.93000000000006</v>
      </c>
      <c r="E273" s="57">
        <f t="shared" si="197"/>
        <v>8414.0970141214148</v>
      </c>
      <c r="F273" s="57">
        <f t="shared" si="197"/>
        <v>20931.680000000008</v>
      </c>
      <c r="G273" s="57">
        <f t="shared" si="197"/>
        <v>728.71999999999991</v>
      </c>
      <c r="H273" s="57">
        <f t="shared" si="197"/>
        <v>8970.74</v>
      </c>
      <c r="I273" s="57">
        <f t="shared" si="197"/>
        <v>88.25</v>
      </c>
      <c r="J273" s="57">
        <f t="shared" si="197"/>
        <v>0</v>
      </c>
      <c r="K273" s="57">
        <f t="shared" si="197"/>
        <v>37.823263939438057</v>
      </c>
      <c r="L273" s="57"/>
      <c r="M273" s="57">
        <f>SUM(M251:M272)</f>
        <v>40652.838600000003</v>
      </c>
      <c r="N273" s="57">
        <f>SUM(N251:N272)</f>
        <v>17422.660278060859</v>
      </c>
      <c r="O273" s="69">
        <f>SUM(O251:O272)</f>
        <v>1532.1357142857144</v>
      </c>
      <c r="P273" s="57">
        <f>SUM(P251:P272)</f>
        <v>-32</v>
      </c>
      <c r="Q273" s="57"/>
      <c r="R273" s="57">
        <f>SUM(R251:R272)</f>
        <v>-80.545714285714283</v>
      </c>
      <c r="S273" s="147">
        <f>SUM(S250:S272)</f>
        <v>42184.98</v>
      </c>
      <c r="T273" s="147">
        <f>SUM(T250:T272)</f>
        <v>42184.974314285719</v>
      </c>
      <c r="U273" s="147"/>
      <c r="V273" s="147"/>
      <c r="Z273" s="132">
        <v>56</v>
      </c>
      <c r="AA273" s="132">
        <v>16.8</v>
      </c>
      <c r="AB273" s="132">
        <f t="shared" ref="AB273:AB275" si="198">Z273-AA273</f>
        <v>39.200000000000003</v>
      </c>
      <c r="AC273" s="132">
        <v>45.46</v>
      </c>
      <c r="AD273" s="132">
        <f t="shared" ref="AD273:AD275" si="199">AB273/AC273</f>
        <v>0.86229652441706994</v>
      </c>
      <c r="AE273" s="132">
        <f t="shared" ref="AE273:AE275" si="200">Z273/AD273</f>
        <v>64.94285714285715</v>
      </c>
      <c r="AF273" s="132">
        <f t="shared" ref="AF273:AF275" si="201">AA273/AD273</f>
        <v>19.482857142857142</v>
      </c>
      <c r="AG273" s="132">
        <f t="shared" ref="AG273:AG275" si="202">AB273/AD273</f>
        <v>45.46</v>
      </c>
    </row>
    <row r="274" spans="2:33" x14ac:dyDescent="0.25">
      <c r="B274" s="3"/>
      <c r="C274" s="3"/>
      <c r="D274" s="3"/>
      <c r="E274" s="3"/>
      <c r="F274" s="3"/>
      <c r="G274" s="3"/>
      <c r="H274" s="3"/>
      <c r="I274" s="3"/>
      <c r="J274" s="3"/>
      <c r="K274" s="3"/>
      <c r="L274" s="8" t="s">
        <v>167</v>
      </c>
      <c r="M274" s="8"/>
      <c r="N274" s="8"/>
      <c r="O274" s="122">
        <f>M273+O273</f>
        <v>42184.974314285719</v>
      </c>
      <c r="P274" s="34"/>
      <c r="Q274" s="34"/>
      <c r="R274" s="34"/>
      <c r="Z274" s="132">
        <v>56</v>
      </c>
      <c r="AA274" s="132">
        <v>16.8</v>
      </c>
      <c r="AB274" s="132">
        <f t="shared" si="198"/>
        <v>39.200000000000003</v>
      </c>
      <c r="AC274" s="132">
        <v>50.69</v>
      </c>
      <c r="AD274" s="132">
        <f t="shared" si="199"/>
        <v>0.77332807259814573</v>
      </c>
      <c r="AE274" s="132">
        <f t="shared" si="200"/>
        <v>72.414285714285697</v>
      </c>
      <c r="AF274" s="132">
        <f t="shared" si="201"/>
        <v>21.72428571428571</v>
      </c>
      <c r="AG274" s="132">
        <f t="shared" si="202"/>
        <v>50.69</v>
      </c>
    </row>
    <row r="275" spans="2:33" x14ac:dyDescent="0.25">
      <c r="C275" s="149" t="s">
        <v>100</v>
      </c>
      <c r="D275" s="149" t="s">
        <v>104</v>
      </c>
      <c r="E275" s="149" t="s">
        <v>101</v>
      </c>
      <c r="F275" s="149" t="s">
        <v>100</v>
      </c>
      <c r="G275" s="149" t="s">
        <v>104</v>
      </c>
      <c r="H275" s="149" t="s">
        <v>101</v>
      </c>
      <c r="I275" s="149" t="s">
        <v>100</v>
      </c>
      <c r="J275" s="149" t="s">
        <v>104</v>
      </c>
      <c r="K275" s="149" t="s">
        <v>101</v>
      </c>
      <c r="L275" s="37"/>
      <c r="M275" s="149" t="s">
        <v>105</v>
      </c>
      <c r="N275" s="149" t="s">
        <v>102</v>
      </c>
      <c r="O275" s="150" t="s">
        <v>103</v>
      </c>
      <c r="P275" s="151" t="s">
        <v>267</v>
      </c>
      <c r="Q275" s="151"/>
      <c r="R275" s="151" t="s">
        <v>267</v>
      </c>
      <c r="S275" s="124" t="s">
        <v>270</v>
      </c>
      <c r="T275" s="124" t="s">
        <v>93</v>
      </c>
      <c r="U275" s="90"/>
      <c r="V275" s="90"/>
      <c r="Z275" s="132">
        <v>56</v>
      </c>
      <c r="AA275" s="132">
        <v>16.8</v>
      </c>
      <c r="AB275" s="132">
        <f t="shared" si="198"/>
        <v>39.200000000000003</v>
      </c>
      <c r="AC275" s="132">
        <v>49.65</v>
      </c>
      <c r="AD275" s="132">
        <f t="shared" si="199"/>
        <v>0.7895266868076537</v>
      </c>
      <c r="AE275" s="132">
        <f t="shared" si="200"/>
        <v>70.928571428571416</v>
      </c>
      <c r="AF275" s="132">
        <f t="shared" si="201"/>
        <v>21.278571428571425</v>
      </c>
      <c r="AG275" s="132">
        <f t="shared" si="202"/>
        <v>49.65</v>
      </c>
    </row>
    <row r="276" spans="2:33" x14ac:dyDescent="0.25">
      <c r="B276" s="3" t="s">
        <v>311</v>
      </c>
      <c r="C276" s="3"/>
      <c r="D276" s="3">
        <v>0</v>
      </c>
      <c r="E276" s="3"/>
      <c r="F276" s="3"/>
      <c r="G276" s="3"/>
      <c r="H276" s="3"/>
      <c r="I276" s="3"/>
      <c r="J276" s="3"/>
      <c r="K276" s="3"/>
      <c r="L276" s="3"/>
      <c r="M276" s="34">
        <f>C276+F276+I276</f>
        <v>0</v>
      </c>
      <c r="N276" s="34">
        <f>E276+H276+K276</f>
        <v>0</v>
      </c>
      <c r="O276" s="34">
        <f>D276+G276+J276</f>
        <v>0</v>
      </c>
      <c r="P276" s="34">
        <v>0</v>
      </c>
      <c r="Q276" s="34"/>
      <c r="R276" s="34">
        <v>0</v>
      </c>
      <c r="S276" s="3">
        <v>0</v>
      </c>
      <c r="T276" s="152">
        <f>M276+O276</f>
        <v>0</v>
      </c>
      <c r="U276" s="171"/>
      <c r="V276" s="171"/>
      <c r="Z276" s="132"/>
      <c r="AA276" s="132"/>
      <c r="AB276" s="132"/>
      <c r="AC276" s="132"/>
      <c r="AD276" s="132"/>
      <c r="AE276" s="132"/>
      <c r="AF276" s="132"/>
      <c r="AG276" s="132"/>
    </row>
    <row r="277" spans="2:33" x14ac:dyDescent="0.25">
      <c r="B277" s="3"/>
      <c r="C277" s="3"/>
      <c r="D277" s="3"/>
      <c r="E277" s="3"/>
      <c r="F277" s="3"/>
      <c r="G277" s="3"/>
      <c r="H277" s="3"/>
      <c r="I277" s="3"/>
      <c r="J277" s="3"/>
      <c r="K277" s="3"/>
      <c r="L277" s="3"/>
      <c r="M277" s="3"/>
      <c r="N277" s="3"/>
      <c r="O277" s="3"/>
      <c r="P277" s="3"/>
      <c r="Q277" s="3"/>
      <c r="R277" s="3"/>
      <c r="S277" s="3"/>
      <c r="T277" s="3"/>
      <c r="U277" s="20"/>
      <c r="V277" s="20"/>
      <c r="Z277" s="132"/>
      <c r="AA277" s="132"/>
      <c r="AB277" s="132"/>
      <c r="AC277" s="132"/>
      <c r="AD277" s="132"/>
      <c r="AE277" s="132">
        <f>SUM(AE272:AE276)</f>
        <v>268.48571428571427</v>
      </c>
      <c r="AF277" s="132">
        <f t="shared" ref="AF277:AG277" si="203">SUM(AF272:AF276)</f>
        <v>80.545714285714283</v>
      </c>
      <c r="AG277" s="132">
        <f t="shared" si="203"/>
        <v>187.94</v>
      </c>
    </row>
    <row r="278" spans="2:33" x14ac:dyDescent="0.25">
      <c r="B278" s="3"/>
      <c r="C278" s="3"/>
      <c r="D278" s="3"/>
      <c r="E278" s="3"/>
      <c r="F278" s="3"/>
      <c r="G278" s="3"/>
      <c r="H278" s="3"/>
      <c r="I278" s="3"/>
      <c r="J278" s="3"/>
      <c r="K278" s="3"/>
      <c r="L278" s="3"/>
      <c r="M278" s="3"/>
      <c r="N278" s="3" t="s">
        <v>321</v>
      </c>
      <c r="O278" s="153">
        <f>O273+O276</f>
        <v>1532.1357142857144</v>
      </c>
      <c r="P278" s="3"/>
      <c r="Q278" s="3"/>
      <c r="R278" s="3"/>
      <c r="S278" s="153">
        <f>S273+S276</f>
        <v>42184.98</v>
      </c>
      <c r="T278" s="153">
        <f>T273+T276</f>
        <v>42184.974314285719</v>
      </c>
      <c r="U278" s="148"/>
      <c r="V278" s="148"/>
    </row>
    <row r="280" spans="2:33" x14ac:dyDescent="0.25">
      <c r="E280">
        <f>29.44/68.69</f>
        <v>0.4285922259426409</v>
      </c>
    </row>
    <row r="286" spans="2:33" x14ac:dyDescent="0.25">
      <c r="C286" s="1"/>
      <c r="D286" s="1"/>
      <c r="E286" s="1"/>
    </row>
    <row r="287" spans="2:33" x14ac:dyDescent="0.25">
      <c r="B287" t="s">
        <v>265</v>
      </c>
    </row>
    <row r="288" spans="2:33" x14ac:dyDescent="0.25">
      <c r="B288" s="3" t="s">
        <v>42</v>
      </c>
      <c r="C288" s="4" t="s">
        <v>98</v>
      </c>
      <c r="D288" s="4"/>
      <c r="E288" s="4"/>
      <c r="F288" s="4" t="s">
        <v>99</v>
      </c>
      <c r="G288" s="4"/>
      <c r="H288" s="4"/>
      <c r="I288" s="4" t="s">
        <v>266</v>
      </c>
      <c r="J288" s="4"/>
      <c r="K288" s="4"/>
      <c r="L288" s="4"/>
      <c r="M288" s="4" t="s">
        <v>93</v>
      </c>
      <c r="N288" s="3" t="s">
        <v>93</v>
      </c>
      <c r="O288" s="119"/>
      <c r="P288" s="34"/>
      <c r="Q288" s="38"/>
      <c r="R288" s="38"/>
    </row>
    <row r="289" spans="2:22" x14ac:dyDescent="0.25">
      <c r="B289" s="3"/>
      <c r="C289" s="54" t="s">
        <v>100</v>
      </c>
      <c r="D289" s="54" t="s">
        <v>104</v>
      </c>
      <c r="E289" s="54" t="s">
        <v>101</v>
      </c>
      <c r="F289" s="54" t="s">
        <v>100</v>
      </c>
      <c r="G289" s="54" t="s">
        <v>104</v>
      </c>
      <c r="H289" s="54" t="s">
        <v>101</v>
      </c>
      <c r="I289" s="54" t="s">
        <v>100</v>
      </c>
      <c r="J289" s="54" t="s">
        <v>104</v>
      </c>
      <c r="K289" s="54" t="s">
        <v>101</v>
      </c>
      <c r="L289" s="3"/>
      <c r="M289" s="54" t="s">
        <v>105</v>
      </c>
      <c r="N289" s="54" t="s">
        <v>102</v>
      </c>
      <c r="O289" s="120" t="s">
        <v>103</v>
      </c>
      <c r="P289" s="123" t="s">
        <v>267</v>
      </c>
      <c r="Q289" s="156"/>
      <c r="R289" s="156"/>
      <c r="S289" s="124" t="s">
        <v>270</v>
      </c>
      <c r="T289" s="124" t="s">
        <v>93</v>
      </c>
      <c r="U289" s="90"/>
      <c r="V289" s="90"/>
    </row>
    <row r="290" spans="2:22" x14ac:dyDescent="0.25">
      <c r="B290" s="3" t="s">
        <v>43</v>
      </c>
      <c r="C290" s="34">
        <v>1713.09</v>
      </c>
      <c r="D290" s="34">
        <v>0</v>
      </c>
      <c r="E290" s="34">
        <v>734.18</v>
      </c>
      <c r="F290" s="34">
        <v>1728.13</v>
      </c>
      <c r="G290" s="34">
        <v>0</v>
      </c>
      <c r="H290" s="34">
        <v>740.63</v>
      </c>
      <c r="I290" s="34">
        <v>0</v>
      </c>
      <c r="J290" s="34">
        <v>0</v>
      </c>
      <c r="K290" s="34"/>
      <c r="L290" s="34"/>
      <c r="M290" s="34">
        <f>C290+F290+I290</f>
        <v>3441.2200000000003</v>
      </c>
      <c r="N290" s="34">
        <f>E290+H290+K290</f>
        <v>1474.81</v>
      </c>
      <c r="O290" s="121">
        <f>D290+G290+J290</f>
        <v>0</v>
      </c>
      <c r="P290" s="34">
        <v>0</v>
      </c>
      <c r="Q290" s="38"/>
      <c r="R290" s="38"/>
      <c r="S290" s="26">
        <v>3441.22</v>
      </c>
      <c r="T290" s="91">
        <f>M290+O290</f>
        <v>3441.2200000000003</v>
      </c>
      <c r="U290" s="91"/>
      <c r="V290" s="91"/>
    </row>
    <row r="291" spans="2:22" x14ac:dyDescent="0.25">
      <c r="B291" s="3" t="s">
        <v>44</v>
      </c>
      <c r="C291" s="34">
        <v>0</v>
      </c>
      <c r="D291" s="34">
        <v>0</v>
      </c>
      <c r="E291" s="34">
        <v>0</v>
      </c>
      <c r="F291" s="34">
        <v>0</v>
      </c>
      <c r="G291" s="34">
        <v>0</v>
      </c>
      <c r="H291" s="34">
        <v>0</v>
      </c>
      <c r="I291" s="34">
        <v>0</v>
      </c>
      <c r="J291" s="34">
        <v>0</v>
      </c>
      <c r="K291" s="34">
        <v>0</v>
      </c>
      <c r="L291" s="34"/>
      <c r="M291" s="34">
        <f t="shared" ref="M291:M310" si="204">C291+F291+I291</f>
        <v>0</v>
      </c>
      <c r="N291" s="34">
        <f t="shared" ref="N291:N310" si="205">E291+H291+K291</f>
        <v>0</v>
      </c>
      <c r="O291" s="121">
        <f t="shared" ref="O291:O310" si="206">D291+G291+J291</f>
        <v>0</v>
      </c>
      <c r="P291" s="34">
        <f t="shared" ref="P291" si="207">M291+O291</f>
        <v>0</v>
      </c>
      <c r="Q291" s="38"/>
      <c r="R291" s="38"/>
      <c r="S291" s="26">
        <v>0</v>
      </c>
      <c r="T291" s="91">
        <f t="shared" ref="T291:T310" si="208">M291+O291</f>
        <v>0</v>
      </c>
      <c r="U291" s="91"/>
      <c r="V291" s="91"/>
    </row>
    <row r="292" spans="2:22" x14ac:dyDescent="0.25">
      <c r="B292" s="3" t="s">
        <v>60</v>
      </c>
      <c r="C292" s="34">
        <v>5856.81</v>
      </c>
      <c r="D292" s="34">
        <v>0</v>
      </c>
      <c r="E292" s="34">
        <v>2510.06</v>
      </c>
      <c r="F292" s="34">
        <v>5051.2</v>
      </c>
      <c r="G292" s="34">
        <v>0</v>
      </c>
      <c r="H292" s="34">
        <v>2164.8000000000002</v>
      </c>
      <c r="I292" s="34">
        <v>0</v>
      </c>
      <c r="J292" s="34">
        <v>0</v>
      </c>
      <c r="K292" s="34"/>
      <c r="L292" s="34"/>
      <c r="M292" s="34">
        <f t="shared" si="204"/>
        <v>10908.01</v>
      </c>
      <c r="N292" s="34">
        <f t="shared" si="205"/>
        <v>4674.8600000000006</v>
      </c>
      <c r="O292" s="121">
        <f t="shared" si="206"/>
        <v>0</v>
      </c>
      <c r="P292" s="34">
        <v>0</v>
      </c>
      <c r="Q292" s="38"/>
      <c r="R292" s="38"/>
      <c r="S292" s="26">
        <v>10908.11</v>
      </c>
      <c r="T292" s="91">
        <f t="shared" si="208"/>
        <v>10908.01</v>
      </c>
      <c r="U292" s="91"/>
      <c r="V292" s="91"/>
    </row>
    <row r="293" spans="2:22" x14ac:dyDescent="0.25">
      <c r="B293" s="3" t="s">
        <v>45</v>
      </c>
      <c r="C293" s="34">
        <v>653.76</v>
      </c>
      <c r="D293" s="34">
        <v>0</v>
      </c>
      <c r="E293" s="34">
        <v>280.18</v>
      </c>
      <c r="F293" s="34">
        <v>665.28</v>
      </c>
      <c r="G293" s="34">
        <v>221.76</v>
      </c>
      <c r="H293" s="34">
        <v>285.12</v>
      </c>
      <c r="I293" s="34">
        <v>0</v>
      </c>
      <c r="J293" s="34">
        <v>97.02</v>
      </c>
      <c r="K293" s="34"/>
      <c r="L293" s="34"/>
      <c r="M293" s="34">
        <f t="shared" si="204"/>
        <v>1319.04</v>
      </c>
      <c r="N293" s="34">
        <f t="shared" si="205"/>
        <v>565.29999999999995</v>
      </c>
      <c r="O293" s="121">
        <f t="shared" si="206"/>
        <v>318.77999999999997</v>
      </c>
      <c r="P293" s="34">
        <v>0</v>
      </c>
      <c r="Q293" s="38"/>
      <c r="R293" s="38"/>
      <c r="S293" s="26">
        <v>1637.82</v>
      </c>
      <c r="T293" s="91">
        <f t="shared" si="208"/>
        <v>1637.82</v>
      </c>
      <c r="U293" s="91"/>
      <c r="V293" s="91"/>
    </row>
    <row r="294" spans="2:22" x14ac:dyDescent="0.25">
      <c r="B294" s="3" t="s">
        <v>228</v>
      </c>
      <c r="C294" s="34">
        <v>0</v>
      </c>
      <c r="D294" s="34">
        <v>141</v>
      </c>
      <c r="E294" s="34"/>
      <c r="F294" s="34"/>
      <c r="G294" s="34">
        <v>145.97999999999999</v>
      </c>
      <c r="H294" s="34"/>
      <c r="I294" s="34">
        <v>0</v>
      </c>
      <c r="J294" s="34">
        <v>0</v>
      </c>
      <c r="K294" s="34"/>
      <c r="L294" s="34"/>
      <c r="M294" s="34">
        <f t="shared" si="204"/>
        <v>0</v>
      </c>
      <c r="N294" s="34">
        <f t="shared" si="205"/>
        <v>0</v>
      </c>
      <c r="O294" s="121">
        <f t="shared" si="206"/>
        <v>286.98</v>
      </c>
      <c r="P294" s="34">
        <v>0</v>
      </c>
      <c r="Q294" s="38"/>
      <c r="R294" s="38"/>
      <c r="S294" s="26">
        <v>286.98</v>
      </c>
      <c r="T294" s="91">
        <f t="shared" si="208"/>
        <v>286.98</v>
      </c>
      <c r="U294" s="91"/>
      <c r="V294" s="91"/>
    </row>
    <row r="295" spans="2:22" x14ac:dyDescent="0.25">
      <c r="B295" s="3" t="s">
        <v>46</v>
      </c>
      <c r="C295" s="34">
        <v>56.56</v>
      </c>
      <c r="D295" s="34">
        <v>0</v>
      </c>
      <c r="E295" s="34">
        <v>24.24</v>
      </c>
      <c r="F295" s="34">
        <v>57.84</v>
      </c>
      <c r="G295" s="34">
        <v>0</v>
      </c>
      <c r="H295" s="34">
        <v>24.79</v>
      </c>
      <c r="I295" s="34">
        <v>0</v>
      </c>
      <c r="J295" s="34">
        <v>0</v>
      </c>
      <c r="K295" s="34"/>
      <c r="L295" s="34"/>
      <c r="M295" s="34">
        <f t="shared" si="204"/>
        <v>114.4</v>
      </c>
      <c r="N295" s="34">
        <f t="shared" si="205"/>
        <v>49.03</v>
      </c>
      <c r="O295" s="121">
        <f t="shared" si="206"/>
        <v>0</v>
      </c>
      <c r="P295" s="34">
        <v>0</v>
      </c>
      <c r="Q295" s="38"/>
      <c r="R295" s="38"/>
      <c r="S295" s="26">
        <v>114.4</v>
      </c>
      <c r="T295" s="91">
        <f t="shared" si="208"/>
        <v>114.4</v>
      </c>
      <c r="U295" s="91"/>
      <c r="V295" s="91"/>
    </row>
    <row r="296" spans="2:22" x14ac:dyDescent="0.25">
      <c r="B296" s="3" t="s">
        <v>56</v>
      </c>
      <c r="C296" s="34">
        <v>0</v>
      </c>
      <c r="D296" s="34">
        <v>0</v>
      </c>
      <c r="E296" s="34">
        <v>0</v>
      </c>
      <c r="F296" s="34">
        <v>0</v>
      </c>
      <c r="G296" s="34">
        <v>0</v>
      </c>
      <c r="H296" s="34">
        <v>0</v>
      </c>
      <c r="I296" s="34">
        <v>0</v>
      </c>
      <c r="J296" s="34">
        <v>0</v>
      </c>
      <c r="K296" s="34">
        <v>0</v>
      </c>
      <c r="L296" s="34"/>
      <c r="M296" s="34">
        <f t="shared" si="204"/>
        <v>0</v>
      </c>
      <c r="N296" s="34">
        <f t="shared" si="205"/>
        <v>0</v>
      </c>
      <c r="O296" s="121">
        <f t="shared" si="206"/>
        <v>0</v>
      </c>
      <c r="P296" s="34">
        <v>0</v>
      </c>
      <c r="Q296" s="38"/>
      <c r="R296" s="38"/>
      <c r="S296" s="26">
        <v>0</v>
      </c>
      <c r="T296" s="91">
        <f t="shared" si="208"/>
        <v>0</v>
      </c>
      <c r="U296" s="91"/>
      <c r="V296" s="91"/>
    </row>
    <row r="297" spans="2:22" x14ac:dyDescent="0.25">
      <c r="B297" s="3" t="s">
        <v>48</v>
      </c>
      <c r="C297" s="34">
        <v>223.56</v>
      </c>
      <c r="D297" s="34">
        <v>0</v>
      </c>
      <c r="E297" s="34">
        <v>95.81</v>
      </c>
      <c r="F297" s="34">
        <v>210.54</v>
      </c>
      <c r="G297" s="34">
        <v>0</v>
      </c>
      <c r="H297" s="34">
        <v>90.23</v>
      </c>
      <c r="I297" s="34">
        <v>0</v>
      </c>
      <c r="J297" s="34">
        <v>0</v>
      </c>
      <c r="K297" s="34"/>
      <c r="L297" s="34"/>
      <c r="M297" s="34">
        <f t="shared" si="204"/>
        <v>434.1</v>
      </c>
      <c r="N297" s="34">
        <f t="shared" si="205"/>
        <v>186.04000000000002</v>
      </c>
      <c r="O297" s="121">
        <f t="shared" si="206"/>
        <v>0</v>
      </c>
      <c r="P297" s="34">
        <v>0</v>
      </c>
      <c r="Q297" s="38"/>
      <c r="R297" s="38"/>
      <c r="S297" s="26">
        <v>434.1</v>
      </c>
      <c r="T297" s="91">
        <f t="shared" si="208"/>
        <v>434.1</v>
      </c>
      <c r="U297" s="91"/>
      <c r="V297" s="91"/>
    </row>
    <row r="298" spans="2:22" x14ac:dyDescent="0.25">
      <c r="B298" s="3" t="s">
        <v>49</v>
      </c>
      <c r="C298" s="34">
        <v>161.82</v>
      </c>
      <c r="D298" s="34">
        <v>0</v>
      </c>
      <c r="E298" s="34">
        <v>69.349999999999994</v>
      </c>
      <c r="F298" s="34">
        <v>151.25</v>
      </c>
      <c r="G298" s="34">
        <v>0</v>
      </c>
      <c r="H298" s="34">
        <v>64.819999999999993</v>
      </c>
      <c r="I298" s="34">
        <v>0</v>
      </c>
      <c r="J298" s="34">
        <v>0</v>
      </c>
      <c r="K298" s="34"/>
      <c r="L298" s="34"/>
      <c r="M298" s="34">
        <f t="shared" si="204"/>
        <v>313.07</v>
      </c>
      <c r="N298" s="34">
        <f t="shared" si="205"/>
        <v>134.16999999999999</v>
      </c>
      <c r="O298" s="121">
        <f t="shared" si="206"/>
        <v>0</v>
      </c>
      <c r="P298" s="34">
        <v>0</v>
      </c>
      <c r="Q298" s="38"/>
      <c r="R298" s="38"/>
      <c r="S298" s="26">
        <v>313.07</v>
      </c>
      <c r="T298" s="91">
        <f t="shared" si="208"/>
        <v>313.07</v>
      </c>
      <c r="U298" s="91"/>
      <c r="V298" s="91"/>
    </row>
    <row r="299" spans="2:22" x14ac:dyDescent="0.25">
      <c r="B299" s="3" t="s">
        <v>75</v>
      </c>
      <c r="C299" s="34">
        <v>540</v>
      </c>
      <c r="D299" s="34">
        <v>0</v>
      </c>
      <c r="E299" s="34">
        <v>231.43</v>
      </c>
      <c r="F299" s="34">
        <v>561.6</v>
      </c>
      <c r="G299" s="34">
        <v>0</v>
      </c>
      <c r="H299" s="34">
        <v>240.69</v>
      </c>
      <c r="I299" s="34">
        <v>0</v>
      </c>
      <c r="J299" s="34">
        <v>0</v>
      </c>
      <c r="K299" s="34"/>
      <c r="L299" s="34"/>
      <c r="M299" s="34">
        <f t="shared" si="204"/>
        <v>1101.5999999999999</v>
      </c>
      <c r="N299" s="34">
        <f t="shared" si="205"/>
        <v>472.12</v>
      </c>
      <c r="O299" s="121">
        <f t="shared" si="206"/>
        <v>0</v>
      </c>
      <c r="P299" s="34">
        <v>0</v>
      </c>
      <c r="Q299" s="38"/>
      <c r="R299" s="38"/>
      <c r="S299" s="26">
        <v>1101.5999999999999</v>
      </c>
      <c r="T299" s="91">
        <f t="shared" si="208"/>
        <v>1101.5999999999999</v>
      </c>
      <c r="U299" s="91"/>
      <c r="V299" s="91"/>
    </row>
    <row r="300" spans="2:22" x14ac:dyDescent="0.25">
      <c r="B300" s="3" t="s">
        <v>50</v>
      </c>
      <c r="C300" s="34">
        <v>96.6</v>
      </c>
      <c r="D300" s="34">
        <v>165.6</v>
      </c>
      <c r="E300" s="34">
        <v>41.4</v>
      </c>
      <c r="F300" s="34">
        <v>165.6</v>
      </c>
      <c r="G300" s="34">
        <v>207</v>
      </c>
      <c r="H300" s="34">
        <v>70.97</v>
      </c>
      <c r="I300" s="34">
        <v>0</v>
      </c>
      <c r="J300" s="34">
        <v>0</v>
      </c>
      <c r="K300" s="34"/>
      <c r="L300" s="34"/>
      <c r="M300" s="34">
        <f t="shared" si="204"/>
        <v>262.2</v>
      </c>
      <c r="N300" s="34">
        <f t="shared" si="205"/>
        <v>112.37</v>
      </c>
      <c r="O300" s="121">
        <f t="shared" si="206"/>
        <v>372.6</v>
      </c>
      <c r="P300" s="34">
        <v>0</v>
      </c>
      <c r="Q300" s="38"/>
      <c r="R300" s="38"/>
      <c r="S300" s="26">
        <v>634.79999999999995</v>
      </c>
      <c r="T300" s="91">
        <f t="shared" si="208"/>
        <v>634.79999999999995</v>
      </c>
      <c r="U300" s="91"/>
      <c r="V300" s="91"/>
    </row>
    <row r="301" spans="2:22" x14ac:dyDescent="0.25">
      <c r="B301" s="3" t="s">
        <v>232</v>
      </c>
      <c r="C301" s="34">
        <v>45</v>
      </c>
      <c r="D301" s="34">
        <v>255</v>
      </c>
      <c r="E301" s="34">
        <v>19.29</v>
      </c>
      <c r="F301" s="34">
        <v>75</v>
      </c>
      <c r="G301" s="34">
        <v>0</v>
      </c>
      <c r="H301" s="34">
        <v>32.14</v>
      </c>
      <c r="I301" s="34">
        <v>0</v>
      </c>
      <c r="J301" s="34">
        <v>0</v>
      </c>
      <c r="K301" s="34"/>
      <c r="L301" s="34"/>
      <c r="M301" s="34">
        <f t="shared" si="204"/>
        <v>120</v>
      </c>
      <c r="N301" s="34">
        <f t="shared" si="205"/>
        <v>51.43</v>
      </c>
      <c r="O301" s="121">
        <f t="shared" si="206"/>
        <v>255</v>
      </c>
      <c r="P301" s="34">
        <v>118</v>
      </c>
      <c r="Q301" s="38"/>
      <c r="R301" s="38"/>
      <c r="S301" s="26">
        <v>375</v>
      </c>
      <c r="T301" s="91">
        <f t="shared" si="208"/>
        <v>375</v>
      </c>
      <c r="U301" s="91"/>
      <c r="V301" s="91"/>
    </row>
    <row r="302" spans="2:22" x14ac:dyDescent="0.25">
      <c r="B302" s="3" t="s">
        <v>51</v>
      </c>
      <c r="C302" s="34">
        <v>1035.19</v>
      </c>
      <c r="D302" s="34">
        <v>0</v>
      </c>
      <c r="E302" s="34">
        <v>443.65</v>
      </c>
      <c r="F302" s="34">
        <v>1402.55</v>
      </c>
      <c r="G302" s="34">
        <v>0</v>
      </c>
      <c r="H302" s="34">
        <v>601.09</v>
      </c>
      <c r="I302" s="34">
        <v>0</v>
      </c>
      <c r="J302" s="34">
        <v>0</v>
      </c>
      <c r="K302" s="34"/>
      <c r="L302" s="34"/>
      <c r="M302" s="34">
        <f t="shared" si="204"/>
        <v>2437.7399999999998</v>
      </c>
      <c r="N302" s="34">
        <f t="shared" si="205"/>
        <v>1044.74</v>
      </c>
      <c r="O302" s="121">
        <f t="shared" si="206"/>
        <v>0</v>
      </c>
      <c r="P302" s="34">
        <v>0</v>
      </c>
      <c r="Q302" s="38"/>
      <c r="R302" s="38"/>
      <c r="S302" s="26">
        <v>2437.7399999999998</v>
      </c>
      <c r="T302" s="91">
        <f t="shared" si="208"/>
        <v>2437.7399999999998</v>
      </c>
      <c r="U302" s="91"/>
      <c r="V302" s="91"/>
    </row>
    <row r="303" spans="2:22" x14ac:dyDescent="0.25">
      <c r="B303" s="3" t="s">
        <v>269</v>
      </c>
      <c r="C303" s="34">
        <v>233.2</v>
      </c>
      <c r="D303" s="34"/>
      <c r="E303" s="34">
        <v>99.94</v>
      </c>
      <c r="F303" s="34"/>
      <c r="G303" s="34">
        <v>0</v>
      </c>
      <c r="H303" s="34"/>
      <c r="I303" s="34">
        <v>0</v>
      </c>
      <c r="J303" s="34">
        <v>0</v>
      </c>
      <c r="K303" s="34"/>
      <c r="L303" s="34"/>
      <c r="M303" s="34">
        <f t="shared" si="204"/>
        <v>233.2</v>
      </c>
      <c r="N303" s="34">
        <f t="shared" si="205"/>
        <v>99.94</v>
      </c>
      <c r="O303" s="121"/>
      <c r="P303" s="34">
        <v>0</v>
      </c>
      <c r="Q303" s="38"/>
      <c r="R303" s="38"/>
      <c r="S303" s="26">
        <v>233.2</v>
      </c>
      <c r="T303" s="91">
        <f t="shared" si="208"/>
        <v>233.2</v>
      </c>
      <c r="U303" s="91"/>
      <c r="V303" s="91"/>
    </row>
    <row r="304" spans="2:22" x14ac:dyDescent="0.25">
      <c r="B304" s="3" t="s">
        <v>52</v>
      </c>
      <c r="C304" s="34">
        <v>1196.3</v>
      </c>
      <c r="D304" s="34">
        <v>0</v>
      </c>
      <c r="E304" s="34">
        <v>512.70000000000005</v>
      </c>
      <c r="F304" s="34">
        <v>1196.3</v>
      </c>
      <c r="G304" s="34">
        <v>0</v>
      </c>
      <c r="H304" s="34">
        <v>512.70000000000005</v>
      </c>
      <c r="I304" s="34">
        <v>0</v>
      </c>
      <c r="J304" s="34">
        <v>0</v>
      </c>
      <c r="K304" s="34"/>
      <c r="L304" s="34"/>
      <c r="M304" s="34">
        <f t="shared" si="204"/>
        <v>2392.6</v>
      </c>
      <c r="N304" s="34">
        <f t="shared" si="205"/>
        <v>1025.4000000000001</v>
      </c>
      <c r="O304" s="121">
        <f t="shared" si="206"/>
        <v>0</v>
      </c>
      <c r="P304" s="34">
        <v>0</v>
      </c>
      <c r="Q304" s="38"/>
      <c r="R304" s="38"/>
      <c r="S304" s="26">
        <v>2392.6</v>
      </c>
      <c r="T304" s="91">
        <f t="shared" si="208"/>
        <v>2392.6</v>
      </c>
      <c r="U304" s="91"/>
      <c r="V304" s="91"/>
    </row>
    <row r="305" spans="1:22" x14ac:dyDescent="0.25">
      <c r="B305" s="3" t="s">
        <v>76</v>
      </c>
      <c r="C305" s="34">
        <v>12.85</v>
      </c>
      <c r="D305" s="34">
        <v>12.84</v>
      </c>
      <c r="E305" s="34">
        <v>5.51</v>
      </c>
      <c r="F305" s="34">
        <v>11.01</v>
      </c>
      <c r="G305" s="34">
        <v>11.01</v>
      </c>
      <c r="H305" s="34">
        <v>4.72</v>
      </c>
      <c r="I305" s="34">
        <v>0</v>
      </c>
      <c r="J305" s="34">
        <v>0</v>
      </c>
      <c r="K305" s="34"/>
      <c r="L305" s="34"/>
      <c r="M305" s="34">
        <f t="shared" si="204"/>
        <v>23.86</v>
      </c>
      <c r="N305" s="34">
        <f t="shared" si="205"/>
        <v>10.23</v>
      </c>
      <c r="O305" s="121">
        <f t="shared" si="206"/>
        <v>23.85</v>
      </c>
      <c r="P305" s="34">
        <v>0</v>
      </c>
      <c r="Q305" s="38"/>
      <c r="R305" s="38"/>
      <c r="S305" s="26">
        <v>47.71</v>
      </c>
      <c r="T305" s="91">
        <f t="shared" si="208"/>
        <v>47.71</v>
      </c>
      <c r="U305" s="91"/>
      <c r="V305" s="91"/>
    </row>
    <row r="306" spans="1:22" x14ac:dyDescent="0.25">
      <c r="B306" s="3" t="s">
        <v>53</v>
      </c>
      <c r="C306" s="34">
        <v>750.3</v>
      </c>
      <c r="D306" s="34">
        <v>0</v>
      </c>
      <c r="E306" s="34">
        <v>321.56</v>
      </c>
      <c r="F306" s="34">
        <v>799.68</v>
      </c>
      <c r="G306" s="34">
        <v>0</v>
      </c>
      <c r="H306" s="34">
        <v>342.72</v>
      </c>
      <c r="I306" s="34">
        <v>0</v>
      </c>
      <c r="J306" s="34">
        <v>0</v>
      </c>
      <c r="K306" s="34"/>
      <c r="L306" s="34"/>
      <c r="M306" s="34">
        <f t="shared" si="204"/>
        <v>1549.98</v>
      </c>
      <c r="N306" s="34">
        <f t="shared" si="205"/>
        <v>664.28</v>
      </c>
      <c r="O306" s="121">
        <f t="shared" si="206"/>
        <v>0</v>
      </c>
      <c r="P306" s="34">
        <v>0</v>
      </c>
      <c r="Q306" s="38"/>
      <c r="R306" s="38"/>
      <c r="S306" s="26">
        <v>1549.98</v>
      </c>
      <c r="T306" s="91">
        <f t="shared" si="208"/>
        <v>1549.98</v>
      </c>
      <c r="U306" s="91"/>
      <c r="V306" s="91"/>
    </row>
    <row r="307" spans="1:22" x14ac:dyDescent="0.25">
      <c r="B307" s="3" t="s">
        <v>268</v>
      </c>
      <c r="C307" s="34">
        <v>846.15</v>
      </c>
      <c r="D307" s="34">
        <v>0</v>
      </c>
      <c r="E307" s="34">
        <v>326.64</v>
      </c>
      <c r="F307" s="34">
        <v>680.64</v>
      </c>
      <c r="G307" s="34">
        <v>0</v>
      </c>
      <c r="H307" s="34">
        <v>291.7</v>
      </c>
      <c r="I307" s="34">
        <v>0</v>
      </c>
      <c r="J307" s="34">
        <v>0</v>
      </c>
      <c r="K307" s="34"/>
      <c r="L307" s="34"/>
      <c r="M307" s="34">
        <f t="shared" si="204"/>
        <v>1526.79</v>
      </c>
      <c r="N307" s="34">
        <f t="shared" si="205"/>
        <v>618.33999999999992</v>
      </c>
      <c r="O307" s="121">
        <f t="shared" si="206"/>
        <v>0</v>
      </c>
      <c r="P307" s="34">
        <v>0</v>
      </c>
      <c r="Q307" s="38"/>
      <c r="R307" s="38"/>
      <c r="S307" s="26">
        <v>1526.79</v>
      </c>
      <c r="T307" s="91">
        <f t="shared" si="208"/>
        <v>1526.79</v>
      </c>
      <c r="U307" s="91"/>
      <c r="V307" s="91"/>
    </row>
    <row r="308" spans="1:22" x14ac:dyDescent="0.25">
      <c r="B308" s="3" t="s">
        <v>229</v>
      </c>
      <c r="C308" s="34">
        <v>324.89999999999998</v>
      </c>
      <c r="D308" s="34">
        <v>0</v>
      </c>
      <c r="E308" s="34">
        <v>139.24</v>
      </c>
      <c r="F308" s="34">
        <v>270.27</v>
      </c>
      <c r="G308" s="34">
        <v>0</v>
      </c>
      <c r="H308" s="34">
        <v>115.83</v>
      </c>
      <c r="I308" s="34">
        <v>0</v>
      </c>
      <c r="J308" s="34">
        <v>0</v>
      </c>
      <c r="K308" s="34"/>
      <c r="L308" s="34"/>
      <c r="M308" s="34">
        <f t="shared" si="204"/>
        <v>595.16999999999996</v>
      </c>
      <c r="N308" s="34">
        <f t="shared" si="205"/>
        <v>255.07</v>
      </c>
      <c r="O308" s="121">
        <f t="shared" si="206"/>
        <v>0</v>
      </c>
      <c r="P308" s="34">
        <v>0</v>
      </c>
      <c r="Q308" s="38"/>
      <c r="R308" s="38"/>
      <c r="S308" s="26">
        <v>595.16999999999996</v>
      </c>
      <c r="T308" s="91">
        <f t="shared" si="208"/>
        <v>595.16999999999996</v>
      </c>
      <c r="U308" s="91"/>
      <c r="V308" s="91"/>
    </row>
    <row r="309" spans="1:22" x14ac:dyDescent="0.25">
      <c r="B309" s="3" t="s">
        <v>55</v>
      </c>
      <c r="C309" s="34">
        <v>452.43</v>
      </c>
      <c r="D309" s="34">
        <v>0</v>
      </c>
      <c r="E309" s="34">
        <v>193.9</v>
      </c>
      <c r="F309" s="34">
        <v>463.74</v>
      </c>
      <c r="G309" s="34">
        <v>0</v>
      </c>
      <c r="H309" s="34">
        <v>198.75</v>
      </c>
      <c r="I309" s="34">
        <v>446.94</v>
      </c>
      <c r="J309" s="34">
        <v>0</v>
      </c>
      <c r="K309" s="34">
        <v>191.55</v>
      </c>
      <c r="L309" s="34"/>
      <c r="M309" s="34">
        <f t="shared" si="204"/>
        <v>1363.1100000000001</v>
      </c>
      <c r="N309" s="34">
        <f t="shared" si="205"/>
        <v>584.20000000000005</v>
      </c>
      <c r="O309" s="121">
        <f t="shared" si="206"/>
        <v>0</v>
      </c>
      <c r="P309" s="34">
        <v>0</v>
      </c>
      <c r="Q309" s="38"/>
      <c r="R309" s="38"/>
      <c r="S309" s="26">
        <v>1363.11</v>
      </c>
      <c r="T309" s="91">
        <f t="shared" si="208"/>
        <v>1363.1100000000001</v>
      </c>
      <c r="U309" s="91"/>
      <c r="V309" s="91"/>
    </row>
    <row r="310" spans="1:22" x14ac:dyDescent="0.25">
      <c r="B310" s="3" t="s">
        <v>54</v>
      </c>
      <c r="C310" s="34">
        <v>787.25</v>
      </c>
      <c r="D310" s="34">
        <v>0</v>
      </c>
      <c r="E310" s="34">
        <v>337.39</v>
      </c>
      <c r="F310" s="34">
        <v>745.24</v>
      </c>
      <c r="G310" s="34">
        <v>0</v>
      </c>
      <c r="H310" s="34">
        <v>319.39</v>
      </c>
      <c r="I310" s="34">
        <v>170.34</v>
      </c>
      <c r="J310" s="34">
        <v>0</v>
      </c>
      <c r="K310" s="34">
        <v>73</v>
      </c>
      <c r="L310" s="34"/>
      <c r="M310" s="34">
        <f t="shared" si="204"/>
        <v>1702.83</v>
      </c>
      <c r="N310" s="34">
        <f t="shared" si="205"/>
        <v>729.78</v>
      </c>
      <c r="O310" s="121">
        <f t="shared" si="206"/>
        <v>0</v>
      </c>
      <c r="P310" s="34">
        <v>0</v>
      </c>
      <c r="Q310" s="38"/>
      <c r="R310" s="38"/>
      <c r="S310" s="26">
        <v>1702.83</v>
      </c>
      <c r="T310" s="91">
        <f t="shared" si="208"/>
        <v>1702.83</v>
      </c>
      <c r="U310" s="91"/>
      <c r="V310" s="91"/>
    </row>
    <row r="311" spans="1:22" x14ac:dyDescent="0.25">
      <c r="B311" s="3"/>
      <c r="C311" s="34">
        <f t="shared" ref="C311:K311" si="209">SUM(C290:C310)</f>
        <v>14985.769999999999</v>
      </c>
      <c r="D311" s="34">
        <f t="shared" si="209"/>
        <v>574.44000000000005</v>
      </c>
      <c r="E311" s="34">
        <f t="shared" si="209"/>
        <v>6386.4699999999993</v>
      </c>
      <c r="F311" s="34">
        <f t="shared" si="209"/>
        <v>14235.869999999999</v>
      </c>
      <c r="G311" s="34">
        <f t="shared" si="209"/>
        <v>585.75</v>
      </c>
      <c r="H311" s="34">
        <f t="shared" si="209"/>
        <v>6101.09</v>
      </c>
      <c r="I311" s="34">
        <f t="shared" si="209"/>
        <v>617.28</v>
      </c>
      <c r="J311" s="34">
        <f t="shared" si="209"/>
        <v>97.02</v>
      </c>
      <c r="K311" s="34">
        <f t="shared" si="209"/>
        <v>264.55</v>
      </c>
      <c r="L311" s="34"/>
      <c r="M311" s="34">
        <f t="shared" ref="M311:T311" si="210">SUM(M290:M310)</f>
        <v>29838.92</v>
      </c>
      <c r="N311" s="34">
        <f t="shared" si="210"/>
        <v>12752.110000000002</v>
      </c>
      <c r="O311" s="121">
        <f t="shared" si="210"/>
        <v>1257.21</v>
      </c>
      <c r="P311" s="34">
        <f t="shared" si="210"/>
        <v>118</v>
      </c>
      <c r="Q311" s="38"/>
      <c r="R311" s="38"/>
      <c r="S311" s="26">
        <f t="shared" si="210"/>
        <v>31096.229999999996</v>
      </c>
      <c r="T311" s="91">
        <f t="shared" si="210"/>
        <v>31096.129999999997</v>
      </c>
      <c r="U311" s="91"/>
      <c r="V311" s="91"/>
    </row>
    <row r="312" spans="1:22" x14ac:dyDescent="0.25">
      <c r="B312" s="3"/>
      <c r="C312" s="3"/>
      <c r="D312" s="3"/>
      <c r="E312" s="3"/>
      <c r="F312" s="3"/>
      <c r="G312" s="3"/>
      <c r="H312" s="3"/>
      <c r="I312" s="3"/>
      <c r="J312" s="3"/>
      <c r="K312" s="3"/>
      <c r="L312" s="8" t="s">
        <v>167</v>
      </c>
      <c r="M312" s="8"/>
      <c r="N312" s="8"/>
      <c r="O312" s="122">
        <f>M311+O311</f>
        <v>31096.129999999997</v>
      </c>
      <c r="P312" s="34"/>
      <c r="Q312" s="38"/>
      <c r="R312" s="38"/>
    </row>
    <row r="313" spans="1:22" x14ac:dyDescent="0.25">
      <c r="C313" s="1"/>
      <c r="D313" s="1"/>
      <c r="E313" s="1"/>
    </row>
    <row r="314" spans="1:22" x14ac:dyDescent="0.25">
      <c r="C314" s="1"/>
      <c r="D314" s="1"/>
      <c r="E314" s="1"/>
    </row>
    <row r="315" spans="1:22" x14ac:dyDescent="0.25">
      <c r="C315" s="1"/>
      <c r="D315" s="1"/>
      <c r="E315" s="1"/>
    </row>
    <row r="316" spans="1:22" x14ac:dyDescent="0.25">
      <c r="C316" s="1"/>
      <c r="D316" s="1"/>
      <c r="E316" s="1"/>
    </row>
    <row r="317" spans="1:22" x14ac:dyDescent="0.25">
      <c r="A317" s="15"/>
      <c r="B317" s="15"/>
      <c r="C317" s="15"/>
      <c r="D317" s="15"/>
      <c r="E317" s="15"/>
    </row>
    <row r="318" spans="1:22" x14ac:dyDescent="0.25">
      <c r="B318" t="s">
        <v>264</v>
      </c>
    </row>
    <row r="319" spans="1:22" x14ac:dyDescent="0.25">
      <c r="A319" s="1"/>
      <c r="B319" s="3" t="s">
        <v>42</v>
      </c>
      <c r="C319" s="4" t="s">
        <v>98</v>
      </c>
      <c r="D319" s="4"/>
      <c r="E319" s="4"/>
      <c r="F319" s="4" t="s">
        <v>99</v>
      </c>
      <c r="G319" s="4"/>
      <c r="H319" s="4"/>
      <c r="I319" s="4"/>
      <c r="J319" s="4"/>
      <c r="K319" s="4"/>
      <c r="L319" s="4"/>
      <c r="M319" s="4" t="s">
        <v>93</v>
      </c>
      <c r="N319" s="3" t="s">
        <v>93</v>
      </c>
      <c r="O319" s="3"/>
    </row>
    <row r="320" spans="1:22" x14ac:dyDescent="0.25">
      <c r="B320" s="3"/>
      <c r="C320" s="54" t="s">
        <v>100</v>
      </c>
      <c r="D320" s="54" t="s">
        <v>104</v>
      </c>
      <c r="E320" s="54" t="s">
        <v>101</v>
      </c>
      <c r="F320" s="54" t="s">
        <v>100</v>
      </c>
      <c r="G320" s="54" t="s">
        <v>104</v>
      </c>
      <c r="H320" s="54" t="s">
        <v>101</v>
      </c>
      <c r="I320" s="54"/>
      <c r="J320" s="54"/>
      <c r="K320" s="54"/>
      <c r="L320" s="3"/>
      <c r="M320" s="54" t="s">
        <v>105</v>
      </c>
      <c r="N320" s="54" t="s">
        <v>102</v>
      </c>
      <c r="O320" s="54" t="s">
        <v>103</v>
      </c>
    </row>
    <row r="321" spans="2:18" x14ac:dyDescent="0.25">
      <c r="B321" s="3" t="s">
        <v>43</v>
      </c>
      <c r="C321" s="34">
        <v>1175.4100000000001</v>
      </c>
      <c r="D321" s="34">
        <v>0</v>
      </c>
      <c r="E321" s="34">
        <v>503.75</v>
      </c>
      <c r="F321" s="34">
        <v>1435.12</v>
      </c>
      <c r="G321" s="34">
        <v>0</v>
      </c>
      <c r="H321" s="34">
        <v>615.04999999999995</v>
      </c>
      <c r="I321" s="34"/>
      <c r="J321" s="34"/>
      <c r="K321" s="34"/>
      <c r="L321" s="34"/>
      <c r="M321" s="34">
        <f>C321+F321</f>
        <v>2610.5299999999997</v>
      </c>
      <c r="N321" s="34">
        <f>E321+H321</f>
        <v>1118.8</v>
      </c>
      <c r="O321" s="34">
        <f>D321+G321</f>
        <v>0</v>
      </c>
      <c r="P321" s="2">
        <f>M321+O321</f>
        <v>2610.5299999999997</v>
      </c>
      <c r="Q321" s="2"/>
      <c r="R321" s="2"/>
    </row>
    <row r="322" spans="2:18" x14ac:dyDescent="0.25">
      <c r="B322" s="3" t="s">
        <v>44</v>
      </c>
      <c r="C322" s="34">
        <v>0</v>
      </c>
      <c r="D322" s="34">
        <v>0</v>
      </c>
      <c r="E322" s="34">
        <v>0</v>
      </c>
      <c r="F322" s="34">
        <v>0</v>
      </c>
      <c r="G322" s="34">
        <v>0</v>
      </c>
      <c r="H322" s="34">
        <v>0</v>
      </c>
      <c r="I322" s="34"/>
      <c r="J322" s="34"/>
      <c r="K322" s="34"/>
      <c r="L322" s="34"/>
      <c r="M322" s="34">
        <f t="shared" ref="M322:M339" si="211">C322+F322</f>
        <v>0</v>
      </c>
      <c r="N322" s="34">
        <f t="shared" ref="N322:N339" si="212">E322+H322</f>
        <v>0</v>
      </c>
      <c r="O322" s="34">
        <f t="shared" ref="O322:O339" si="213">D322+G322</f>
        <v>0</v>
      </c>
      <c r="P322" s="2">
        <f t="shared" ref="P322:P340" si="214">M322+O322</f>
        <v>0</v>
      </c>
      <c r="Q322" s="2"/>
      <c r="R322" s="2"/>
    </row>
    <row r="323" spans="2:18" x14ac:dyDescent="0.25">
      <c r="B323" s="3" t="s">
        <v>60</v>
      </c>
      <c r="C323" s="34">
        <v>4329.6400000000003</v>
      </c>
      <c r="D323" s="34">
        <v>0</v>
      </c>
      <c r="E323" s="34">
        <v>1855.56</v>
      </c>
      <c r="F323" s="34">
        <v>3829.15</v>
      </c>
      <c r="G323" s="34">
        <v>0</v>
      </c>
      <c r="H323" s="34">
        <v>1641.06</v>
      </c>
      <c r="I323" s="34"/>
      <c r="J323" s="34"/>
      <c r="K323" s="34"/>
      <c r="L323" s="34"/>
      <c r="M323" s="34">
        <f t="shared" si="211"/>
        <v>8158.7900000000009</v>
      </c>
      <c r="N323" s="34">
        <f t="shared" si="212"/>
        <v>3496.62</v>
      </c>
      <c r="O323" s="34">
        <f t="shared" si="213"/>
        <v>0</v>
      </c>
      <c r="P323" s="2">
        <f t="shared" si="214"/>
        <v>8158.7900000000009</v>
      </c>
      <c r="Q323" s="2"/>
      <c r="R323" s="2"/>
    </row>
    <row r="324" spans="2:18" x14ac:dyDescent="0.25">
      <c r="B324" s="3" t="s">
        <v>45</v>
      </c>
      <c r="C324" s="34">
        <v>573.54</v>
      </c>
      <c r="D324" s="34">
        <v>0</v>
      </c>
      <c r="E324" s="34">
        <v>245.8</v>
      </c>
      <c r="F324" s="34">
        <v>810.08</v>
      </c>
      <c r="G324" s="34">
        <v>0</v>
      </c>
      <c r="H324" s="34">
        <v>347.18</v>
      </c>
      <c r="I324" s="34"/>
      <c r="J324" s="34"/>
      <c r="K324" s="34"/>
      <c r="L324" s="34"/>
      <c r="M324" s="34">
        <f t="shared" si="211"/>
        <v>1383.62</v>
      </c>
      <c r="N324" s="34">
        <f t="shared" si="212"/>
        <v>592.98</v>
      </c>
      <c r="O324" s="34">
        <f t="shared" si="213"/>
        <v>0</v>
      </c>
      <c r="P324" s="2">
        <f t="shared" si="214"/>
        <v>1383.62</v>
      </c>
      <c r="Q324" s="2"/>
      <c r="R324" s="2"/>
    </row>
    <row r="325" spans="2:18" x14ac:dyDescent="0.25">
      <c r="B325" s="3" t="s">
        <v>228</v>
      </c>
      <c r="C325" s="34">
        <v>0</v>
      </c>
      <c r="D325" s="34">
        <v>0</v>
      </c>
      <c r="E325" s="34">
        <v>0</v>
      </c>
      <c r="F325" s="34">
        <v>0</v>
      </c>
      <c r="G325" s="34">
        <v>108</v>
      </c>
      <c r="H325" s="34">
        <v>0</v>
      </c>
      <c r="I325" s="34"/>
      <c r="J325" s="34"/>
      <c r="K325" s="34"/>
      <c r="L325" s="34"/>
      <c r="M325" s="34">
        <f t="shared" si="211"/>
        <v>0</v>
      </c>
      <c r="N325" s="34">
        <f t="shared" si="212"/>
        <v>0</v>
      </c>
      <c r="O325" s="34">
        <f t="shared" si="213"/>
        <v>108</v>
      </c>
      <c r="P325" s="2">
        <f t="shared" si="214"/>
        <v>108</v>
      </c>
      <c r="Q325" s="2"/>
      <c r="R325" s="2"/>
    </row>
    <row r="326" spans="2:18" x14ac:dyDescent="0.25">
      <c r="B326" s="3" t="s">
        <v>46</v>
      </c>
      <c r="C326" s="34">
        <v>51.75</v>
      </c>
      <c r="D326" s="34">
        <v>0</v>
      </c>
      <c r="E326" s="34">
        <v>22.18</v>
      </c>
      <c r="F326" s="34">
        <v>51.75</v>
      </c>
      <c r="G326" s="34"/>
      <c r="H326" s="34">
        <v>22.18</v>
      </c>
      <c r="I326" s="34"/>
      <c r="J326" s="34"/>
      <c r="K326" s="34"/>
      <c r="L326" s="34"/>
      <c r="M326" s="34">
        <f t="shared" si="211"/>
        <v>103.5</v>
      </c>
      <c r="N326" s="34">
        <f t="shared" si="212"/>
        <v>44.36</v>
      </c>
      <c r="O326" s="34">
        <f t="shared" si="213"/>
        <v>0</v>
      </c>
      <c r="P326" s="2">
        <f t="shared" si="214"/>
        <v>103.5</v>
      </c>
      <c r="Q326" s="2"/>
      <c r="R326" s="2"/>
    </row>
    <row r="327" spans="2:18" x14ac:dyDescent="0.25">
      <c r="B327" s="3" t="s">
        <v>47</v>
      </c>
      <c r="C327" s="34">
        <v>0</v>
      </c>
      <c r="D327" s="34">
        <v>145.88</v>
      </c>
      <c r="E327" s="34">
        <v>0</v>
      </c>
      <c r="F327" s="34">
        <v>0</v>
      </c>
      <c r="G327" s="34">
        <v>0</v>
      </c>
      <c r="H327" s="34">
        <v>0</v>
      </c>
      <c r="I327" s="34"/>
      <c r="J327" s="34"/>
      <c r="K327" s="34"/>
      <c r="L327" s="34"/>
      <c r="M327" s="34">
        <f t="shared" si="211"/>
        <v>0</v>
      </c>
      <c r="N327" s="34">
        <f t="shared" si="212"/>
        <v>0</v>
      </c>
      <c r="O327" s="34">
        <f t="shared" si="213"/>
        <v>145.88</v>
      </c>
      <c r="P327" s="2">
        <f t="shared" si="214"/>
        <v>145.88</v>
      </c>
      <c r="Q327" s="2"/>
      <c r="R327" s="2"/>
    </row>
    <row r="328" spans="2:18" x14ac:dyDescent="0.25">
      <c r="B328" s="3" t="s">
        <v>56</v>
      </c>
      <c r="C328" s="34">
        <v>0</v>
      </c>
      <c r="D328" s="34">
        <v>0</v>
      </c>
      <c r="E328" s="34">
        <v>0</v>
      </c>
      <c r="F328" s="34">
        <v>0</v>
      </c>
      <c r="G328" s="34">
        <v>0</v>
      </c>
      <c r="H328" s="34">
        <v>0</v>
      </c>
      <c r="I328" s="34"/>
      <c r="J328" s="34"/>
      <c r="K328" s="34"/>
      <c r="L328" s="34"/>
      <c r="M328" s="34">
        <f t="shared" si="211"/>
        <v>0</v>
      </c>
      <c r="N328" s="34">
        <f t="shared" si="212"/>
        <v>0</v>
      </c>
      <c r="O328" s="34">
        <f t="shared" si="213"/>
        <v>0</v>
      </c>
      <c r="P328" s="2">
        <f t="shared" si="214"/>
        <v>0</v>
      </c>
      <c r="Q328" s="2"/>
      <c r="R328" s="2"/>
    </row>
    <row r="329" spans="2:18" x14ac:dyDescent="0.25">
      <c r="B329" s="3" t="s">
        <v>48</v>
      </c>
      <c r="C329" s="34">
        <v>128.44999999999999</v>
      </c>
      <c r="D329" s="34">
        <v>0</v>
      </c>
      <c r="E329" s="34">
        <v>55.05</v>
      </c>
      <c r="F329" s="34">
        <v>91.75</v>
      </c>
      <c r="G329" s="34">
        <v>0</v>
      </c>
      <c r="H329" s="34">
        <v>39.92</v>
      </c>
      <c r="I329" s="34"/>
      <c r="J329" s="34"/>
      <c r="K329" s="34"/>
      <c r="L329" s="34"/>
      <c r="M329" s="34">
        <f t="shared" si="211"/>
        <v>220.2</v>
      </c>
      <c r="N329" s="34">
        <f t="shared" si="212"/>
        <v>94.97</v>
      </c>
      <c r="O329" s="34">
        <f t="shared" si="213"/>
        <v>0</v>
      </c>
      <c r="P329" s="2">
        <f t="shared" si="214"/>
        <v>220.2</v>
      </c>
      <c r="Q329" s="2"/>
      <c r="R329" s="2"/>
    </row>
    <row r="330" spans="2:18" x14ac:dyDescent="0.25">
      <c r="B330" s="3" t="s">
        <v>49</v>
      </c>
      <c r="C330" s="34">
        <v>130.5</v>
      </c>
      <c r="D330" s="34">
        <v>0</v>
      </c>
      <c r="E330" s="34">
        <v>55.93</v>
      </c>
      <c r="F330" s="34">
        <v>132.69999999999999</v>
      </c>
      <c r="G330" s="34">
        <v>0</v>
      </c>
      <c r="H330" s="34">
        <v>56.87</v>
      </c>
      <c r="I330" s="34"/>
      <c r="J330" s="34"/>
      <c r="K330" s="34"/>
      <c r="L330" s="34"/>
      <c r="M330" s="34">
        <f t="shared" si="211"/>
        <v>263.2</v>
      </c>
      <c r="N330" s="34">
        <f t="shared" si="212"/>
        <v>112.8</v>
      </c>
      <c r="O330" s="34">
        <f t="shared" si="213"/>
        <v>0</v>
      </c>
      <c r="P330" s="2">
        <f t="shared" si="214"/>
        <v>263.2</v>
      </c>
      <c r="Q330" s="2"/>
      <c r="R330" s="2"/>
    </row>
    <row r="331" spans="2:18" x14ac:dyDescent="0.25">
      <c r="B331" s="3" t="s">
        <v>75</v>
      </c>
      <c r="C331" s="34">
        <v>504</v>
      </c>
      <c r="D331" s="34">
        <v>0</v>
      </c>
      <c r="E331" s="34">
        <v>216</v>
      </c>
      <c r="F331" s="34">
        <v>528</v>
      </c>
      <c r="G331" s="34">
        <v>0</v>
      </c>
      <c r="H331" s="34">
        <v>226.29</v>
      </c>
      <c r="I331" s="34"/>
      <c r="J331" s="34"/>
      <c r="K331" s="34"/>
      <c r="L331" s="34"/>
      <c r="M331" s="34">
        <f t="shared" si="211"/>
        <v>1032</v>
      </c>
      <c r="N331" s="34">
        <f t="shared" si="212"/>
        <v>442.28999999999996</v>
      </c>
      <c r="O331" s="34">
        <f t="shared" si="213"/>
        <v>0</v>
      </c>
      <c r="P331" s="2">
        <f t="shared" si="214"/>
        <v>1032</v>
      </c>
      <c r="Q331" s="2"/>
      <c r="R331" s="2"/>
    </row>
    <row r="332" spans="2:18" x14ac:dyDescent="0.25">
      <c r="B332" s="3" t="s">
        <v>50</v>
      </c>
      <c r="C332" s="34">
        <v>124.2</v>
      </c>
      <c r="D332" s="34">
        <v>131.1</v>
      </c>
      <c r="E332" s="34">
        <v>53.23</v>
      </c>
      <c r="F332" s="34">
        <v>365.7</v>
      </c>
      <c r="G332" s="34">
        <v>0</v>
      </c>
      <c r="H332" s="34">
        <v>156.72999999999999</v>
      </c>
      <c r="I332" s="34"/>
      <c r="J332" s="34"/>
      <c r="K332" s="34"/>
      <c r="L332" s="34"/>
      <c r="M332" s="34">
        <f t="shared" si="211"/>
        <v>489.9</v>
      </c>
      <c r="N332" s="34">
        <f t="shared" si="212"/>
        <v>209.95999999999998</v>
      </c>
      <c r="O332" s="34">
        <f t="shared" si="213"/>
        <v>131.1</v>
      </c>
      <c r="P332" s="2">
        <f t="shared" si="214"/>
        <v>621</v>
      </c>
      <c r="Q332" s="2"/>
      <c r="R332" s="2"/>
    </row>
    <row r="333" spans="2:18" x14ac:dyDescent="0.25">
      <c r="B333" s="3" t="s">
        <v>51</v>
      </c>
      <c r="C333" s="34">
        <v>737.69</v>
      </c>
      <c r="D333" s="34">
        <v>0</v>
      </c>
      <c r="E333" s="34">
        <v>316.14999999999998</v>
      </c>
      <c r="F333" s="34">
        <v>1255.42</v>
      </c>
      <c r="G333" s="34">
        <v>0</v>
      </c>
      <c r="H333" s="34">
        <v>538.04</v>
      </c>
      <c r="I333" s="34"/>
      <c r="J333" s="34"/>
      <c r="K333" s="34"/>
      <c r="L333" s="34"/>
      <c r="M333" s="34">
        <f t="shared" si="211"/>
        <v>1993.1100000000001</v>
      </c>
      <c r="N333" s="34">
        <f t="shared" si="212"/>
        <v>854.18999999999994</v>
      </c>
      <c r="O333" s="34">
        <f t="shared" si="213"/>
        <v>0</v>
      </c>
      <c r="P333" s="2">
        <f t="shared" si="214"/>
        <v>1993.1100000000001</v>
      </c>
      <c r="Q333" s="2"/>
      <c r="R333" s="2"/>
    </row>
    <row r="334" spans="2:18" x14ac:dyDescent="0.25">
      <c r="B334" s="3" t="s">
        <v>52</v>
      </c>
      <c r="C334" s="34">
        <v>1196.3</v>
      </c>
      <c r="D334" s="34">
        <v>0</v>
      </c>
      <c r="E334" s="34">
        <v>512.70000000000005</v>
      </c>
      <c r="F334" s="34">
        <v>1196.3</v>
      </c>
      <c r="G334" s="34">
        <v>0</v>
      </c>
      <c r="H334" s="34">
        <v>512.70000000000005</v>
      </c>
      <c r="I334" s="34"/>
      <c r="J334" s="34"/>
      <c r="K334" s="34"/>
      <c r="L334" s="34"/>
      <c r="M334" s="34">
        <f t="shared" si="211"/>
        <v>2392.6</v>
      </c>
      <c r="N334" s="34">
        <f t="shared" si="212"/>
        <v>1025.4000000000001</v>
      </c>
      <c r="O334" s="34">
        <f t="shared" si="213"/>
        <v>0</v>
      </c>
      <c r="P334" s="2">
        <f t="shared" si="214"/>
        <v>2392.6</v>
      </c>
      <c r="Q334" s="2"/>
      <c r="R334" s="2"/>
    </row>
    <row r="335" spans="2:18" x14ac:dyDescent="0.25">
      <c r="B335" s="3" t="s">
        <v>76</v>
      </c>
      <c r="C335" s="34">
        <v>11.01</v>
      </c>
      <c r="D335" s="34">
        <v>11.01</v>
      </c>
      <c r="E335" s="34">
        <v>4.72</v>
      </c>
      <c r="F335" s="34">
        <v>11.01</v>
      </c>
      <c r="G335" s="34">
        <v>11.01</v>
      </c>
      <c r="H335" s="34">
        <v>4.72</v>
      </c>
      <c r="I335" s="34"/>
      <c r="J335" s="34"/>
      <c r="K335" s="34"/>
      <c r="L335" s="34"/>
      <c r="M335" s="34">
        <f t="shared" si="211"/>
        <v>22.02</v>
      </c>
      <c r="N335" s="34">
        <f t="shared" si="212"/>
        <v>9.44</v>
      </c>
      <c r="O335" s="34">
        <f t="shared" si="213"/>
        <v>22.02</v>
      </c>
      <c r="P335" s="2">
        <f t="shared" si="214"/>
        <v>44.04</v>
      </c>
      <c r="Q335" s="2"/>
      <c r="R335" s="2"/>
    </row>
    <row r="336" spans="2:18" x14ac:dyDescent="0.25">
      <c r="B336" s="3" t="s">
        <v>53</v>
      </c>
      <c r="C336" s="34">
        <v>646.76</v>
      </c>
      <c r="D336" s="34">
        <v>0</v>
      </c>
      <c r="E336" s="34">
        <v>227.18</v>
      </c>
      <c r="F336" s="34">
        <v>704</v>
      </c>
      <c r="G336" s="34">
        <v>0</v>
      </c>
      <c r="H336" s="34">
        <v>301.70999999999998</v>
      </c>
      <c r="I336" s="34"/>
      <c r="J336" s="34"/>
      <c r="K336" s="34"/>
      <c r="L336" s="34"/>
      <c r="M336" s="34">
        <f t="shared" si="211"/>
        <v>1350.76</v>
      </c>
      <c r="N336" s="34">
        <f t="shared" si="212"/>
        <v>528.89</v>
      </c>
      <c r="O336" s="34">
        <f t="shared" si="213"/>
        <v>0</v>
      </c>
      <c r="P336" s="2">
        <f t="shared" si="214"/>
        <v>1350.76</v>
      </c>
      <c r="Q336" s="2"/>
      <c r="R336" s="2"/>
    </row>
    <row r="337" spans="1:18" x14ac:dyDescent="0.25">
      <c r="B337" s="3" t="s">
        <v>229</v>
      </c>
      <c r="C337" s="34">
        <v>276.25</v>
      </c>
      <c r="D337" s="34">
        <v>0</v>
      </c>
      <c r="E337" s="34">
        <v>118.39</v>
      </c>
      <c r="F337" s="34">
        <v>233.8</v>
      </c>
      <c r="G337" s="34">
        <v>0</v>
      </c>
      <c r="H337" s="34">
        <v>100.2</v>
      </c>
      <c r="I337" s="34"/>
      <c r="J337" s="34"/>
      <c r="K337" s="34"/>
      <c r="L337" s="34"/>
      <c r="M337" s="34">
        <f t="shared" si="211"/>
        <v>510.05</v>
      </c>
      <c r="N337" s="34">
        <f t="shared" si="212"/>
        <v>218.59</v>
      </c>
      <c r="O337" s="34">
        <f t="shared" si="213"/>
        <v>0</v>
      </c>
      <c r="P337" s="2">
        <f t="shared" si="214"/>
        <v>510.05</v>
      </c>
      <c r="Q337" s="2"/>
      <c r="R337" s="2"/>
    </row>
    <row r="338" spans="1:18" x14ac:dyDescent="0.25">
      <c r="B338" s="3" t="s">
        <v>55</v>
      </c>
      <c r="C338" s="34">
        <v>364.99</v>
      </c>
      <c r="D338" s="34">
        <v>0</v>
      </c>
      <c r="E338" s="34">
        <v>156.41999999999999</v>
      </c>
      <c r="F338" s="34">
        <v>360.28</v>
      </c>
      <c r="G338" s="34">
        <v>0</v>
      </c>
      <c r="H338" s="34">
        <v>154.41</v>
      </c>
      <c r="I338" s="34"/>
      <c r="J338" s="34"/>
      <c r="K338" s="34"/>
      <c r="L338" s="34"/>
      <c r="M338" s="34">
        <f t="shared" si="211"/>
        <v>725.27</v>
      </c>
      <c r="N338" s="34">
        <f t="shared" si="212"/>
        <v>310.83</v>
      </c>
      <c r="O338" s="34">
        <f t="shared" si="213"/>
        <v>0</v>
      </c>
      <c r="P338" s="2">
        <f t="shared" si="214"/>
        <v>725.27</v>
      </c>
      <c r="Q338" s="2"/>
      <c r="R338" s="2"/>
    </row>
    <row r="339" spans="1:18" x14ac:dyDescent="0.25">
      <c r="B339" s="3" t="s">
        <v>54</v>
      </c>
      <c r="C339" s="34">
        <v>727.35</v>
      </c>
      <c r="D339" s="34">
        <v>0</v>
      </c>
      <c r="E339" s="34">
        <v>311.72000000000003</v>
      </c>
      <c r="F339" s="34">
        <v>677.32</v>
      </c>
      <c r="G339" s="34">
        <v>0</v>
      </c>
      <c r="H339" s="34">
        <v>290.27999999999997</v>
      </c>
      <c r="I339" s="34"/>
      <c r="J339" s="34"/>
      <c r="K339" s="34"/>
      <c r="L339" s="34"/>
      <c r="M339" s="34">
        <f t="shared" si="211"/>
        <v>1404.67</v>
      </c>
      <c r="N339" s="34">
        <f t="shared" si="212"/>
        <v>602</v>
      </c>
      <c r="O339" s="34">
        <f t="shared" si="213"/>
        <v>0</v>
      </c>
      <c r="P339" s="2">
        <f t="shared" si="214"/>
        <v>1404.67</v>
      </c>
      <c r="Q339" s="2"/>
      <c r="R339" s="2"/>
    </row>
    <row r="340" spans="1:18" x14ac:dyDescent="0.25">
      <c r="B340" s="3"/>
      <c r="C340" s="34">
        <f>SUM(C321:C339)</f>
        <v>10977.84</v>
      </c>
      <c r="D340" s="34"/>
      <c r="E340" s="34">
        <f>SUM(E321:E339)</f>
        <v>4654.7800000000007</v>
      </c>
      <c r="F340" s="34">
        <f>SUM(F321:F339)</f>
        <v>11682.38</v>
      </c>
      <c r="G340" s="34"/>
      <c r="H340" s="34">
        <f>SUM(H321:H339)</f>
        <v>5007.3399999999992</v>
      </c>
      <c r="I340" s="34"/>
      <c r="J340" s="34"/>
      <c r="K340" s="34"/>
      <c r="L340" s="34"/>
      <c r="M340" s="34">
        <f>SUM(M321:M339)</f>
        <v>22660.22</v>
      </c>
      <c r="N340" s="34">
        <f>SUM(N321:N339)</f>
        <v>9662.119999999999</v>
      </c>
      <c r="O340" s="34">
        <f>SUM(O321:O339)</f>
        <v>407</v>
      </c>
      <c r="P340" s="2">
        <f t="shared" si="214"/>
        <v>23067.22</v>
      </c>
      <c r="Q340" s="2"/>
      <c r="R340" s="2"/>
    </row>
    <row r="341" spans="1:18" x14ac:dyDescent="0.25">
      <c r="B341" s="3"/>
      <c r="C341" s="3"/>
      <c r="D341" s="3"/>
      <c r="E341" s="3"/>
      <c r="F341" s="3"/>
      <c r="G341" s="3"/>
      <c r="H341" s="3"/>
      <c r="I341" s="3"/>
      <c r="J341" s="3"/>
      <c r="K341" s="3"/>
      <c r="L341" s="8" t="s">
        <v>167</v>
      </c>
      <c r="M341" s="8"/>
      <c r="N341" s="8"/>
      <c r="O341" s="103">
        <f>M340+O340</f>
        <v>23067.22</v>
      </c>
    </row>
    <row r="342" spans="1:18" x14ac:dyDescent="0.25">
      <c r="A342" s="1"/>
    </row>
    <row r="344" spans="1:18" x14ac:dyDescent="0.25">
      <c r="C344" s="19"/>
      <c r="D344" s="19"/>
      <c r="E344" s="19"/>
    </row>
    <row r="345" spans="1:18" x14ac:dyDescent="0.25">
      <c r="C345" s="20"/>
      <c r="D345" s="20"/>
      <c r="E345" s="20"/>
    </row>
    <row r="346" spans="1:18" x14ac:dyDescent="0.25">
      <c r="A346" s="1"/>
      <c r="C346" s="20"/>
      <c r="D346" s="20"/>
      <c r="E346" s="20"/>
    </row>
    <row r="347" spans="1:18" x14ac:dyDescent="0.25">
      <c r="C347" s="20"/>
      <c r="D347" s="20"/>
      <c r="E347" s="20"/>
    </row>
    <row r="348" spans="1:18" x14ac:dyDescent="0.25">
      <c r="C348" s="19"/>
      <c r="D348" s="19"/>
      <c r="E348" s="19"/>
    </row>
    <row r="349" spans="1:18" x14ac:dyDescent="0.25">
      <c r="C349" s="20"/>
      <c r="D349" s="20"/>
      <c r="E349" s="20"/>
    </row>
    <row r="350" spans="1:18" x14ac:dyDescent="0.25">
      <c r="A350" s="1"/>
      <c r="C350" s="20"/>
      <c r="D350" s="20"/>
      <c r="E350" s="20"/>
    </row>
    <row r="351" spans="1:18" x14ac:dyDescent="0.25">
      <c r="C351" s="20"/>
      <c r="D351" s="20"/>
      <c r="E351" s="20"/>
    </row>
    <row r="352" spans="1:18" x14ac:dyDescent="0.25">
      <c r="C352" s="19"/>
      <c r="D352" s="19"/>
      <c r="E352" s="19"/>
    </row>
    <row r="353" spans="1:5" x14ac:dyDescent="0.25">
      <c r="C353" s="20"/>
      <c r="D353" s="20"/>
      <c r="E353" s="20"/>
    </row>
    <row r="354" spans="1:5" x14ac:dyDescent="0.25">
      <c r="A354" s="1"/>
      <c r="C354" s="20"/>
      <c r="D354" s="20"/>
      <c r="E354" s="20"/>
    </row>
    <row r="355" spans="1:5" x14ac:dyDescent="0.25">
      <c r="C355" s="20"/>
      <c r="D355" s="20"/>
      <c r="E355" s="20"/>
    </row>
    <row r="356" spans="1:5" x14ac:dyDescent="0.25">
      <c r="C356" s="20"/>
      <c r="D356" s="20"/>
      <c r="E356" s="20"/>
    </row>
    <row r="357" spans="1:5" x14ac:dyDescent="0.25">
      <c r="C357" s="20"/>
      <c r="D357" s="20"/>
      <c r="E357" s="20"/>
    </row>
    <row r="358" spans="1:5" x14ac:dyDescent="0.25">
      <c r="C358" s="20"/>
      <c r="D358" s="20"/>
      <c r="E358" s="20"/>
    </row>
    <row r="359" spans="1:5" x14ac:dyDescent="0.25">
      <c r="C359" s="19"/>
      <c r="D359" s="19"/>
      <c r="E359" s="19"/>
    </row>
    <row r="360" spans="1:5" x14ac:dyDescent="0.25">
      <c r="C360" s="19"/>
      <c r="D360" s="19"/>
      <c r="E360" s="19"/>
    </row>
    <row r="361" spans="1:5" x14ac:dyDescent="0.25">
      <c r="C361" s="19"/>
      <c r="D361" s="19"/>
      <c r="E361" s="19"/>
    </row>
    <row r="362" spans="1:5" x14ac:dyDescent="0.25">
      <c r="C362" s="19"/>
      <c r="D362" s="19"/>
      <c r="E362" s="19"/>
    </row>
  </sheetData>
  <pageMargins left="0.70866141732283505" right="0.70866141732283505" top="0.74803149606299202" bottom="0.74803149606299202" header="0.31496062992126" footer="0.31496062992126"/>
  <pageSetup paperSize="9" scale="34" fitToHeight="0" orientation="landscape" r:id="rId1"/>
  <headerFooter>
    <oddFooter>&amp;L&amp;F&amp;R&amp;A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pageSetUpPr fitToPage="1"/>
  </sheetPr>
  <dimension ref="A1:AI370"/>
  <sheetViews>
    <sheetView workbookViewId="0"/>
  </sheetViews>
  <sheetFormatPr defaultRowHeight="15" x14ac:dyDescent="0.25"/>
  <cols>
    <col min="1" max="1" width="5.140625" customWidth="1"/>
    <col min="2" max="2" width="28.85546875" customWidth="1"/>
    <col min="3" max="3" width="11.85546875" customWidth="1"/>
    <col min="4" max="4" width="14.5703125" customWidth="1"/>
    <col min="5" max="5" width="2.7109375" customWidth="1"/>
    <col min="6" max="6" width="2.28515625" customWidth="1"/>
    <col min="7" max="7" width="3.140625" customWidth="1"/>
    <col min="8" max="8" width="2.28515625" customWidth="1"/>
    <col min="9" max="9" width="8.140625" customWidth="1"/>
    <col min="10" max="10" width="12.5703125" customWidth="1"/>
    <col min="11" max="11" width="2.28515625" customWidth="1"/>
    <col min="12" max="12" width="11.28515625" customWidth="1"/>
    <col min="13" max="13" width="12.42578125" customWidth="1"/>
    <col min="14" max="14" width="2.7109375" customWidth="1"/>
    <col min="15" max="15" width="8.42578125" customWidth="1"/>
    <col min="16" max="16" width="11.85546875" customWidth="1"/>
    <col min="17" max="17" width="3.28515625" customWidth="1"/>
    <col min="18" max="18" width="9" hidden="1" customWidth="1"/>
    <col min="19" max="19" width="12" hidden="1" customWidth="1"/>
    <col min="20" max="20" width="3.140625" customWidth="1"/>
    <col min="22" max="22" width="14.140625" customWidth="1"/>
    <col min="23" max="23" width="11.42578125" customWidth="1"/>
    <col min="24" max="24" width="9.140625" customWidth="1"/>
    <col min="25" max="25" width="11.42578125" customWidth="1"/>
    <col min="26" max="26" width="15.140625" customWidth="1"/>
    <col min="27" max="27" width="15.7109375" customWidth="1"/>
    <col min="28" max="28" width="11.5703125" customWidth="1"/>
    <col min="31" max="31" width="45.85546875" customWidth="1"/>
    <col min="32" max="32" width="10.7109375" customWidth="1"/>
  </cols>
  <sheetData>
    <row r="1" spans="1:31" x14ac:dyDescent="0.25">
      <c r="B1" t="s">
        <v>39</v>
      </c>
      <c r="L1" t="s">
        <v>452</v>
      </c>
      <c r="M1" s="91">
        <f>M50+M55+M56+M57+M59+M68+M75</f>
        <v>-70462.649999999994</v>
      </c>
      <c r="AE1" t="s">
        <v>39</v>
      </c>
    </row>
    <row r="2" spans="1:31" x14ac:dyDescent="0.25">
      <c r="B2" t="s">
        <v>40</v>
      </c>
      <c r="L2" t="s">
        <v>453</v>
      </c>
      <c r="M2" s="91">
        <f>+M60+M61+M64+M74+M48+M51+M58</f>
        <v>176193.5</v>
      </c>
      <c r="O2" t="s">
        <v>454</v>
      </c>
      <c r="P2" s="91">
        <f>P77</f>
        <v>2052</v>
      </c>
      <c r="AE2" t="s">
        <v>40</v>
      </c>
    </row>
    <row r="3" spans="1:31" x14ac:dyDescent="0.25">
      <c r="M3" s="91"/>
      <c r="P3" s="91"/>
      <c r="Y3" t="s">
        <v>517</v>
      </c>
    </row>
    <row r="4" spans="1:31" x14ac:dyDescent="0.25">
      <c r="B4" t="s">
        <v>168</v>
      </c>
      <c r="Y4" t="s">
        <v>516</v>
      </c>
      <c r="AE4" t="s">
        <v>168</v>
      </c>
    </row>
    <row r="5" spans="1:31" x14ac:dyDescent="0.25">
      <c r="B5" s="29" t="s">
        <v>169</v>
      </c>
      <c r="AE5" s="29" t="s">
        <v>169</v>
      </c>
    </row>
    <row r="6" spans="1:31" x14ac:dyDescent="0.25">
      <c r="A6" t="s">
        <v>170</v>
      </c>
      <c r="C6" s="51">
        <v>43646</v>
      </c>
      <c r="D6" s="51">
        <v>43646</v>
      </c>
      <c r="E6" s="48"/>
      <c r="F6" s="3" t="s">
        <v>174</v>
      </c>
      <c r="G6" s="3"/>
      <c r="H6" s="20"/>
      <c r="I6" s="32" t="s">
        <v>511</v>
      </c>
      <c r="J6" s="3"/>
      <c r="K6" s="20"/>
      <c r="L6" s="32" t="s">
        <v>317</v>
      </c>
      <c r="M6" s="3"/>
      <c r="O6" s="74" t="s">
        <v>420</v>
      </c>
      <c r="P6" s="71"/>
      <c r="R6" s="74"/>
      <c r="S6" s="75"/>
      <c r="U6" s="77">
        <v>44012</v>
      </c>
      <c r="V6" s="71"/>
      <c r="X6" s="77">
        <v>44012</v>
      </c>
      <c r="Y6" s="80"/>
      <c r="Z6" s="71"/>
      <c r="AA6" s="51">
        <v>44012</v>
      </c>
      <c r="AB6" s="3"/>
      <c r="AC6" s="4" t="s">
        <v>170</v>
      </c>
      <c r="AD6" s="4" t="s">
        <v>296</v>
      </c>
    </row>
    <row r="7" spans="1:31" ht="30" x14ac:dyDescent="0.25">
      <c r="A7" s="1" t="s">
        <v>171</v>
      </c>
      <c r="B7" s="39" t="s">
        <v>42</v>
      </c>
      <c r="C7" s="52" t="s">
        <v>172</v>
      </c>
      <c r="D7" s="4" t="s">
        <v>173</v>
      </c>
      <c r="E7" s="58"/>
      <c r="F7" s="4" t="s">
        <v>175</v>
      </c>
      <c r="G7" s="4" t="s">
        <v>173</v>
      </c>
      <c r="H7" s="58"/>
      <c r="I7" s="52" t="s">
        <v>172</v>
      </c>
      <c r="J7" s="4" t="s">
        <v>173</v>
      </c>
      <c r="K7" s="58"/>
      <c r="L7" s="52" t="s">
        <v>172</v>
      </c>
      <c r="M7" s="4" t="s">
        <v>173</v>
      </c>
      <c r="O7" s="52" t="s">
        <v>172</v>
      </c>
      <c r="P7" s="4" t="s">
        <v>173</v>
      </c>
      <c r="R7" s="52" t="s">
        <v>172</v>
      </c>
      <c r="S7" s="4" t="s">
        <v>173</v>
      </c>
      <c r="U7" s="52" t="s">
        <v>172</v>
      </c>
      <c r="V7" s="4" t="s">
        <v>173</v>
      </c>
      <c r="W7" s="29" t="s">
        <v>432</v>
      </c>
      <c r="X7" s="78" t="s">
        <v>172</v>
      </c>
      <c r="Y7" s="79" t="s">
        <v>203</v>
      </c>
      <c r="Z7" s="3" t="s">
        <v>93</v>
      </c>
      <c r="AA7" s="3" t="s">
        <v>294</v>
      </c>
      <c r="AB7" s="3" t="s">
        <v>295</v>
      </c>
      <c r="AC7" s="133" t="s">
        <v>171</v>
      </c>
      <c r="AD7" s="133" t="s">
        <v>297</v>
      </c>
      <c r="AE7" s="39" t="s">
        <v>42</v>
      </c>
    </row>
    <row r="8" spans="1:31" x14ac:dyDescent="0.25">
      <c r="A8" t="s">
        <v>392</v>
      </c>
      <c r="B8" t="s">
        <v>393</v>
      </c>
      <c r="C8" s="189">
        <f>U46</f>
        <v>700</v>
      </c>
      <c r="D8" s="189">
        <f>V46</f>
        <v>10484.450000000001</v>
      </c>
      <c r="E8" s="59"/>
      <c r="F8" s="54"/>
      <c r="G8" s="54"/>
      <c r="H8" s="59"/>
      <c r="I8" s="54"/>
      <c r="J8" s="3"/>
      <c r="K8" s="20"/>
      <c r="L8" s="54"/>
      <c r="M8" s="3"/>
      <c r="N8" s="28"/>
      <c r="O8" s="3"/>
      <c r="P8" s="34"/>
      <c r="R8" s="5"/>
      <c r="S8" s="34"/>
      <c r="U8" s="55">
        <f t="shared" ref="U8" si="0">+C8+F8+I8+L8+O8+R8</f>
        <v>700</v>
      </c>
      <c r="V8" s="128">
        <f t="shared" ref="V8" si="1">+D8+G8+J8+M8+P8+S8</f>
        <v>10484.450000000001</v>
      </c>
      <c r="W8" s="167">
        <f t="shared" ref="W8" si="2">V8/U8</f>
        <v>14.977785714285716</v>
      </c>
      <c r="X8" s="36">
        <f t="shared" ref="X8" si="3">U8</f>
        <v>700</v>
      </c>
      <c r="Y8" s="82">
        <v>25.5</v>
      </c>
      <c r="Z8" s="5">
        <f>X8*Y8</f>
        <v>17850</v>
      </c>
      <c r="AA8" s="181">
        <v>17850</v>
      </c>
      <c r="AB8" s="109">
        <f t="shared" ref="AB8" si="4">AA8-V8</f>
        <v>7365.5499999999993</v>
      </c>
      <c r="AC8" t="s">
        <v>392</v>
      </c>
      <c r="AD8" s="136">
        <f t="shared" ref="AD8" si="5">AB8/V8</f>
        <v>0.7025213530514236</v>
      </c>
    </row>
    <row r="9" spans="1:31" x14ac:dyDescent="0.25">
      <c r="A9" t="s">
        <v>16</v>
      </c>
      <c r="B9" t="s">
        <v>43</v>
      </c>
      <c r="C9" s="189">
        <f t="shared" ref="C9:D9" si="6">U48</f>
        <v>3610</v>
      </c>
      <c r="D9" s="189">
        <f t="shared" si="6"/>
        <v>107496.42</v>
      </c>
      <c r="E9" s="60"/>
      <c r="F9" s="68"/>
      <c r="G9" s="34"/>
      <c r="H9" s="38"/>
      <c r="I9" s="55"/>
      <c r="J9" s="34"/>
      <c r="K9" s="38"/>
      <c r="L9" s="5"/>
      <c r="M9" s="34"/>
      <c r="O9" s="76"/>
      <c r="P9" s="34"/>
      <c r="R9" s="5"/>
      <c r="S9" s="34"/>
      <c r="U9" s="55">
        <f t="shared" ref="U9:U38" si="7">+C9+F9+I9+L9+O9+R9</f>
        <v>3610</v>
      </c>
      <c r="V9" s="128">
        <f t="shared" ref="V9:V38" si="8">+D9+G9+J9+M9+P9+S9</f>
        <v>107496.42</v>
      </c>
      <c r="W9" s="167">
        <f t="shared" ref="W9:W38" si="9">V9/U9</f>
        <v>29.777401662049861</v>
      </c>
      <c r="X9" s="36">
        <f t="shared" ref="X9:X38" si="10">U9</f>
        <v>3610</v>
      </c>
      <c r="Y9" s="82">
        <v>35.82</v>
      </c>
      <c r="Z9" s="5">
        <f t="shared" ref="Z9:Z38" si="11">X9*Y9</f>
        <v>129310.2</v>
      </c>
      <c r="AA9" s="181">
        <v>129310</v>
      </c>
      <c r="AB9" s="109">
        <f t="shared" ref="AB9:AB38" si="12">AA9-V9</f>
        <v>21813.58</v>
      </c>
      <c r="AC9" t="s">
        <v>16</v>
      </c>
      <c r="AD9" s="136">
        <f t="shared" ref="AD9:AD10" si="13">AB9/V9</f>
        <v>0.20292378108964002</v>
      </c>
      <c r="AE9" t="s">
        <v>43</v>
      </c>
    </row>
    <row r="10" spans="1:31" x14ac:dyDescent="0.25">
      <c r="A10" t="s">
        <v>416</v>
      </c>
      <c r="B10" t="s">
        <v>417</v>
      </c>
      <c r="C10" s="189">
        <f t="shared" ref="C10:D10" si="14">U49</f>
        <v>3250</v>
      </c>
      <c r="D10" s="189">
        <f t="shared" si="14"/>
        <v>24586.49</v>
      </c>
      <c r="E10" s="60"/>
      <c r="F10" s="68"/>
      <c r="G10" s="34"/>
      <c r="H10" s="38"/>
      <c r="I10" s="55"/>
      <c r="J10" s="34"/>
      <c r="K10" s="38"/>
      <c r="L10" s="5"/>
      <c r="M10" s="34"/>
      <c r="O10" s="76"/>
      <c r="P10" s="34"/>
      <c r="R10" s="5"/>
      <c r="S10" s="34"/>
      <c r="U10" s="55">
        <f t="shared" si="7"/>
        <v>3250</v>
      </c>
      <c r="V10" s="128">
        <f t="shared" si="8"/>
        <v>24586.49</v>
      </c>
      <c r="W10" s="167">
        <f t="shared" si="9"/>
        <v>7.5650738461538465</v>
      </c>
      <c r="X10" s="36">
        <f t="shared" si="10"/>
        <v>3250</v>
      </c>
      <c r="Y10" s="82">
        <v>3.79</v>
      </c>
      <c r="Z10" s="5">
        <f t="shared" si="11"/>
        <v>12317.5</v>
      </c>
      <c r="AA10" s="181">
        <v>12317.5</v>
      </c>
      <c r="AB10" s="109">
        <f t="shared" si="12"/>
        <v>-12268.990000000002</v>
      </c>
      <c r="AC10" t="s">
        <v>416</v>
      </c>
      <c r="AD10" s="136">
        <f t="shared" si="13"/>
        <v>-0.49901348260772482</v>
      </c>
      <c r="AE10" t="s">
        <v>417</v>
      </c>
    </row>
    <row r="11" spans="1:31" x14ac:dyDescent="0.25">
      <c r="A11" t="s">
        <v>18</v>
      </c>
      <c r="B11" t="s">
        <v>60</v>
      </c>
      <c r="C11" s="189">
        <f t="shared" ref="C11:D11" si="15">U51</f>
        <v>4191</v>
      </c>
      <c r="D11" s="189">
        <f t="shared" si="15"/>
        <v>208990.56</v>
      </c>
      <c r="E11" s="60"/>
      <c r="F11" s="55"/>
      <c r="G11" s="34"/>
      <c r="H11" s="38"/>
      <c r="I11" s="55">
        <v>204</v>
      </c>
      <c r="J11" s="34">
        <v>14689.24</v>
      </c>
      <c r="K11" s="38"/>
      <c r="L11" s="5">
        <v>305</v>
      </c>
      <c r="M11" s="34">
        <v>25000.3</v>
      </c>
      <c r="O11" s="76"/>
      <c r="P11" s="34"/>
      <c r="R11" s="5"/>
      <c r="S11" s="34"/>
      <c r="U11" s="55">
        <f t="shared" si="7"/>
        <v>4700</v>
      </c>
      <c r="V11" s="128">
        <f t="shared" si="8"/>
        <v>248680.09999999998</v>
      </c>
      <c r="W11" s="167">
        <f t="shared" si="9"/>
        <v>52.910659574468077</v>
      </c>
      <c r="X11" s="36">
        <f t="shared" si="10"/>
        <v>4700</v>
      </c>
      <c r="Y11" s="82">
        <v>69.42</v>
      </c>
      <c r="Z11" s="5">
        <f t="shared" si="11"/>
        <v>326274</v>
      </c>
      <c r="AA11" s="181">
        <v>326274</v>
      </c>
      <c r="AB11" s="109">
        <f t="shared" si="12"/>
        <v>77593.900000000023</v>
      </c>
      <c r="AC11" t="s">
        <v>18</v>
      </c>
      <c r="AD11" s="136">
        <f t="shared" ref="AD11:AD14" si="16">AB11/V11</f>
        <v>0.31202295640061278</v>
      </c>
      <c r="AE11" t="s">
        <v>60</v>
      </c>
    </row>
    <row r="12" spans="1:31" x14ac:dyDescent="0.25">
      <c r="A12" t="s">
        <v>189</v>
      </c>
      <c r="B12" t="s">
        <v>45</v>
      </c>
      <c r="C12" s="189">
        <f t="shared" ref="C12:D12" si="17">U52</f>
        <v>4312</v>
      </c>
      <c r="D12" s="189">
        <f t="shared" si="17"/>
        <v>38746.92</v>
      </c>
      <c r="E12" s="60"/>
      <c r="F12" s="55"/>
      <c r="G12" s="34"/>
      <c r="H12" s="38"/>
      <c r="I12" s="55"/>
      <c r="J12" s="34"/>
      <c r="K12" s="38"/>
      <c r="L12" s="5"/>
      <c r="M12" s="34"/>
      <c r="O12" s="76"/>
      <c r="P12" s="34"/>
      <c r="R12" s="5"/>
      <c r="S12" s="34"/>
      <c r="U12" s="55">
        <f t="shared" si="7"/>
        <v>4312</v>
      </c>
      <c r="V12" s="128">
        <f t="shared" si="8"/>
        <v>38746.92</v>
      </c>
      <c r="W12" s="167">
        <f t="shared" si="9"/>
        <v>8.9858348794063083</v>
      </c>
      <c r="X12" s="36">
        <f t="shared" si="10"/>
        <v>4312</v>
      </c>
      <c r="Y12" s="82">
        <v>8.66</v>
      </c>
      <c r="Z12" s="5">
        <f t="shared" si="11"/>
        <v>37341.919999999998</v>
      </c>
      <c r="AA12" s="181">
        <v>37341.919999999998</v>
      </c>
      <c r="AB12" s="109">
        <f t="shared" si="12"/>
        <v>-1405</v>
      </c>
      <c r="AC12" t="s">
        <v>189</v>
      </c>
      <c r="AD12" s="136">
        <f t="shared" si="16"/>
        <v>-3.6260946676535837E-2</v>
      </c>
      <c r="AE12" t="s">
        <v>45</v>
      </c>
    </row>
    <row r="13" spans="1:31" x14ac:dyDescent="0.25">
      <c r="B13" t="s">
        <v>451</v>
      </c>
      <c r="C13" s="189">
        <f t="shared" ref="C13:D13" si="18">U53</f>
        <v>900</v>
      </c>
      <c r="D13" s="189">
        <f t="shared" si="18"/>
        <v>11556</v>
      </c>
      <c r="E13" s="60"/>
      <c r="F13" s="55"/>
      <c r="G13" s="34"/>
      <c r="H13" s="38"/>
      <c r="I13" s="55"/>
      <c r="J13" s="34"/>
      <c r="K13" s="38"/>
      <c r="L13" s="5">
        <v>1650</v>
      </c>
      <c r="M13" s="34">
        <v>24664.45</v>
      </c>
      <c r="O13" s="76"/>
      <c r="P13" s="206"/>
      <c r="R13" s="5"/>
      <c r="S13" s="34"/>
      <c r="U13" s="55">
        <f t="shared" si="7"/>
        <v>2550</v>
      </c>
      <c r="V13" s="128">
        <f t="shared" si="8"/>
        <v>36220.449999999997</v>
      </c>
      <c r="W13" s="167">
        <f t="shared" si="9"/>
        <v>14.204098039215685</v>
      </c>
      <c r="X13" s="36">
        <f t="shared" si="10"/>
        <v>2550</v>
      </c>
      <c r="Y13" s="82">
        <v>17.170000000000002</v>
      </c>
      <c r="Z13" s="5">
        <f t="shared" si="11"/>
        <v>43783.500000000007</v>
      </c>
      <c r="AA13" s="181">
        <v>43783.5</v>
      </c>
      <c r="AB13" s="109">
        <f t="shared" si="12"/>
        <v>7563.0500000000029</v>
      </c>
      <c r="AD13" s="136">
        <f t="shared" si="16"/>
        <v>0.20880607502115528</v>
      </c>
      <c r="AE13" t="s">
        <v>458</v>
      </c>
    </row>
    <row r="14" spans="1:31" x14ac:dyDescent="0.25">
      <c r="A14" t="s">
        <v>230</v>
      </c>
      <c r="B14" t="s">
        <v>228</v>
      </c>
      <c r="C14" s="189">
        <f t="shared" ref="C14:D14" si="19">U54</f>
        <v>300</v>
      </c>
      <c r="D14" s="189">
        <f t="shared" si="19"/>
        <v>9075.34</v>
      </c>
      <c r="E14" s="60"/>
      <c r="F14" s="55"/>
      <c r="G14" s="34"/>
      <c r="H14" s="38"/>
      <c r="I14" s="55"/>
      <c r="J14" s="34"/>
      <c r="K14" s="38"/>
      <c r="L14" s="5">
        <v>40</v>
      </c>
      <c r="M14" s="34">
        <v>11748.35</v>
      </c>
      <c r="O14" s="76"/>
      <c r="P14" s="34"/>
      <c r="R14" s="5"/>
      <c r="S14" s="34"/>
      <c r="U14" s="55">
        <f t="shared" si="7"/>
        <v>340</v>
      </c>
      <c r="V14" s="128">
        <f t="shared" si="8"/>
        <v>20823.690000000002</v>
      </c>
      <c r="W14" s="167">
        <f t="shared" si="9"/>
        <v>61.246147058823539</v>
      </c>
      <c r="X14" s="36">
        <f t="shared" si="10"/>
        <v>340</v>
      </c>
      <c r="Y14" s="82">
        <v>287</v>
      </c>
      <c r="Z14" s="5">
        <f t="shared" si="11"/>
        <v>97580</v>
      </c>
      <c r="AA14" s="181">
        <v>97580</v>
      </c>
      <c r="AB14" s="109">
        <f t="shared" si="12"/>
        <v>76756.31</v>
      </c>
      <c r="AC14" t="s">
        <v>230</v>
      </c>
      <c r="AD14" s="136">
        <f t="shared" si="16"/>
        <v>3.6860090598736339</v>
      </c>
      <c r="AE14" t="s">
        <v>228</v>
      </c>
    </row>
    <row r="15" spans="1:31" x14ac:dyDescent="0.25">
      <c r="B15" t="s">
        <v>461</v>
      </c>
      <c r="C15" s="189">
        <f t="shared" ref="C15:D15" si="20">U58</f>
        <v>4500</v>
      </c>
      <c r="D15" s="189">
        <f t="shared" si="20"/>
        <v>26807.13</v>
      </c>
      <c r="E15" s="60"/>
      <c r="F15" s="55"/>
      <c r="G15" s="34"/>
      <c r="H15" s="38"/>
      <c r="I15" s="55"/>
      <c r="J15" s="34"/>
      <c r="K15" s="38"/>
      <c r="L15" s="5"/>
      <c r="M15" s="34">
        <v>0</v>
      </c>
      <c r="O15" s="76">
        <f>7025-4500</f>
        <v>2525</v>
      </c>
      <c r="P15" s="34">
        <v>15000</v>
      </c>
      <c r="R15" s="5"/>
      <c r="S15" s="34"/>
      <c r="U15" s="55">
        <f t="shared" si="7"/>
        <v>7025</v>
      </c>
      <c r="V15" s="128">
        <f t="shared" si="8"/>
        <v>41807.130000000005</v>
      </c>
      <c r="W15" s="167">
        <f t="shared" si="9"/>
        <v>5.9511928825622782</v>
      </c>
      <c r="X15" s="36">
        <f t="shared" si="10"/>
        <v>7025</v>
      </c>
      <c r="Y15" s="82">
        <v>4.17</v>
      </c>
      <c r="Z15" s="5">
        <f t="shared" si="11"/>
        <v>29294.25</v>
      </c>
      <c r="AA15" s="181">
        <v>29294.25</v>
      </c>
      <c r="AB15" s="109">
        <f t="shared" si="12"/>
        <v>-12512.880000000005</v>
      </c>
      <c r="AC15" t="s">
        <v>461</v>
      </c>
      <c r="AD15" s="136">
        <f t="shared" ref="AD15" si="21">AB15/V15</f>
        <v>-0.29930014330091548</v>
      </c>
      <c r="AE15" t="s">
        <v>461</v>
      </c>
    </row>
    <row r="16" spans="1:31" x14ac:dyDescent="0.25">
      <c r="A16" t="s">
        <v>447</v>
      </c>
      <c r="C16" s="189">
        <f t="shared" ref="C16:D16" si="22">U60</f>
        <v>400</v>
      </c>
      <c r="D16" s="189">
        <f t="shared" si="22"/>
        <v>42759.25</v>
      </c>
      <c r="E16" s="60"/>
      <c r="F16" s="55"/>
      <c r="G16" s="34"/>
      <c r="H16" s="38"/>
      <c r="I16" s="55"/>
      <c r="J16" s="34"/>
      <c r="K16" s="38"/>
      <c r="L16" s="5"/>
      <c r="M16" s="34"/>
      <c r="O16" s="76"/>
      <c r="P16" s="34"/>
      <c r="R16" s="5"/>
      <c r="S16" s="34"/>
      <c r="U16" s="55">
        <f t="shared" si="7"/>
        <v>400</v>
      </c>
      <c r="V16" s="128">
        <f t="shared" si="8"/>
        <v>42759.25</v>
      </c>
      <c r="W16" s="167">
        <f t="shared" si="9"/>
        <v>106.89812499999999</v>
      </c>
      <c r="X16" s="36">
        <f t="shared" si="10"/>
        <v>400</v>
      </c>
      <c r="Y16" s="82">
        <v>116.51</v>
      </c>
      <c r="Z16" s="5">
        <f t="shared" si="11"/>
        <v>46604</v>
      </c>
      <c r="AA16" s="181">
        <v>46604</v>
      </c>
      <c r="AB16" s="109">
        <f t="shared" si="12"/>
        <v>3844.75</v>
      </c>
      <c r="AD16" s="136">
        <f t="shared" ref="AD16:AD23" si="23">AB16/V16</f>
        <v>8.991621695890363E-2</v>
      </c>
      <c r="AE16" t="s">
        <v>447</v>
      </c>
    </row>
    <row r="17" spans="1:31" x14ac:dyDescent="0.25">
      <c r="A17" t="s">
        <v>449</v>
      </c>
      <c r="C17" s="189">
        <f t="shared" ref="C17:D17" si="24">U61</f>
        <v>35714</v>
      </c>
      <c r="D17" s="189">
        <f t="shared" si="24"/>
        <v>20728.5</v>
      </c>
      <c r="E17" s="60"/>
      <c r="F17" s="55"/>
      <c r="G17" s="34"/>
      <c r="H17" s="38"/>
      <c r="I17" s="55"/>
      <c r="J17" s="34"/>
      <c r="K17" s="38"/>
      <c r="L17" s="5"/>
      <c r="M17" s="34"/>
      <c r="O17" s="76"/>
      <c r="P17" s="34"/>
      <c r="R17" s="5"/>
      <c r="S17" s="34"/>
      <c r="U17" s="55">
        <f t="shared" si="7"/>
        <v>35714</v>
      </c>
      <c r="V17" s="128">
        <f t="shared" si="8"/>
        <v>20728.5</v>
      </c>
      <c r="W17" s="167">
        <f t="shared" si="9"/>
        <v>0.58040264322114576</v>
      </c>
      <c r="X17" s="36">
        <f t="shared" si="10"/>
        <v>35714</v>
      </c>
      <c r="Y17" s="82">
        <v>0.94</v>
      </c>
      <c r="Z17" s="5">
        <f t="shared" si="11"/>
        <v>33571.159999999996</v>
      </c>
      <c r="AA17" s="181">
        <v>33571.160000000003</v>
      </c>
      <c r="AB17" s="109">
        <f t="shared" si="12"/>
        <v>12842.660000000003</v>
      </c>
      <c r="AD17" s="136">
        <f t="shared" si="23"/>
        <v>0.61956533275442038</v>
      </c>
      <c r="AE17" t="s">
        <v>449</v>
      </c>
    </row>
    <row r="18" spans="1:31" x14ac:dyDescent="0.25">
      <c r="A18" t="s">
        <v>391</v>
      </c>
      <c r="B18" t="s">
        <v>391</v>
      </c>
      <c r="C18" s="189">
        <f t="shared" ref="C18:D18" si="25">U62</f>
        <v>11500</v>
      </c>
      <c r="D18" s="189">
        <f t="shared" si="25"/>
        <v>21419.95</v>
      </c>
      <c r="E18" s="60"/>
      <c r="F18" s="55"/>
      <c r="G18" s="34"/>
      <c r="H18" s="38"/>
      <c r="I18" s="55"/>
      <c r="J18" s="34"/>
      <c r="K18" s="38"/>
      <c r="L18" s="5">
        <v>5500</v>
      </c>
      <c r="M18" s="34">
        <v>19829.95</v>
      </c>
      <c r="O18" s="76"/>
      <c r="P18" s="34"/>
      <c r="R18" s="5"/>
      <c r="S18" s="34"/>
      <c r="U18" s="55">
        <f t="shared" si="7"/>
        <v>17000</v>
      </c>
      <c r="V18" s="128">
        <f t="shared" si="8"/>
        <v>41249.9</v>
      </c>
      <c r="W18" s="167">
        <f t="shared" si="9"/>
        <v>2.4264647058823532</v>
      </c>
      <c r="X18" s="36">
        <f t="shared" si="10"/>
        <v>17000</v>
      </c>
      <c r="Y18" s="82">
        <v>2.71</v>
      </c>
      <c r="Z18" s="5">
        <f t="shared" si="11"/>
        <v>46070</v>
      </c>
      <c r="AA18" s="181">
        <v>46070</v>
      </c>
      <c r="AB18" s="109">
        <f t="shared" si="12"/>
        <v>4820.0999999999985</v>
      </c>
      <c r="AC18" t="s">
        <v>391</v>
      </c>
      <c r="AD18" s="136">
        <f t="shared" si="23"/>
        <v>0.11685119236652691</v>
      </c>
      <c r="AE18" t="s">
        <v>391</v>
      </c>
    </row>
    <row r="19" spans="1:31" x14ac:dyDescent="0.25">
      <c r="A19" t="s">
        <v>371</v>
      </c>
      <c r="B19" t="s">
        <v>372</v>
      </c>
      <c r="C19" s="189">
        <f t="shared" ref="C19:D19" si="26">U63</f>
        <v>1000</v>
      </c>
      <c r="D19" s="189">
        <f t="shared" si="26"/>
        <v>24959.9</v>
      </c>
      <c r="E19" s="60"/>
      <c r="F19" s="55"/>
      <c r="G19" s="34"/>
      <c r="H19" s="38"/>
      <c r="I19" s="55"/>
      <c r="J19" s="34"/>
      <c r="K19" s="38"/>
      <c r="L19" s="5"/>
      <c r="M19" s="34"/>
      <c r="O19" s="76"/>
      <c r="P19" s="34"/>
      <c r="R19" s="5"/>
      <c r="S19" s="34"/>
      <c r="U19" s="55">
        <f t="shared" si="7"/>
        <v>1000</v>
      </c>
      <c r="V19" s="128">
        <f t="shared" si="8"/>
        <v>24959.9</v>
      </c>
      <c r="W19" s="167">
        <f t="shared" si="9"/>
        <v>24.959900000000001</v>
      </c>
      <c r="X19" s="36">
        <f t="shared" si="10"/>
        <v>1000</v>
      </c>
      <c r="Y19" s="82">
        <v>58.01</v>
      </c>
      <c r="Z19" s="5">
        <f t="shared" si="11"/>
        <v>58010</v>
      </c>
      <c r="AA19" s="181">
        <v>58010</v>
      </c>
      <c r="AB19" s="109">
        <f t="shared" si="12"/>
        <v>33050.1</v>
      </c>
      <c r="AC19" t="s">
        <v>371</v>
      </c>
      <c r="AD19" s="136">
        <f t="shared" si="23"/>
        <v>1.3241279011534499</v>
      </c>
      <c r="AE19" t="s">
        <v>372</v>
      </c>
    </row>
    <row r="20" spans="1:31" x14ac:dyDescent="0.25">
      <c r="A20" t="s">
        <v>373</v>
      </c>
      <c r="B20" t="s">
        <v>374</v>
      </c>
      <c r="C20" s="189">
        <f t="shared" ref="C20:D20" si="27">U64</f>
        <v>250</v>
      </c>
      <c r="D20" s="189">
        <f t="shared" si="27"/>
        <v>20523.169999999998</v>
      </c>
      <c r="E20" s="60"/>
      <c r="F20" s="55"/>
      <c r="G20" s="34"/>
      <c r="H20" s="38"/>
      <c r="I20" s="55"/>
      <c r="J20" s="34"/>
      <c r="K20" s="38"/>
      <c r="L20" s="5">
        <v>586</v>
      </c>
      <c r="M20" s="34">
        <v>75068.67</v>
      </c>
      <c r="O20" s="76">
        <v>100</v>
      </c>
      <c r="P20" s="34">
        <v>10371.67</v>
      </c>
      <c r="R20" s="5"/>
      <c r="S20" s="34"/>
      <c r="U20" s="55">
        <f t="shared" si="7"/>
        <v>936</v>
      </c>
      <c r="V20" s="128">
        <f t="shared" si="8"/>
        <v>105963.51</v>
      </c>
      <c r="W20" s="167">
        <f t="shared" si="9"/>
        <v>113.2088782051282</v>
      </c>
      <c r="X20" s="36">
        <f t="shared" si="10"/>
        <v>936</v>
      </c>
      <c r="Y20" s="82">
        <v>118.6</v>
      </c>
      <c r="Z20" s="5">
        <f t="shared" si="11"/>
        <v>111009.59999999999</v>
      </c>
      <c r="AA20" s="181">
        <v>111009</v>
      </c>
      <c r="AB20" s="109">
        <f t="shared" si="12"/>
        <v>5045.4900000000052</v>
      </c>
      <c r="AC20" t="s">
        <v>373</v>
      </c>
      <c r="AD20" s="136">
        <f t="shared" si="23"/>
        <v>4.7615353625035689E-2</v>
      </c>
      <c r="AE20" t="s">
        <v>374</v>
      </c>
    </row>
    <row r="21" spans="1:31" x14ac:dyDescent="0.25">
      <c r="A21" t="s">
        <v>353</v>
      </c>
      <c r="B21" t="s">
        <v>354</v>
      </c>
      <c r="C21" s="189">
        <f t="shared" ref="C21:D21" si="28">U65</f>
        <v>1500</v>
      </c>
      <c r="D21" s="189">
        <f t="shared" si="28"/>
        <v>9739.36</v>
      </c>
      <c r="E21" s="60"/>
      <c r="F21" s="55"/>
      <c r="G21" s="34"/>
      <c r="H21" s="38"/>
      <c r="I21" s="55"/>
      <c r="J21" s="34"/>
      <c r="K21" s="38"/>
      <c r="L21" s="5"/>
      <c r="M21" s="34"/>
      <c r="O21" s="76"/>
      <c r="P21" s="34"/>
      <c r="R21" s="5"/>
      <c r="S21" s="34"/>
      <c r="U21" s="55">
        <f t="shared" si="7"/>
        <v>1500</v>
      </c>
      <c r="V21" s="128">
        <f t="shared" si="8"/>
        <v>9739.36</v>
      </c>
      <c r="W21" s="167">
        <f t="shared" si="9"/>
        <v>6.4929066666666673</v>
      </c>
      <c r="X21" s="36">
        <f t="shared" si="10"/>
        <v>1500</v>
      </c>
      <c r="Y21" s="82">
        <v>3.73</v>
      </c>
      <c r="Z21" s="5">
        <f t="shared" si="11"/>
        <v>5595</v>
      </c>
      <c r="AA21" s="181">
        <v>5595</v>
      </c>
      <c r="AB21" s="109">
        <f t="shared" si="12"/>
        <v>-4144.3600000000006</v>
      </c>
      <c r="AC21" t="s">
        <v>353</v>
      </c>
      <c r="AD21" s="136">
        <f t="shared" si="23"/>
        <v>-0.42552693400798414</v>
      </c>
      <c r="AE21" t="s">
        <v>354</v>
      </c>
    </row>
    <row r="22" spans="1:31" x14ac:dyDescent="0.25">
      <c r="A22" t="s">
        <v>356</v>
      </c>
      <c r="B22" t="s">
        <v>350</v>
      </c>
      <c r="C22" s="189">
        <f t="shared" ref="C22:D22" si="29">U66</f>
        <v>7760</v>
      </c>
      <c r="D22" s="189">
        <f t="shared" si="29"/>
        <v>16082.5</v>
      </c>
      <c r="E22" s="60"/>
      <c r="F22" s="55"/>
      <c r="G22" s="34"/>
      <c r="H22" s="38"/>
      <c r="I22" s="55"/>
      <c r="J22" s="34"/>
      <c r="K22" s="38"/>
      <c r="L22" s="5"/>
      <c r="M22" s="34"/>
      <c r="O22" s="76"/>
      <c r="P22" s="34"/>
      <c r="R22" s="5"/>
      <c r="S22" s="34"/>
      <c r="U22" s="55">
        <f t="shared" si="7"/>
        <v>7760</v>
      </c>
      <c r="V22" s="128">
        <f t="shared" si="8"/>
        <v>16082.5</v>
      </c>
      <c r="W22" s="167">
        <f t="shared" si="9"/>
        <v>2.0724871134020617</v>
      </c>
      <c r="X22" s="36">
        <f t="shared" si="10"/>
        <v>7760</v>
      </c>
      <c r="Y22" s="82">
        <v>2.99</v>
      </c>
      <c r="Z22" s="5">
        <f t="shared" si="11"/>
        <v>23202.400000000001</v>
      </c>
      <c r="AA22" s="181">
        <v>23202</v>
      </c>
      <c r="AB22" s="109">
        <f t="shared" si="12"/>
        <v>7119.5</v>
      </c>
      <c r="AC22" t="s">
        <v>356</v>
      </c>
      <c r="AD22" s="136">
        <f t="shared" si="23"/>
        <v>0.44268614954142704</v>
      </c>
      <c r="AE22" t="s">
        <v>350</v>
      </c>
    </row>
    <row r="23" spans="1:31" x14ac:dyDescent="0.25">
      <c r="A23" t="s">
        <v>25</v>
      </c>
      <c r="B23" t="s">
        <v>75</v>
      </c>
      <c r="C23" s="189">
        <f t="shared" ref="C23:D23" si="30">U67</f>
        <v>700</v>
      </c>
      <c r="D23" s="189">
        <f t="shared" si="30"/>
        <v>17325.7</v>
      </c>
      <c r="E23" s="60"/>
      <c r="F23" s="55"/>
      <c r="G23" s="34"/>
      <c r="H23" s="38"/>
      <c r="I23" s="55"/>
      <c r="J23" s="34"/>
      <c r="K23" s="38"/>
      <c r="L23" s="5"/>
      <c r="M23" s="34"/>
      <c r="O23" s="76"/>
      <c r="P23" s="34"/>
      <c r="R23" s="5"/>
      <c r="S23" s="34"/>
      <c r="U23" s="55">
        <f t="shared" si="7"/>
        <v>700</v>
      </c>
      <c r="V23" s="128">
        <f t="shared" si="8"/>
        <v>17325.7</v>
      </c>
      <c r="W23" s="167">
        <f t="shared" si="9"/>
        <v>24.751000000000001</v>
      </c>
      <c r="X23" s="36">
        <f t="shared" si="10"/>
        <v>700</v>
      </c>
      <c r="Y23" s="82">
        <v>18.22</v>
      </c>
      <c r="Z23" s="5">
        <f t="shared" si="11"/>
        <v>12754</v>
      </c>
      <c r="AA23" s="181">
        <v>12754</v>
      </c>
      <c r="AB23" s="109">
        <f t="shared" si="12"/>
        <v>-4571.7000000000007</v>
      </c>
      <c r="AC23" t="s">
        <v>25</v>
      </c>
      <c r="AD23" s="136">
        <f t="shared" si="23"/>
        <v>-0.26386812654034186</v>
      </c>
      <c r="AE23" t="s">
        <v>75</v>
      </c>
    </row>
    <row r="24" spans="1:31" x14ac:dyDescent="0.25">
      <c r="A24" t="s">
        <v>232</v>
      </c>
      <c r="B24" t="s">
        <v>232</v>
      </c>
      <c r="C24" s="189">
        <f t="shared" ref="C24:D24" si="31">U69</f>
        <v>933</v>
      </c>
      <c r="D24" s="189">
        <f t="shared" si="31"/>
        <v>12045.160000000002</v>
      </c>
      <c r="E24" s="60"/>
      <c r="F24" s="55"/>
      <c r="G24" s="34"/>
      <c r="H24" s="38"/>
      <c r="I24" s="55"/>
      <c r="J24" s="34"/>
      <c r="K24" s="38"/>
      <c r="L24" s="5"/>
      <c r="M24" s="34"/>
      <c r="O24" s="76"/>
      <c r="P24" s="34"/>
      <c r="R24" s="5"/>
      <c r="S24" s="34"/>
      <c r="U24" s="55">
        <f t="shared" si="7"/>
        <v>933</v>
      </c>
      <c r="V24" s="128">
        <f t="shared" si="8"/>
        <v>12045.160000000002</v>
      </c>
      <c r="W24" s="167">
        <f t="shared" si="9"/>
        <v>12.910139335476957</v>
      </c>
      <c r="X24" s="36">
        <f t="shared" si="10"/>
        <v>933</v>
      </c>
      <c r="Y24" s="82">
        <v>8.86</v>
      </c>
      <c r="Z24" s="5">
        <f t="shared" si="11"/>
        <v>8266.3799999999992</v>
      </c>
      <c r="AA24" s="181">
        <v>8266</v>
      </c>
      <c r="AB24" s="109">
        <f t="shared" si="12"/>
        <v>-3779.1600000000017</v>
      </c>
      <c r="AC24" t="s">
        <v>232</v>
      </c>
      <c r="AD24" s="136">
        <f t="shared" ref="AD24:AD28" si="32">AB24/V24</f>
        <v>-0.3137492569629628</v>
      </c>
      <c r="AE24" t="s">
        <v>232</v>
      </c>
    </row>
    <row r="25" spans="1:31" x14ac:dyDescent="0.25">
      <c r="A25" t="s">
        <v>316</v>
      </c>
      <c r="B25" t="s">
        <v>326</v>
      </c>
      <c r="C25" s="189">
        <f t="shared" ref="C25:D25" si="33">U70</f>
        <v>2000</v>
      </c>
      <c r="D25" s="189">
        <f t="shared" si="33"/>
        <v>10589.95</v>
      </c>
      <c r="E25" s="60"/>
      <c r="F25" s="55"/>
      <c r="G25" s="34"/>
      <c r="H25" s="38"/>
      <c r="I25" s="55"/>
      <c r="J25" s="34"/>
      <c r="K25" s="38"/>
      <c r="L25" s="5"/>
      <c r="M25" s="34"/>
      <c r="O25" s="76"/>
      <c r="P25" s="34"/>
      <c r="R25" s="5"/>
      <c r="S25" s="34"/>
      <c r="U25" s="55">
        <f t="shared" si="7"/>
        <v>2000</v>
      </c>
      <c r="V25" s="128">
        <f t="shared" si="8"/>
        <v>10589.95</v>
      </c>
      <c r="W25" s="167">
        <f t="shared" si="9"/>
        <v>5.294975</v>
      </c>
      <c r="X25" s="36">
        <f t="shared" si="10"/>
        <v>2000</v>
      </c>
      <c r="Y25" s="82">
        <v>27.54</v>
      </c>
      <c r="Z25" s="5">
        <f t="shared" si="11"/>
        <v>55080</v>
      </c>
      <c r="AA25" s="181">
        <v>55080</v>
      </c>
      <c r="AB25" s="109">
        <f t="shared" si="12"/>
        <v>44490.05</v>
      </c>
      <c r="AC25" t="s">
        <v>316</v>
      </c>
      <c r="AD25" s="136">
        <f t="shared" si="32"/>
        <v>4.2011577014055783</v>
      </c>
      <c r="AE25" t="s">
        <v>326</v>
      </c>
    </row>
    <row r="26" spans="1:31" x14ac:dyDescent="0.25">
      <c r="A26" t="s">
        <v>27</v>
      </c>
      <c r="B26" t="s">
        <v>51</v>
      </c>
      <c r="C26" s="189">
        <f t="shared" ref="C26:D26" si="34">U71</f>
        <v>1554</v>
      </c>
      <c r="D26" s="189">
        <f t="shared" si="34"/>
        <v>70028.820000000007</v>
      </c>
      <c r="E26" s="60"/>
      <c r="F26" s="55"/>
      <c r="G26" s="34"/>
      <c r="H26" s="38"/>
      <c r="I26" s="55"/>
      <c r="J26" s="34"/>
      <c r="K26" s="38"/>
      <c r="L26" s="5"/>
      <c r="M26" s="34"/>
      <c r="O26" s="76"/>
      <c r="P26" s="34"/>
      <c r="R26" s="5"/>
      <c r="S26" s="34"/>
      <c r="U26" s="55">
        <f t="shared" si="7"/>
        <v>1554</v>
      </c>
      <c r="V26" s="128">
        <f t="shared" si="8"/>
        <v>70028.820000000007</v>
      </c>
      <c r="W26" s="167">
        <f t="shared" si="9"/>
        <v>45.063590733590736</v>
      </c>
      <c r="X26" s="36">
        <f t="shared" si="10"/>
        <v>1554</v>
      </c>
      <c r="Y26" s="82">
        <v>97.96</v>
      </c>
      <c r="Z26" s="5">
        <f t="shared" si="11"/>
        <v>152229.84</v>
      </c>
      <c r="AA26" s="181">
        <v>152229</v>
      </c>
      <c r="AB26" s="109">
        <f t="shared" si="12"/>
        <v>82200.179999999993</v>
      </c>
      <c r="AC26" t="s">
        <v>27</v>
      </c>
      <c r="AD26" s="136">
        <f t="shared" si="32"/>
        <v>1.1738050134216167</v>
      </c>
      <c r="AE26" t="s">
        <v>51</v>
      </c>
    </row>
    <row r="27" spans="1:31" x14ac:dyDescent="0.25">
      <c r="A27" t="s">
        <v>419</v>
      </c>
      <c r="B27" t="s">
        <v>419</v>
      </c>
      <c r="C27" s="189">
        <f t="shared" ref="C27:D27" si="35">U72</f>
        <v>18814</v>
      </c>
      <c r="D27" s="189">
        <f t="shared" si="35"/>
        <v>76012.799999999988</v>
      </c>
      <c r="E27" s="60"/>
      <c r="F27" s="55"/>
      <c r="G27" s="34"/>
      <c r="H27" s="38"/>
      <c r="I27" s="55"/>
      <c r="J27" s="34"/>
      <c r="K27" s="38"/>
      <c r="L27" s="5"/>
      <c r="M27" s="34"/>
      <c r="O27" s="76"/>
      <c r="P27" s="34"/>
      <c r="R27" s="5"/>
      <c r="S27" s="34"/>
      <c r="U27" s="55">
        <f t="shared" si="7"/>
        <v>18814</v>
      </c>
      <c r="V27" s="128">
        <f t="shared" si="8"/>
        <v>76012.799999999988</v>
      </c>
      <c r="W27" s="167">
        <f t="shared" si="9"/>
        <v>4.0402253640905705</v>
      </c>
      <c r="X27" s="36">
        <f t="shared" si="10"/>
        <v>18814</v>
      </c>
      <c r="Y27" s="82">
        <v>2.94</v>
      </c>
      <c r="Z27" s="5">
        <f t="shared" si="11"/>
        <v>55313.159999999996</v>
      </c>
      <c r="AA27" s="181">
        <v>55313</v>
      </c>
      <c r="AB27" s="109">
        <f t="shared" si="12"/>
        <v>-20699.799999999988</v>
      </c>
      <c r="AC27" t="s">
        <v>419</v>
      </c>
      <c r="AD27" s="136">
        <f t="shared" si="32"/>
        <v>-0.27231992506525204</v>
      </c>
      <c r="AE27" t="s">
        <v>419</v>
      </c>
    </row>
    <row r="28" spans="1:31" x14ac:dyDescent="0.25">
      <c r="B28" t="s">
        <v>512</v>
      </c>
      <c r="C28" s="189">
        <f t="shared" ref="C28:D28" si="36">U73</f>
        <v>0</v>
      </c>
      <c r="D28" s="189">
        <f t="shared" si="36"/>
        <v>0</v>
      </c>
      <c r="E28" s="60"/>
      <c r="F28" s="55"/>
      <c r="G28" s="34"/>
      <c r="H28" s="38"/>
      <c r="I28" s="55"/>
      <c r="J28" s="34"/>
      <c r="K28" s="38"/>
      <c r="L28" s="5">
        <v>105</v>
      </c>
      <c r="M28" s="34">
        <v>10163.93</v>
      </c>
      <c r="O28" s="76"/>
      <c r="P28" s="34"/>
      <c r="R28" s="5"/>
      <c r="S28" s="34"/>
      <c r="U28" s="55">
        <f t="shared" si="7"/>
        <v>105</v>
      </c>
      <c r="V28" s="128">
        <f t="shared" si="8"/>
        <v>10163.93</v>
      </c>
      <c r="W28" s="167">
        <f t="shared" si="9"/>
        <v>96.799333333333337</v>
      </c>
      <c r="X28" s="36">
        <f t="shared" si="10"/>
        <v>105</v>
      </c>
      <c r="Y28" s="82">
        <v>107.88</v>
      </c>
      <c r="Z28" s="5">
        <f t="shared" si="11"/>
        <v>11327.4</v>
      </c>
      <c r="AA28" s="181">
        <v>11327.4</v>
      </c>
      <c r="AB28" s="109">
        <f t="shared" si="12"/>
        <v>1163.4699999999993</v>
      </c>
      <c r="AC28" t="s">
        <v>512</v>
      </c>
      <c r="AD28" s="136">
        <f t="shared" si="32"/>
        <v>0.11447048533392097</v>
      </c>
      <c r="AE28" t="s">
        <v>512</v>
      </c>
    </row>
    <row r="29" spans="1:31" x14ac:dyDescent="0.25">
      <c r="A29" t="s">
        <v>450</v>
      </c>
      <c r="C29" s="189">
        <f t="shared" ref="C29:D29" si="37">U74</f>
        <v>7250</v>
      </c>
      <c r="D29" s="189">
        <f t="shared" si="37"/>
        <v>20563.52</v>
      </c>
      <c r="E29" s="60"/>
      <c r="F29" s="55"/>
      <c r="G29" s="34"/>
      <c r="H29" s="38"/>
      <c r="I29" s="55"/>
      <c r="J29" s="34"/>
      <c r="K29" s="38"/>
      <c r="L29" s="5"/>
      <c r="M29" s="34"/>
      <c r="O29" s="76"/>
      <c r="P29" s="34"/>
      <c r="R29" s="5"/>
      <c r="S29" s="34"/>
      <c r="U29" s="55">
        <f t="shared" si="7"/>
        <v>7250</v>
      </c>
      <c r="V29" s="128">
        <f t="shared" si="8"/>
        <v>20563.52</v>
      </c>
      <c r="W29" s="167">
        <f t="shared" si="9"/>
        <v>2.8363475862068968</v>
      </c>
      <c r="X29" s="36">
        <f t="shared" si="10"/>
        <v>7250</v>
      </c>
      <c r="Y29" s="82">
        <v>3.36</v>
      </c>
      <c r="Z29" s="5">
        <f t="shared" si="11"/>
        <v>24360</v>
      </c>
      <c r="AA29" s="181">
        <v>24360</v>
      </c>
      <c r="AB29" s="109">
        <f t="shared" si="12"/>
        <v>3796.4799999999996</v>
      </c>
      <c r="AC29" t="s">
        <v>450</v>
      </c>
      <c r="AD29" s="136">
        <f t="shared" ref="AD29:AD30" si="38">AB29/V29</f>
        <v>0.18462208804718255</v>
      </c>
      <c r="AE29" t="s">
        <v>450</v>
      </c>
    </row>
    <row r="30" spans="1:31" x14ac:dyDescent="0.25">
      <c r="B30" t="s">
        <v>510</v>
      </c>
      <c r="C30" s="189">
        <f t="shared" ref="C30:D30" si="39">U75</f>
        <v>0</v>
      </c>
      <c r="D30" s="189">
        <f t="shared" si="39"/>
        <v>0</v>
      </c>
      <c r="E30" s="60"/>
      <c r="F30" s="55"/>
      <c r="G30" s="34"/>
      <c r="H30" s="38"/>
      <c r="I30" s="55"/>
      <c r="J30" s="34"/>
      <c r="K30" s="38"/>
      <c r="L30" s="56">
        <v>5000</v>
      </c>
      <c r="M30" s="34">
        <v>21276.18</v>
      </c>
      <c r="O30" s="76"/>
      <c r="P30" s="34"/>
      <c r="R30" s="5"/>
      <c r="S30" s="34"/>
      <c r="U30" s="55">
        <f t="shared" si="7"/>
        <v>5000</v>
      </c>
      <c r="V30" s="128">
        <f t="shared" si="8"/>
        <v>21276.18</v>
      </c>
      <c r="W30" s="167">
        <f t="shared" si="9"/>
        <v>4.255236</v>
      </c>
      <c r="X30" s="36">
        <f t="shared" si="10"/>
        <v>5000</v>
      </c>
      <c r="Y30" s="82">
        <v>4.24</v>
      </c>
      <c r="Z30" s="5">
        <f t="shared" si="11"/>
        <v>21200</v>
      </c>
      <c r="AA30" s="181">
        <v>21200</v>
      </c>
      <c r="AB30" s="109">
        <f t="shared" si="12"/>
        <v>-76.180000000000291</v>
      </c>
      <c r="AC30" t="s">
        <v>513</v>
      </c>
      <c r="AD30" s="136">
        <f t="shared" si="38"/>
        <v>-3.5805299635555017E-3</v>
      </c>
      <c r="AE30" t="s">
        <v>513</v>
      </c>
    </row>
    <row r="31" spans="1:31" x14ac:dyDescent="0.25">
      <c r="A31" t="s">
        <v>284</v>
      </c>
      <c r="B31" t="s">
        <v>292</v>
      </c>
      <c r="C31" s="189">
        <f t="shared" ref="C31:D31" si="40">U76</f>
        <v>2296</v>
      </c>
      <c r="D31" s="189">
        <f t="shared" si="40"/>
        <v>6861.55</v>
      </c>
      <c r="E31" s="60"/>
      <c r="F31" s="55"/>
      <c r="G31" s="34"/>
      <c r="H31" s="38"/>
      <c r="I31" s="55"/>
      <c r="J31" s="34"/>
      <c r="K31" s="38"/>
      <c r="L31" s="5"/>
      <c r="M31" s="34"/>
      <c r="O31" s="76"/>
      <c r="P31" s="34"/>
      <c r="R31" s="5"/>
      <c r="S31" s="34"/>
      <c r="U31" s="55">
        <f t="shared" si="7"/>
        <v>2296</v>
      </c>
      <c r="V31" s="128">
        <f t="shared" si="8"/>
        <v>6861.55</v>
      </c>
      <c r="W31" s="167">
        <f t="shared" si="9"/>
        <v>2.9884799651567944</v>
      </c>
      <c r="X31" s="36">
        <f t="shared" si="10"/>
        <v>2296</v>
      </c>
      <c r="Y31" s="82">
        <v>3.38</v>
      </c>
      <c r="Z31" s="5">
        <f t="shared" si="11"/>
        <v>7760.48</v>
      </c>
      <c r="AA31" s="181">
        <v>7760</v>
      </c>
      <c r="AB31" s="109">
        <f t="shared" si="12"/>
        <v>898.44999999999982</v>
      </c>
      <c r="AC31" t="s">
        <v>284</v>
      </c>
      <c r="AD31" s="136">
        <f t="shared" ref="AD31:AD39" si="41">AB31/V31</f>
        <v>0.13093980223127424</v>
      </c>
      <c r="AE31" t="s">
        <v>292</v>
      </c>
    </row>
    <row r="32" spans="1:31" x14ac:dyDescent="0.25">
      <c r="A32" t="s">
        <v>395</v>
      </c>
      <c r="B32" t="s">
        <v>430</v>
      </c>
      <c r="C32" s="189">
        <f t="shared" ref="C32:D32" si="42">U77</f>
        <v>1272</v>
      </c>
      <c r="D32" s="189">
        <f t="shared" si="42"/>
        <v>13676.75</v>
      </c>
      <c r="E32" s="60"/>
      <c r="F32" s="55"/>
      <c r="G32" s="34"/>
      <c r="H32" s="38"/>
      <c r="I32" s="55"/>
      <c r="J32" s="34"/>
      <c r="K32" s="38"/>
      <c r="L32" s="5"/>
      <c r="M32" s="34"/>
      <c r="O32" s="76"/>
      <c r="P32" s="34"/>
      <c r="R32" s="5"/>
      <c r="S32" s="34"/>
      <c r="U32" s="55">
        <f t="shared" si="7"/>
        <v>1272</v>
      </c>
      <c r="V32" s="128">
        <f t="shared" si="8"/>
        <v>13676.75</v>
      </c>
      <c r="W32" s="167">
        <f t="shared" si="9"/>
        <v>10.752161949685535</v>
      </c>
      <c r="X32" s="36">
        <f t="shared" si="10"/>
        <v>1272</v>
      </c>
      <c r="Y32" s="82">
        <v>14.13</v>
      </c>
      <c r="Z32" s="5">
        <f t="shared" si="11"/>
        <v>17973.36</v>
      </c>
      <c r="AA32" s="181">
        <v>17973</v>
      </c>
      <c r="AB32" s="109">
        <f t="shared" si="12"/>
        <v>4296.25</v>
      </c>
      <c r="AC32" t="s">
        <v>395</v>
      </c>
      <c r="AD32" s="136">
        <f t="shared" si="41"/>
        <v>0.31412799093351856</v>
      </c>
      <c r="AE32" t="s">
        <v>430</v>
      </c>
    </row>
    <row r="33" spans="1:35" x14ac:dyDescent="0.25">
      <c r="A33" t="s">
        <v>28</v>
      </c>
      <c r="B33" t="s">
        <v>52</v>
      </c>
      <c r="C33" s="189">
        <f t="shared" ref="C33:D33" si="43">U78</f>
        <v>10545</v>
      </c>
      <c r="D33" s="189">
        <f t="shared" si="43"/>
        <v>48203.45</v>
      </c>
      <c r="E33" s="60"/>
      <c r="F33" s="55"/>
      <c r="G33" s="34"/>
      <c r="H33" s="38"/>
      <c r="I33" s="55"/>
      <c r="J33" s="34"/>
      <c r="K33" s="38"/>
      <c r="L33" s="5"/>
      <c r="M33" s="34"/>
      <c r="O33" s="76"/>
      <c r="P33" s="34"/>
      <c r="R33" s="5"/>
      <c r="S33" s="34"/>
      <c r="U33" s="55">
        <f t="shared" si="7"/>
        <v>10545</v>
      </c>
      <c r="V33" s="128">
        <f t="shared" si="8"/>
        <v>48203.45</v>
      </c>
      <c r="W33" s="167">
        <f t="shared" si="9"/>
        <v>4.5712138454243716</v>
      </c>
      <c r="X33" s="36">
        <f t="shared" si="10"/>
        <v>10545</v>
      </c>
      <c r="Y33" s="82">
        <v>3.13</v>
      </c>
      <c r="Z33" s="5">
        <f t="shared" si="11"/>
        <v>33005.85</v>
      </c>
      <c r="AA33" s="181">
        <v>33005</v>
      </c>
      <c r="AB33" s="109">
        <f t="shared" si="12"/>
        <v>-15198.449999999997</v>
      </c>
      <c r="AC33" t="s">
        <v>28</v>
      </c>
      <c r="AD33" s="136">
        <f t="shared" si="41"/>
        <v>-0.31529797141075999</v>
      </c>
      <c r="AE33" t="s">
        <v>52</v>
      </c>
    </row>
    <row r="34" spans="1:35" x14ac:dyDescent="0.25">
      <c r="A34" t="s">
        <v>29</v>
      </c>
      <c r="B34" t="s">
        <v>76</v>
      </c>
      <c r="C34" s="189">
        <f t="shared" ref="C34:D34" si="44">U79</f>
        <v>367</v>
      </c>
      <c r="D34" s="189">
        <f t="shared" si="44"/>
        <v>1199.1099999999999</v>
      </c>
      <c r="E34" s="60"/>
      <c r="F34" s="55"/>
      <c r="G34" s="34"/>
      <c r="H34" s="38"/>
      <c r="I34" s="55"/>
      <c r="J34" s="34"/>
      <c r="K34" s="38"/>
      <c r="L34" s="5"/>
      <c r="M34" s="34"/>
      <c r="O34" s="76"/>
      <c r="P34" s="34"/>
      <c r="R34" s="5"/>
      <c r="S34" s="34"/>
      <c r="U34" s="55">
        <f t="shared" si="7"/>
        <v>367</v>
      </c>
      <c r="V34" s="128">
        <f t="shared" si="8"/>
        <v>1199.1099999999999</v>
      </c>
      <c r="W34" s="167">
        <f t="shared" si="9"/>
        <v>3.2673297002724793</v>
      </c>
      <c r="X34" s="36">
        <f t="shared" si="10"/>
        <v>367</v>
      </c>
      <c r="Y34" s="82">
        <v>10.48</v>
      </c>
      <c r="Z34" s="5">
        <f t="shared" si="11"/>
        <v>3846.1600000000003</v>
      </c>
      <c r="AA34" s="181">
        <v>3846</v>
      </c>
      <c r="AB34" s="109">
        <f t="shared" si="12"/>
        <v>2646.8900000000003</v>
      </c>
      <c r="AC34" t="s">
        <v>29</v>
      </c>
      <c r="AD34" s="136">
        <f t="shared" si="41"/>
        <v>2.2073788059477448</v>
      </c>
      <c r="AE34" t="s">
        <v>76</v>
      </c>
    </row>
    <row r="35" spans="1:35" x14ac:dyDescent="0.25">
      <c r="A35" t="s">
        <v>32</v>
      </c>
      <c r="B35" t="s">
        <v>53</v>
      </c>
      <c r="C35" s="189">
        <f t="shared" ref="C35:D35" si="45">U80</f>
        <v>1984</v>
      </c>
      <c r="D35" s="189">
        <f t="shared" si="45"/>
        <v>58083.97</v>
      </c>
      <c r="E35" s="60"/>
      <c r="F35" s="55"/>
      <c r="G35" s="34"/>
      <c r="H35" s="38"/>
      <c r="I35" s="55"/>
      <c r="J35" s="34"/>
      <c r="K35" s="38"/>
      <c r="L35" s="5"/>
      <c r="M35" s="34"/>
      <c r="O35" s="76"/>
      <c r="P35" s="34"/>
      <c r="R35" s="5"/>
      <c r="S35" s="34"/>
      <c r="U35" s="55">
        <f t="shared" si="7"/>
        <v>1984</v>
      </c>
      <c r="V35" s="128">
        <f t="shared" si="8"/>
        <v>58083.97</v>
      </c>
      <c r="W35" s="167">
        <f t="shared" si="9"/>
        <v>29.276194556451614</v>
      </c>
      <c r="X35" s="36">
        <f t="shared" si="10"/>
        <v>1984</v>
      </c>
      <c r="Y35" s="82">
        <v>17.95</v>
      </c>
      <c r="Z35" s="5">
        <f t="shared" si="11"/>
        <v>35612.799999999996</v>
      </c>
      <c r="AA35" s="181">
        <v>35612</v>
      </c>
      <c r="AB35" s="109">
        <f t="shared" si="12"/>
        <v>-22471.97</v>
      </c>
      <c r="AC35" t="s">
        <v>32</v>
      </c>
      <c r="AD35" s="136">
        <f t="shared" si="41"/>
        <v>-0.38688763870651405</v>
      </c>
      <c r="AE35" t="s">
        <v>53</v>
      </c>
    </row>
    <row r="36" spans="1:35" x14ac:dyDescent="0.25">
      <c r="A36" t="s">
        <v>231</v>
      </c>
      <c r="B36" t="s">
        <v>229</v>
      </c>
      <c r="C36" s="189">
        <f t="shared" ref="C36:D36" si="46">U81</f>
        <v>1625</v>
      </c>
      <c r="D36" s="189">
        <f t="shared" si="46"/>
        <v>48029.75</v>
      </c>
      <c r="E36" s="60"/>
      <c r="F36" s="55"/>
      <c r="G36" s="34"/>
      <c r="H36" s="38"/>
      <c r="I36" s="55"/>
      <c r="J36" s="34"/>
      <c r="K36" s="38"/>
      <c r="L36" s="5"/>
      <c r="M36" s="34"/>
      <c r="O36" s="76"/>
      <c r="P36" s="206"/>
      <c r="R36" s="5"/>
      <c r="S36" s="34"/>
      <c r="U36" s="55">
        <f t="shared" si="7"/>
        <v>1625</v>
      </c>
      <c r="V36" s="128">
        <f t="shared" si="8"/>
        <v>48029.75</v>
      </c>
      <c r="W36" s="167">
        <f t="shared" si="9"/>
        <v>29.55676923076923</v>
      </c>
      <c r="X36" s="36">
        <f t="shared" si="10"/>
        <v>1625</v>
      </c>
      <c r="Y36" s="82">
        <v>44.83</v>
      </c>
      <c r="Z36" s="5">
        <f t="shared" si="11"/>
        <v>72848.75</v>
      </c>
      <c r="AA36" s="181">
        <v>72848</v>
      </c>
      <c r="AB36" s="109">
        <f t="shared" si="12"/>
        <v>24818.25</v>
      </c>
      <c r="AC36" t="s">
        <v>231</v>
      </c>
      <c r="AD36" s="136">
        <f t="shared" si="41"/>
        <v>0.51672661215184335</v>
      </c>
      <c r="AE36" t="s">
        <v>229</v>
      </c>
    </row>
    <row r="37" spans="1:35" x14ac:dyDescent="0.25">
      <c r="A37" t="s">
        <v>30</v>
      </c>
      <c r="B37" t="s">
        <v>55</v>
      </c>
      <c r="C37" s="189">
        <f t="shared" ref="C37:D37" si="47">U82</f>
        <v>967</v>
      </c>
      <c r="D37" s="189">
        <f t="shared" si="47"/>
        <v>37820.449999999997</v>
      </c>
      <c r="E37" s="60"/>
      <c r="F37" s="55"/>
      <c r="G37" s="34"/>
      <c r="H37" s="38"/>
      <c r="I37" s="55"/>
      <c r="J37" s="34"/>
      <c r="K37" s="38"/>
      <c r="L37" s="5"/>
      <c r="M37" s="34"/>
      <c r="O37" s="76"/>
      <c r="P37" s="34"/>
      <c r="R37" s="5"/>
      <c r="S37" s="34"/>
      <c r="U37" s="55">
        <f t="shared" si="7"/>
        <v>967</v>
      </c>
      <c r="V37" s="128">
        <f t="shared" si="8"/>
        <v>37820.449999999997</v>
      </c>
      <c r="W37" s="167">
        <f t="shared" si="9"/>
        <v>39.111116856256459</v>
      </c>
      <c r="X37" s="36">
        <f t="shared" si="10"/>
        <v>967</v>
      </c>
      <c r="Y37" s="82">
        <v>21.65</v>
      </c>
      <c r="Z37" s="5">
        <f t="shared" si="11"/>
        <v>20935.55</v>
      </c>
      <c r="AA37" s="181">
        <v>20935</v>
      </c>
      <c r="AB37" s="109">
        <f t="shared" si="12"/>
        <v>-16885.449999999997</v>
      </c>
      <c r="AC37" t="s">
        <v>30</v>
      </c>
      <c r="AD37" s="136">
        <f t="shared" si="41"/>
        <v>-0.4464634873461315</v>
      </c>
      <c r="AE37" t="s">
        <v>55</v>
      </c>
    </row>
    <row r="38" spans="1:35" x14ac:dyDescent="0.25">
      <c r="A38" t="s">
        <v>31</v>
      </c>
      <c r="B38" t="s">
        <v>54</v>
      </c>
      <c r="C38" s="189">
        <f t="shared" ref="C38:D38" si="48">U83</f>
        <v>1224</v>
      </c>
      <c r="D38" s="189">
        <f t="shared" si="48"/>
        <v>31557.79</v>
      </c>
      <c r="E38" s="60"/>
      <c r="F38" s="55"/>
      <c r="G38" s="34"/>
      <c r="H38" s="38"/>
      <c r="I38" s="55"/>
      <c r="J38" s="34"/>
      <c r="K38" s="38"/>
      <c r="L38" s="5"/>
      <c r="M38" s="34"/>
      <c r="O38" s="76"/>
      <c r="P38" s="34"/>
      <c r="R38" s="5"/>
      <c r="S38" s="34"/>
      <c r="U38" s="55">
        <f t="shared" si="7"/>
        <v>1224</v>
      </c>
      <c r="V38" s="128">
        <f t="shared" si="8"/>
        <v>31557.79</v>
      </c>
      <c r="W38" s="167">
        <f t="shared" si="9"/>
        <v>25.782508169934641</v>
      </c>
      <c r="X38" s="36">
        <f t="shared" si="10"/>
        <v>1224</v>
      </c>
      <c r="Y38" s="82">
        <v>37.28</v>
      </c>
      <c r="Z38" s="5">
        <f t="shared" si="11"/>
        <v>45630.720000000001</v>
      </c>
      <c r="AA38" s="181">
        <v>45630</v>
      </c>
      <c r="AB38" s="109">
        <f t="shared" si="12"/>
        <v>14072.21</v>
      </c>
      <c r="AC38" t="s">
        <v>31</v>
      </c>
      <c r="AD38" s="136">
        <f t="shared" si="41"/>
        <v>0.44591874145813121</v>
      </c>
      <c r="AE38" t="s">
        <v>54</v>
      </c>
    </row>
    <row r="39" spans="1:35" x14ac:dyDescent="0.25">
      <c r="C39" s="34"/>
      <c r="D39" s="57">
        <f>SUM(D8:D38)</f>
        <v>1045954.7100000001</v>
      </c>
      <c r="E39" s="61"/>
      <c r="F39" s="68"/>
      <c r="G39" s="57">
        <f>SUM(G9:G38)</f>
        <v>0</v>
      </c>
      <c r="H39" s="27"/>
      <c r="I39" s="69">
        <f>SUM(I8:I38)</f>
        <v>204</v>
      </c>
      <c r="J39" s="69">
        <f>SUM(J8:J38)</f>
        <v>14689.24</v>
      </c>
      <c r="K39" s="76"/>
      <c r="L39" s="57"/>
      <c r="M39" s="69">
        <f>SUM(M8:M38)</f>
        <v>187751.83</v>
      </c>
      <c r="N39" s="38"/>
      <c r="O39" s="76"/>
      <c r="P39" s="69">
        <f>SUM(P8:P38)</f>
        <v>25371.67</v>
      </c>
      <c r="R39" s="5"/>
      <c r="S39" s="57">
        <f>SUM(S9:S38)</f>
        <v>0</v>
      </c>
      <c r="U39" s="5"/>
      <c r="V39" s="57">
        <f>SUM(V8:V38)</f>
        <v>1273767.4500000002</v>
      </c>
      <c r="X39" s="3"/>
      <c r="Y39" s="83"/>
      <c r="Z39" s="33">
        <f>SUM(Z8:Z38)</f>
        <v>1595957.9800000002</v>
      </c>
      <c r="AA39" s="137">
        <f>SUM(AA8:AA38)</f>
        <v>1595950.73</v>
      </c>
      <c r="AB39" s="109">
        <f t="shared" ref="AB39" si="49">AA39-V39</f>
        <v>322183.2799999998</v>
      </c>
      <c r="AC39" s="135"/>
      <c r="AD39" s="136">
        <f t="shared" si="41"/>
        <v>0.2529372845883287</v>
      </c>
      <c r="AE39" s="12"/>
    </row>
    <row r="40" spans="1:35" x14ac:dyDescent="0.25">
      <c r="C40" s="63" t="s">
        <v>176</v>
      </c>
      <c r="D40" s="64">
        <f>D39</f>
        <v>1045954.7100000001</v>
      </c>
      <c r="F40" s="63" t="s">
        <v>176</v>
      </c>
      <c r="G40" s="64">
        <f>G39</f>
        <v>0</v>
      </c>
      <c r="I40" s="63" t="s">
        <v>176</v>
      </c>
      <c r="J40" s="67">
        <f>J39</f>
        <v>14689.24</v>
      </c>
      <c r="K40" s="72"/>
      <c r="L40" s="63" t="s">
        <v>176</v>
      </c>
      <c r="M40" s="67">
        <f>M39</f>
        <v>187751.83</v>
      </c>
      <c r="N40" s="70"/>
      <c r="O40" s="63" t="s">
        <v>176</v>
      </c>
      <c r="P40" s="67">
        <f>P39</f>
        <v>25371.67</v>
      </c>
      <c r="R40" s="63" t="s">
        <v>176</v>
      </c>
      <c r="S40" s="67">
        <f>S39</f>
        <v>0</v>
      </c>
      <c r="V40" s="2">
        <f>D39+M39+P39</f>
        <v>1259078.21</v>
      </c>
      <c r="Z40" s="85" t="s">
        <v>176</v>
      </c>
      <c r="AA40" s="73"/>
      <c r="AB40" s="108"/>
      <c r="AC40" s="132"/>
      <c r="AD40" s="132"/>
    </row>
    <row r="41" spans="1:35" x14ac:dyDescent="0.25">
      <c r="B41" s="29"/>
      <c r="O41" t="s">
        <v>327</v>
      </c>
      <c r="P41" s="12" t="e">
        <f>#REF!+#REF!</f>
        <v>#REF!</v>
      </c>
      <c r="AA41" s="91">
        <f>Z41-Z39</f>
        <v>-1595957.9800000002</v>
      </c>
      <c r="AE41" s="29"/>
    </row>
    <row r="42" spans="1:35" x14ac:dyDescent="0.25">
      <c r="B42" t="s">
        <v>168</v>
      </c>
      <c r="V42">
        <f>1227500-1247332.13</f>
        <v>-19832.129999999888</v>
      </c>
      <c r="AE42" t="s">
        <v>168</v>
      </c>
      <c r="AF42" s="125" t="s">
        <v>271</v>
      </c>
      <c r="AG42" s="125"/>
      <c r="AH42" s="125"/>
      <c r="AI42" s="126"/>
    </row>
    <row r="43" spans="1:35" x14ac:dyDescent="0.25">
      <c r="B43" s="29" t="s">
        <v>169</v>
      </c>
      <c r="AE43" s="29" t="s">
        <v>169</v>
      </c>
      <c r="AF43" s="125"/>
      <c r="AG43" s="125" t="s">
        <v>16</v>
      </c>
      <c r="AH43" s="125"/>
      <c r="AI43" s="129">
        <v>95015.039999999994</v>
      </c>
    </row>
    <row r="44" spans="1:35" x14ac:dyDescent="0.25">
      <c r="A44" t="s">
        <v>170</v>
      </c>
      <c r="C44" s="51">
        <v>43281</v>
      </c>
      <c r="D44" s="51">
        <v>43281</v>
      </c>
      <c r="E44" s="48"/>
      <c r="F44" s="3" t="s">
        <v>174</v>
      </c>
      <c r="G44" s="3"/>
      <c r="H44" s="20"/>
      <c r="I44" s="32" t="s">
        <v>174</v>
      </c>
      <c r="J44" s="3"/>
      <c r="K44" s="20"/>
      <c r="L44" s="32" t="s">
        <v>317</v>
      </c>
      <c r="M44" s="3"/>
      <c r="O44" s="74" t="s">
        <v>420</v>
      </c>
      <c r="P44" s="69" t="e">
        <f>SUM(P11:P43)</f>
        <v>#REF!</v>
      </c>
      <c r="R44" s="74"/>
      <c r="S44" s="75"/>
      <c r="U44" s="77">
        <v>43646</v>
      </c>
      <c r="V44" s="71"/>
      <c r="X44" s="77">
        <v>43633</v>
      </c>
      <c r="Y44" s="80"/>
      <c r="Z44" s="71"/>
      <c r="AA44" s="51">
        <v>43646</v>
      </c>
      <c r="AB44" s="3"/>
      <c r="AC44" s="4" t="s">
        <v>170</v>
      </c>
      <c r="AD44" s="4" t="s">
        <v>296</v>
      </c>
      <c r="AF44" s="125"/>
      <c r="AG44" s="125"/>
      <c r="AH44" s="125"/>
      <c r="AI44" s="129"/>
    </row>
    <row r="45" spans="1:35" ht="30" x14ac:dyDescent="0.25">
      <c r="A45" s="1" t="s">
        <v>171</v>
      </c>
      <c r="B45" s="39" t="s">
        <v>42</v>
      </c>
      <c r="C45" s="52" t="s">
        <v>172</v>
      </c>
      <c r="D45" s="4" t="s">
        <v>173</v>
      </c>
      <c r="E45" s="58"/>
      <c r="F45" s="4" t="s">
        <v>175</v>
      </c>
      <c r="G45" s="4" t="s">
        <v>173</v>
      </c>
      <c r="H45" s="58"/>
      <c r="I45" s="52" t="s">
        <v>172</v>
      </c>
      <c r="J45" s="4" t="s">
        <v>173</v>
      </c>
      <c r="K45" s="58"/>
      <c r="L45" s="52" t="s">
        <v>172</v>
      </c>
      <c r="M45" s="4" t="s">
        <v>173</v>
      </c>
      <c r="O45" s="52" t="s">
        <v>172</v>
      </c>
      <c r="P45" s="4" t="s">
        <v>173</v>
      </c>
      <c r="R45" s="52" t="s">
        <v>172</v>
      </c>
      <c r="S45" s="4" t="s">
        <v>173</v>
      </c>
      <c r="U45" s="52" t="s">
        <v>172</v>
      </c>
      <c r="V45" s="4" t="s">
        <v>173</v>
      </c>
      <c r="W45" s="29" t="s">
        <v>432</v>
      </c>
      <c r="X45" s="78" t="s">
        <v>172</v>
      </c>
      <c r="Y45" s="79" t="s">
        <v>203</v>
      </c>
      <c r="Z45" s="3" t="s">
        <v>93</v>
      </c>
      <c r="AA45" s="3" t="s">
        <v>294</v>
      </c>
      <c r="AB45" s="3" t="s">
        <v>295</v>
      </c>
      <c r="AC45" s="133" t="s">
        <v>171</v>
      </c>
      <c r="AD45" s="133" t="s">
        <v>297</v>
      </c>
      <c r="AE45" s="39" t="s">
        <v>42</v>
      </c>
      <c r="AF45" s="125"/>
      <c r="AG45" s="125"/>
      <c r="AH45" s="125"/>
      <c r="AI45" s="129"/>
    </row>
    <row r="46" spans="1:35" x14ac:dyDescent="0.25">
      <c r="A46" t="s">
        <v>392</v>
      </c>
      <c r="B46" t="s">
        <v>393</v>
      </c>
      <c r="C46" s="189">
        <f t="shared" ref="C46:D51" si="50">U90</f>
        <v>700</v>
      </c>
      <c r="D46" s="175">
        <f t="shared" si="50"/>
        <v>10484.450000000001</v>
      </c>
      <c r="E46" s="59"/>
      <c r="F46" s="54"/>
      <c r="G46" s="54"/>
      <c r="H46" s="59"/>
      <c r="I46" s="54"/>
      <c r="J46" s="3"/>
      <c r="K46" s="20"/>
      <c r="L46" s="54"/>
      <c r="M46" s="3"/>
      <c r="N46" s="28"/>
      <c r="O46" s="3"/>
      <c r="P46" s="34"/>
      <c r="R46" s="5"/>
      <c r="S46" s="34"/>
      <c r="U46" s="55">
        <f>+C46+F46+I46+L46+O46+R46</f>
        <v>700</v>
      </c>
      <c r="V46" s="128">
        <f>+D46+G46+J46+M46+P46+S46</f>
        <v>10484.450000000001</v>
      </c>
      <c r="W46" s="167">
        <f>V46/U46</f>
        <v>14.977785714285716</v>
      </c>
      <c r="X46" s="36">
        <f>U46</f>
        <v>700</v>
      </c>
      <c r="Y46" s="3">
        <v>30.72</v>
      </c>
      <c r="Z46" s="5">
        <f>X46*Y46</f>
        <v>21504</v>
      </c>
      <c r="AA46" s="181">
        <f t="shared" ref="AA46:AA83" si="51">Z46</f>
        <v>21504</v>
      </c>
      <c r="AB46" s="109">
        <f>AA46-V46</f>
        <v>11019.55</v>
      </c>
      <c r="AC46" t="s">
        <v>392</v>
      </c>
      <c r="AD46" s="136">
        <f>AB46/V46</f>
        <v>1.0510374888525387</v>
      </c>
      <c r="AE46" t="s">
        <v>393</v>
      </c>
      <c r="AF46" s="125"/>
      <c r="AG46" s="125"/>
      <c r="AH46" s="125"/>
      <c r="AI46" s="129"/>
    </row>
    <row r="47" spans="1:35" x14ac:dyDescent="0.25">
      <c r="A47" t="s">
        <v>415</v>
      </c>
      <c r="B47" t="s">
        <v>418</v>
      </c>
      <c r="C47" s="189">
        <f t="shared" si="50"/>
        <v>1600</v>
      </c>
      <c r="D47" s="175">
        <f t="shared" si="50"/>
        <v>25070.05</v>
      </c>
      <c r="E47" s="59"/>
      <c r="F47" s="54"/>
      <c r="G47" s="54"/>
      <c r="H47" s="59"/>
      <c r="I47" s="54"/>
      <c r="J47" s="3"/>
      <c r="K47" s="20"/>
      <c r="L47" s="54">
        <v>-1600</v>
      </c>
      <c r="M47" s="3">
        <v>-25070.05</v>
      </c>
      <c r="N47" s="28"/>
      <c r="O47" s="3"/>
      <c r="P47" s="34"/>
      <c r="R47" s="5"/>
      <c r="S47" s="34"/>
      <c r="U47" s="55">
        <f t="shared" ref="U47:U83" si="52">+C47+F47+I47+L47+O47+R47</f>
        <v>0</v>
      </c>
      <c r="V47" s="128">
        <f t="shared" ref="V47:V83" si="53">+D47+G47+J47+M47+P47+S47</f>
        <v>0</v>
      </c>
      <c r="W47" s="167"/>
      <c r="X47" s="36">
        <f t="shared" ref="X47:X72" si="54">U47</f>
        <v>0</v>
      </c>
      <c r="Y47" s="3">
        <v>0</v>
      </c>
      <c r="Z47" s="5">
        <f>X47*Y47</f>
        <v>0</v>
      </c>
      <c r="AA47" s="181">
        <f t="shared" si="51"/>
        <v>0</v>
      </c>
      <c r="AB47" s="109">
        <f t="shared" ref="AB47:AB84" si="55">AA47-V47</f>
        <v>0</v>
      </c>
      <c r="AC47" t="s">
        <v>415</v>
      </c>
      <c r="AD47" s="136" t="e">
        <f t="shared" ref="AD47:AD84" si="56">AB47/V47</f>
        <v>#DIV/0!</v>
      </c>
      <c r="AE47" t="s">
        <v>418</v>
      </c>
      <c r="AF47" s="125"/>
      <c r="AG47" s="125"/>
      <c r="AH47" s="125"/>
      <c r="AI47" s="129"/>
    </row>
    <row r="48" spans="1:35" x14ac:dyDescent="0.25">
      <c r="A48" t="s">
        <v>16</v>
      </c>
      <c r="B48" t="s">
        <v>43</v>
      </c>
      <c r="C48" s="189">
        <v>3110</v>
      </c>
      <c r="D48" s="175">
        <v>88268.97</v>
      </c>
      <c r="E48" s="60"/>
      <c r="F48" s="68"/>
      <c r="G48" s="34"/>
      <c r="H48" s="38"/>
      <c r="I48" s="55"/>
      <c r="J48" s="34"/>
      <c r="K48" s="38"/>
      <c r="L48" s="5">
        <v>500</v>
      </c>
      <c r="M48" s="34">
        <v>19227.45</v>
      </c>
      <c r="O48" s="76"/>
      <c r="P48" s="34"/>
      <c r="R48" s="5"/>
      <c r="S48" s="34"/>
      <c r="U48" s="55">
        <f t="shared" si="52"/>
        <v>3610</v>
      </c>
      <c r="V48" s="128">
        <f t="shared" si="53"/>
        <v>107496.42</v>
      </c>
      <c r="W48" s="167">
        <f t="shared" ref="W48:W83" si="57">V48/U48</f>
        <v>29.777401662049861</v>
      </c>
      <c r="X48" s="36">
        <f t="shared" si="54"/>
        <v>3610</v>
      </c>
      <c r="Y48" s="82">
        <v>41.16</v>
      </c>
      <c r="Z48" s="5">
        <f>X48*Y48</f>
        <v>148587.59999999998</v>
      </c>
      <c r="AA48" s="181">
        <f t="shared" si="51"/>
        <v>148587.59999999998</v>
      </c>
      <c r="AB48" s="109">
        <f t="shared" si="55"/>
        <v>41091.179999999978</v>
      </c>
      <c r="AC48" t="s">
        <v>16</v>
      </c>
      <c r="AD48" s="136">
        <f t="shared" si="56"/>
        <v>0.38225626490631015</v>
      </c>
      <c r="AE48" t="s">
        <v>43</v>
      </c>
      <c r="AF48" s="125"/>
      <c r="AG48" s="125"/>
      <c r="AH48" s="125"/>
      <c r="AI48" s="129"/>
    </row>
    <row r="49" spans="1:35" x14ac:dyDescent="0.25">
      <c r="A49" t="s">
        <v>416</v>
      </c>
      <c r="B49" t="s">
        <v>417</v>
      </c>
      <c r="C49" s="189">
        <f t="shared" si="50"/>
        <v>3250</v>
      </c>
      <c r="D49" s="175">
        <f t="shared" si="50"/>
        <v>24586.49</v>
      </c>
      <c r="E49" s="60"/>
      <c r="F49" s="68"/>
      <c r="G49" s="34"/>
      <c r="H49" s="38"/>
      <c r="I49" s="55"/>
      <c r="J49" s="34"/>
      <c r="K49" s="38"/>
      <c r="L49" s="5"/>
      <c r="M49" s="34"/>
      <c r="O49" s="76"/>
      <c r="P49" s="34"/>
      <c r="R49" s="5"/>
      <c r="S49" s="34"/>
      <c r="U49" s="55">
        <f t="shared" si="52"/>
        <v>3250</v>
      </c>
      <c r="V49" s="128">
        <f t="shared" si="53"/>
        <v>24586.49</v>
      </c>
      <c r="W49" s="167">
        <f t="shared" si="57"/>
        <v>7.5650738461538465</v>
      </c>
      <c r="X49" s="36">
        <f t="shared" si="54"/>
        <v>3250</v>
      </c>
      <c r="Y49" s="82">
        <v>5.12</v>
      </c>
      <c r="Z49" s="5">
        <f>X49*Y49</f>
        <v>16640</v>
      </c>
      <c r="AA49" s="181">
        <f t="shared" si="51"/>
        <v>16640</v>
      </c>
      <c r="AB49" s="109">
        <f t="shared" si="55"/>
        <v>-7946.4900000000016</v>
      </c>
      <c r="AC49" t="s">
        <v>416</v>
      </c>
      <c r="AD49" s="136">
        <f t="shared" si="56"/>
        <v>-0.32320554906373383</v>
      </c>
      <c r="AE49" t="s">
        <v>417</v>
      </c>
      <c r="AF49" s="125"/>
      <c r="AG49" s="125"/>
      <c r="AH49" s="125"/>
      <c r="AI49" s="129"/>
    </row>
    <row r="50" spans="1:35" x14ac:dyDescent="0.25">
      <c r="A50" t="s">
        <v>347</v>
      </c>
      <c r="B50" t="s">
        <v>343</v>
      </c>
      <c r="C50" s="189">
        <f t="shared" si="50"/>
        <v>810</v>
      </c>
      <c r="D50" s="175">
        <f t="shared" si="50"/>
        <v>10049.65</v>
      </c>
      <c r="E50" s="60"/>
      <c r="F50" s="68"/>
      <c r="G50" s="34"/>
      <c r="H50" s="38"/>
      <c r="I50" s="55"/>
      <c r="J50" s="34"/>
      <c r="K50" s="38"/>
      <c r="L50" s="5">
        <v>-810</v>
      </c>
      <c r="M50" s="34">
        <v>-10049.65</v>
      </c>
      <c r="O50" s="76"/>
      <c r="P50" s="34"/>
      <c r="R50" s="5"/>
      <c r="S50" s="34"/>
      <c r="U50" s="190"/>
      <c r="V50" s="191"/>
      <c r="W50" s="192"/>
      <c r="X50" s="193"/>
      <c r="Y50" s="194"/>
      <c r="Z50" s="195"/>
      <c r="AA50" s="196"/>
      <c r="AB50" s="195"/>
      <c r="AC50" t="s">
        <v>347</v>
      </c>
      <c r="AD50" s="136"/>
      <c r="AE50" t="s">
        <v>343</v>
      </c>
      <c r="AF50" s="125"/>
      <c r="AG50" s="125"/>
      <c r="AH50" s="125"/>
      <c r="AI50" s="129"/>
    </row>
    <row r="51" spans="1:35" x14ac:dyDescent="0.25">
      <c r="A51" t="s">
        <v>18</v>
      </c>
      <c r="B51" t="s">
        <v>60</v>
      </c>
      <c r="C51" s="189">
        <f t="shared" si="50"/>
        <v>3691</v>
      </c>
      <c r="D51" s="175">
        <v>172128.88</v>
      </c>
      <c r="E51" s="60"/>
      <c r="F51" s="55"/>
      <c r="G51" s="34"/>
      <c r="H51" s="38"/>
      <c r="I51" s="55"/>
      <c r="J51" s="34"/>
      <c r="K51" s="38"/>
      <c r="L51" s="5">
        <v>500</v>
      </c>
      <c r="M51" s="34">
        <v>36861.68</v>
      </c>
      <c r="O51" s="76"/>
      <c r="P51" s="34"/>
      <c r="R51" s="5"/>
      <c r="S51" s="34"/>
      <c r="U51" s="55">
        <f t="shared" si="52"/>
        <v>4191</v>
      </c>
      <c r="V51" s="128">
        <f t="shared" si="53"/>
        <v>208990.56</v>
      </c>
      <c r="W51" s="167">
        <f t="shared" si="57"/>
        <v>49.866513958482464</v>
      </c>
      <c r="X51" s="36">
        <f t="shared" si="54"/>
        <v>4191</v>
      </c>
      <c r="Y51" s="86">
        <v>82.78</v>
      </c>
      <c r="Z51" s="5">
        <f t="shared" ref="Z51:Z59" si="58">X51*Y51</f>
        <v>346930.98</v>
      </c>
      <c r="AA51" s="181">
        <f t="shared" si="51"/>
        <v>346930.98</v>
      </c>
      <c r="AB51" s="109">
        <f t="shared" si="55"/>
        <v>137940.41999999998</v>
      </c>
      <c r="AC51" t="s">
        <v>18</v>
      </c>
      <c r="AD51" s="136">
        <f t="shared" si="56"/>
        <v>0.66003182153299167</v>
      </c>
      <c r="AE51" t="s">
        <v>60</v>
      </c>
      <c r="AF51" s="125"/>
      <c r="AG51" s="125"/>
      <c r="AH51" s="125"/>
      <c r="AI51" s="129"/>
    </row>
    <row r="52" spans="1:35" x14ac:dyDescent="0.25">
      <c r="A52" t="s">
        <v>189</v>
      </c>
      <c r="B52" t="s">
        <v>45</v>
      </c>
      <c r="C52" s="189">
        <v>4312</v>
      </c>
      <c r="D52" s="175">
        <v>38746.92</v>
      </c>
      <c r="E52" s="60"/>
      <c r="F52" s="55"/>
      <c r="G52" s="34"/>
      <c r="H52" s="38"/>
      <c r="I52" s="55"/>
      <c r="J52" s="34"/>
      <c r="K52" s="38"/>
      <c r="L52" s="5"/>
      <c r="M52" s="34"/>
      <c r="O52" s="76"/>
      <c r="P52" s="34"/>
      <c r="R52" s="5"/>
      <c r="S52" s="34"/>
      <c r="U52" s="55">
        <f t="shared" si="52"/>
        <v>4312</v>
      </c>
      <c r="V52" s="128">
        <f t="shared" si="53"/>
        <v>38746.92</v>
      </c>
      <c r="W52" s="167">
        <f t="shared" si="57"/>
        <v>8.9858348794063083</v>
      </c>
      <c r="X52" s="36">
        <f t="shared" si="54"/>
        <v>4312</v>
      </c>
      <c r="Y52" s="86">
        <v>10.220000000000001</v>
      </c>
      <c r="Z52" s="5">
        <f t="shared" si="58"/>
        <v>44068.639999999999</v>
      </c>
      <c r="AA52" s="181">
        <f t="shared" si="51"/>
        <v>44068.639999999999</v>
      </c>
      <c r="AB52" s="109">
        <f t="shared" si="55"/>
        <v>5321.7200000000012</v>
      </c>
      <c r="AC52" t="s">
        <v>189</v>
      </c>
      <c r="AD52" s="136">
        <f t="shared" si="56"/>
        <v>0.13734562643946929</v>
      </c>
      <c r="AE52" t="s">
        <v>45</v>
      </c>
      <c r="AF52" s="125"/>
      <c r="AG52" s="125"/>
      <c r="AH52" s="125"/>
      <c r="AI52" s="129"/>
    </row>
    <row r="53" spans="1:35" x14ac:dyDescent="0.25">
      <c r="B53" t="s">
        <v>451</v>
      </c>
      <c r="C53" s="189"/>
      <c r="D53" s="175"/>
      <c r="E53" s="60"/>
      <c r="F53" s="55"/>
      <c r="G53" s="34"/>
      <c r="H53" s="38"/>
      <c r="I53" s="55"/>
      <c r="J53" s="34"/>
      <c r="K53" s="38"/>
      <c r="L53" s="5"/>
      <c r="M53" s="34"/>
      <c r="O53" s="76">
        <v>900</v>
      </c>
      <c r="P53" s="206">
        <f>12.84*900</f>
        <v>11556</v>
      </c>
      <c r="R53" s="5"/>
      <c r="S53" s="34"/>
      <c r="U53" s="55">
        <f t="shared" ref="U53" si="59">+C53+F53+I53+L53+O53+R53</f>
        <v>900</v>
      </c>
      <c r="V53" s="128">
        <f t="shared" ref="V53" si="60">+D53+G53+J53+M53+P53+S53</f>
        <v>11556</v>
      </c>
      <c r="W53" s="167">
        <f t="shared" si="57"/>
        <v>12.84</v>
      </c>
      <c r="X53" s="36">
        <f t="shared" si="54"/>
        <v>900</v>
      </c>
      <c r="Y53" s="86">
        <v>13.35</v>
      </c>
      <c r="Z53" s="5">
        <f>X53*Y53</f>
        <v>12015</v>
      </c>
      <c r="AA53" s="181">
        <f t="shared" si="51"/>
        <v>12015</v>
      </c>
      <c r="AB53" s="109">
        <f t="shared" si="55"/>
        <v>459</v>
      </c>
      <c r="AD53" s="136">
        <f t="shared" si="56"/>
        <v>3.9719626168224297E-2</v>
      </c>
      <c r="AE53" t="s">
        <v>458</v>
      </c>
      <c r="AF53" s="125"/>
      <c r="AG53" s="125"/>
      <c r="AH53" s="125"/>
      <c r="AI53" s="129"/>
    </row>
    <row r="54" spans="1:35" x14ac:dyDescent="0.25">
      <c r="A54" t="s">
        <v>230</v>
      </c>
      <c r="B54" t="s">
        <v>228</v>
      </c>
      <c r="C54" s="189">
        <f t="shared" ref="C54:D56" si="61">U97</f>
        <v>300</v>
      </c>
      <c r="D54" s="175">
        <f t="shared" si="61"/>
        <v>9075.34</v>
      </c>
      <c r="E54" s="60"/>
      <c r="F54" s="55"/>
      <c r="G54" s="34"/>
      <c r="H54" s="38"/>
      <c r="I54" s="55"/>
      <c r="J54" s="34"/>
      <c r="K54" s="38"/>
      <c r="L54" s="5"/>
      <c r="M54" s="34"/>
      <c r="O54" s="76"/>
      <c r="P54" s="34"/>
      <c r="R54" s="5"/>
      <c r="S54" s="34"/>
      <c r="U54" s="55">
        <f t="shared" si="52"/>
        <v>300</v>
      </c>
      <c r="V54" s="128">
        <f t="shared" si="53"/>
        <v>9075.34</v>
      </c>
      <c r="W54" s="167">
        <f t="shared" si="57"/>
        <v>30.251133333333335</v>
      </c>
      <c r="X54" s="36">
        <f t="shared" si="54"/>
        <v>300</v>
      </c>
      <c r="Y54" s="86">
        <v>215</v>
      </c>
      <c r="Z54" s="5">
        <f t="shared" si="58"/>
        <v>64500</v>
      </c>
      <c r="AA54" s="181">
        <f t="shared" si="51"/>
        <v>64500</v>
      </c>
      <c r="AB54" s="109">
        <f t="shared" si="55"/>
        <v>55424.66</v>
      </c>
      <c r="AC54" t="s">
        <v>230</v>
      </c>
      <c r="AD54" s="136">
        <f t="shared" si="56"/>
        <v>6.1071717423259075</v>
      </c>
      <c r="AE54" t="s">
        <v>228</v>
      </c>
      <c r="AF54" s="125"/>
      <c r="AG54" s="125"/>
      <c r="AH54" s="125"/>
      <c r="AI54" s="129"/>
    </row>
    <row r="55" spans="1:35" x14ac:dyDescent="0.25">
      <c r="A55" t="s">
        <v>355</v>
      </c>
      <c r="B55" t="s">
        <v>351</v>
      </c>
      <c r="C55" s="189">
        <f t="shared" si="61"/>
        <v>750</v>
      </c>
      <c r="D55" s="175">
        <f t="shared" si="61"/>
        <v>10657.45</v>
      </c>
      <c r="E55" s="60"/>
      <c r="F55" s="55"/>
      <c r="G55" s="34"/>
      <c r="H55" s="38"/>
      <c r="I55" s="55"/>
      <c r="J55" s="34"/>
      <c r="K55" s="38"/>
      <c r="L55" s="5">
        <v>-750</v>
      </c>
      <c r="M55" s="34">
        <v>-10657.45</v>
      </c>
      <c r="O55" s="76"/>
      <c r="P55" s="34"/>
      <c r="R55" s="5"/>
      <c r="S55" s="34"/>
      <c r="U55" s="190">
        <f t="shared" si="52"/>
        <v>0</v>
      </c>
      <c r="V55" s="191">
        <f t="shared" si="53"/>
        <v>0</v>
      </c>
      <c r="W55" s="192"/>
      <c r="X55" s="193">
        <f t="shared" si="54"/>
        <v>0</v>
      </c>
      <c r="Y55" s="194"/>
      <c r="Z55" s="195">
        <f t="shared" si="58"/>
        <v>0</v>
      </c>
      <c r="AA55" s="196">
        <f t="shared" si="51"/>
        <v>0</v>
      </c>
      <c r="AB55" s="195">
        <f t="shared" si="55"/>
        <v>0</v>
      </c>
      <c r="AC55" t="s">
        <v>355</v>
      </c>
      <c r="AD55" s="136"/>
      <c r="AE55" t="s">
        <v>351</v>
      </c>
      <c r="AF55" s="125"/>
      <c r="AG55" s="125"/>
      <c r="AH55" s="125"/>
      <c r="AI55" s="129"/>
    </row>
    <row r="56" spans="1:35" x14ac:dyDescent="0.25">
      <c r="A56" t="s">
        <v>369</v>
      </c>
      <c r="B56" t="s">
        <v>370</v>
      </c>
      <c r="C56" s="189">
        <f t="shared" si="61"/>
        <v>175</v>
      </c>
      <c r="D56" s="175">
        <f t="shared" si="61"/>
        <v>701.75</v>
      </c>
      <c r="E56" s="60"/>
      <c r="F56" s="55"/>
      <c r="G56" s="34"/>
      <c r="H56" s="38"/>
      <c r="I56" s="55"/>
      <c r="J56" s="34"/>
      <c r="K56" s="38"/>
      <c r="L56" s="5">
        <v>-175</v>
      </c>
      <c r="M56" s="34">
        <v>-701.75</v>
      </c>
      <c r="O56" s="76"/>
      <c r="P56" s="34"/>
      <c r="R56" s="5"/>
      <c r="S56" s="34"/>
      <c r="U56" s="190">
        <f t="shared" si="52"/>
        <v>0</v>
      </c>
      <c r="V56" s="191">
        <f t="shared" si="53"/>
        <v>0</v>
      </c>
      <c r="W56" s="192"/>
      <c r="X56" s="193">
        <f t="shared" si="54"/>
        <v>0</v>
      </c>
      <c r="Y56" s="194"/>
      <c r="Z56" s="195">
        <f t="shared" si="58"/>
        <v>0</v>
      </c>
      <c r="AA56" s="196">
        <f t="shared" si="51"/>
        <v>0</v>
      </c>
      <c r="AB56" s="195">
        <f t="shared" si="55"/>
        <v>0</v>
      </c>
      <c r="AC56" t="s">
        <v>369</v>
      </c>
      <c r="AD56" s="136"/>
      <c r="AE56" t="s">
        <v>370</v>
      </c>
      <c r="AF56" s="125"/>
      <c r="AG56" s="125"/>
      <c r="AH56" s="125"/>
      <c r="AI56" s="129"/>
    </row>
    <row r="57" spans="1:35" x14ac:dyDescent="0.25">
      <c r="A57" t="s">
        <v>20</v>
      </c>
      <c r="B57" t="s">
        <v>46</v>
      </c>
      <c r="C57" s="189">
        <v>723</v>
      </c>
      <c r="D57" s="175">
        <v>1582.55</v>
      </c>
      <c r="E57" s="60"/>
      <c r="F57" s="55"/>
      <c r="G57" s="34"/>
      <c r="H57" s="38"/>
      <c r="I57" s="55"/>
      <c r="J57" s="34"/>
      <c r="K57" s="38"/>
      <c r="L57" s="5">
        <v>-723</v>
      </c>
      <c r="M57" s="34">
        <v>-1582.55</v>
      </c>
      <c r="O57" s="76"/>
      <c r="P57" s="34"/>
      <c r="R57" s="5"/>
      <c r="S57" s="34"/>
      <c r="U57" s="190">
        <f t="shared" si="52"/>
        <v>0</v>
      </c>
      <c r="V57" s="191"/>
      <c r="W57" s="192"/>
      <c r="X57" s="193">
        <f t="shared" si="54"/>
        <v>0</v>
      </c>
      <c r="Y57" s="194"/>
      <c r="Z57" s="195">
        <f t="shared" si="58"/>
        <v>0</v>
      </c>
      <c r="AA57" s="196">
        <f t="shared" si="51"/>
        <v>0</v>
      </c>
      <c r="AB57" s="195">
        <f t="shared" si="55"/>
        <v>0</v>
      </c>
      <c r="AC57" t="s">
        <v>20</v>
      </c>
      <c r="AD57" s="136"/>
      <c r="AE57" t="s">
        <v>46</v>
      </c>
      <c r="AF57" s="125"/>
      <c r="AG57" s="125"/>
      <c r="AH57" s="125"/>
      <c r="AI57" s="129"/>
    </row>
    <row r="58" spans="1:35" x14ac:dyDescent="0.25">
      <c r="B58" t="s">
        <v>461</v>
      </c>
      <c r="C58" s="189"/>
      <c r="D58" s="175"/>
      <c r="E58" s="60"/>
      <c r="F58" s="55"/>
      <c r="G58" s="34"/>
      <c r="H58" s="38"/>
      <c r="I58" s="55"/>
      <c r="J58" s="34"/>
      <c r="K58" s="38"/>
      <c r="L58" s="5">
        <v>4500</v>
      </c>
      <c r="M58" s="34">
        <v>26807.13</v>
      </c>
      <c r="O58" s="76"/>
      <c r="P58" s="34"/>
      <c r="R58" s="5"/>
      <c r="S58" s="34"/>
      <c r="U58" s="55">
        <f t="shared" ref="U58" si="62">+C58+F58+I58+L58+O58+R58</f>
        <v>4500</v>
      </c>
      <c r="V58" s="128">
        <f t="shared" ref="V58" si="63">+D58+G58+J58+M58+P58+S58</f>
        <v>26807.13</v>
      </c>
      <c r="W58" s="167">
        <f t="shared" ref="W58" si="64">V58/U58</f>
        <v>5.9571399999999999</v>
      </c>
      <c r="X58" s="36">
        <f t="shared" ref="X58" si="65">U58</f>
        <v>4500</v>
      </c>
      <c r="Y58" s="82">
        <v>6.15</v>
      </c>
      <c r="Z58" s="5">
        <f>X58*Y58</f>
        <v>27675</v>
      </c>
      <c r="AA58" s="181">
        <f t="shared" ref="AA58" si="66">Z58</f>
        <v>27675</v>
      </c>
      <c r="AB58" s="109">
        <f t="shared" ref="AB58" si="67">AA58-V58</f>
        <v>867.86999999999898</v>
      </c>
      <c r="AC58" t="s">
        <v>461</v>
      </c>
      <c r="AD58" s="136">
        <f t="shared" ref="AD58" si="68">AB58/V58</f>
        <v>3.2374595863115481E-2</v>
      </c>
      <c r="AE58" t="s">
        <v>461</v>
      </c>
      <c r="AF58" s="125"/>
      <c r="AG58" s="125"/>
      <c r="AH58" s="125"/>
      <c r="AI58" s="129"/>
    </row>
    <row r="59" spans="1:35" x14ac:dyDescent="0.25">
      <c r="A59" t="s">
        <v>23</v>
      </c>
      <c r="B59" t="s">
        <v>48</v>
      </c>
      <c r="C59" s="189">
        <v>4693</v>
      </c>
      <c r="D59" s="175">
        <v>22855.77</v>
      </c>
      <c r="E59" s="60"/>
      <c r="F59" s="55"/>
      <c r="G59" s="34"/>
      <c r="H59" s="38"/>
      <c r="I59" s="55"/>
      <c r="J59" s="34"/>
      <c r="K59" s="38"/>
      <c r="L59" s="5">
        <v>-4693</v>
      </c>
      <c r="M59" s="34">
        <v>-22855.73</v>
      </c>
      <c r="O59" s="76"/>
      <c r="P59" s="34"/>
      <c r="R59" s="5"/>
      <c r="S59" s="34"/>
      <c r="U59" s="190">
        <f t="shared" si="52"/>
        <v>0</v>
      </c>
      <c r="V59" s="191"/>
      <c r="W59" s="192"/>
      <c r="X59" s="193">
        <f t="shared" si="54"/>
        <v>0</v>
      </c>
      <c r="Y59" s="194"/>
      <c r="Z59" s="195">
        <f t="shared" si="58"/>
        <v>0</v>
      </c>
      <c r="AA59" s="196">
        <f t="shared" si="51"/>
        <v>0</v>
      </c>
      <c r="AB59" s="195">
        <f t="shared" si="55"/>
        <v>0</v>
      </c>
      <c r="AC59" t="s">
        <v>23</v>
      </c>
      <c r="AD59" s="136"/>
      <c r="AE59" t="s">
        <v>48</v>
      </c>
      <c r="AF59" s="125"/>
      <c r="AG59" s="125"/>
      <c r="AH59" s="125"/>
      <c r="AI59" s="129"/>
    </row>
    <row r="60" spans="1:35" x14ac:dyDescent="0.25">
      <c r="A60" t="s">
        <v>447</v>
      </c>
      <c r="C60" s="189"/>
      <c r="D60" s="175"/>
      <c r="E60" s="60"/>
      <c r="F60" s="55"/>
      <c r="G60" s="34"/>
      <c r="H60" s="38"/>
      <c r="I60" s="55"/>
      <c r="J60" s="34"/>
      <c r="K60" s="38"/>
      <c r="L60" s="5">
        <v>400</v>
      </c>
      <c r="M60" s="34">
        <v>42759.25</v>
      </c>
      <c r="O60" s="76"/>
      <c r="P60" s="34"/>
      <c r="R60" s="5"/>
      <c r="S60" s="34"/>
      <c r="U60" s="55">
        <f t="shared" ref="U60:U61" si="69">+C60+F60+I60+L60+O60+R60</f>
        <v>400</v>
      </c>
      <c r="V60" s="128">
        <f t="shared" ref="V60:V61" si="70">+D60+G60+J60+M60+P60+S60</f>
        <v>42759.25</v>
      </c>
      <c r="W60" s="167">
        <f t="shared" si="57"/>
        <v>106.89812499999999</v>
      </c>
      <c r="X60" s="36">
        <f t="shared" si="54"/>
        <v>400</v>
      </c>
      <c r="Y60" s="86">
        <v>114.52</v>
      </c>
      <c r="Z60" s="5">
        <f>X60*Y60</f>
        <v>45808</v>
      </c>
      <c r="AA60" s="181">
        <f t="shared" si="51"/>
        <v>45808</v>
      </c>
      <c r="AB60" s="109">
        <f t="shared" si="55"/>
        <v>3048.75</v>
      </c>
      <c r="AD60" s="136">
        <f t="shared" si="56"/>
        <v>7.1300361909996085E-2</v>
      </c>
      <c r="AE60" t="s">
        <v>447</v>
      </c>
      <c r="AF60" s="125"/>
      <c r="AG60" s="125"/>
      <c r="AH60" s="125"/>
      <c r="AI60" s="129"/>
    </row>
    <row r="61" spans="1:35" x14ac:dyDescent="0.25">
      <c r="A61" t="s">
        <v>449</v>
      </c>
      <c r="C61" s="189"/>
      <c r="D61" s="175"/>
      <c r="E61" s="60"/>
      <c r="F61" s="55"/>
      <c r="G61" s="34"/>
      <c r="H61" s="38"/>
      <c r="I61" s="55"/>
      <c r="J61" s="34"/>
      <c r="K61" s="38"/>
      <c r="L61" s="5">
        <v>35714</v>
      </c>
      <c r="M61" s="34">
        <v>20728.5</v>
      </c>
      <c r="O61" s="76"/>
      <c r="P61" s="34"/>
      <c r="R61" s="5"/>
      <c r="S61" s="34"/>
      <c r="U61" s="55">
        <f t="shared" si="69"/>
        <v>35714</v>
      </c>
      <c r="V61" s="128">
        <f t="shared" si="70"/>
        <v>20728.5</v>
      </c>
      <c r="W61" s="167">
        <f t="shared" si="57"/>
        <v>0.58040264322114576</v>
      </c>
      <c r="X61" s="36">
        <f t="shared" si="54"/>
        <v>35714</v>
      </c>
      <c r="Y61" s="86">
        <v>0.47499999999999998</v>
      </c>
      <c r="Z61" s="5">
        <f>X61*Y61</f>
        <v>16964.149999999998</v>
      </c>
      <c r="AA61" s="181">
        <f t="shared" si="51"/>
        <v>16964.149999999998</v>
      </c>
      <c r="AB61" s="109">
        <f t="shared" si="55"/>
        <v>-3764.3500000000022</v>
      </c>
      <c r="AD61" s="136">
        <f t="shared" si="56"/>
        <v>-0.18160262440601116</v>
      </c>
      <c r="AE61" t="s">
        <v>449</v>
      </c>
      <c r="AF61" s="125"/>
      <c r="AG61" s="125"/>
      <c r="AH61" s="125"/>
      <c r="AI61" s="129"/>
    </row>
    <row r="62" spans="1:35" x14ac:dyDescent="0.25">
      <c r="A62" t="s">
        <v>391</v>
      </c>
      <c r="B62" t="s">
        <v>391</v>
      </c>
      <c r="C62" s="189">
        <f t="shared" ref="C62:C73" si="71">U102</f>
        <v>11500</v>
      </c>
      <c r="D62" s="175">
        <f t="shared" ref="D62:D73" si="72">V102</f>
        <v>21419.95</v>
      </c>
      <c r="E62" s="60"/>
      <c r="F62" s="55"/>
      <c r="G62" s="34"/>
      <c r="H62" s="38"/>
      <c r="I62" s="55"/>
      <c r="J62" s="34"/>
      <c r="K62" s="38"/>
      <c r="L62" s="5"/>
      <c r="M62" s="34"/>
      <c r="O62" s="76"/>
      <c r="P62" s="34"/>
      <c r="R62" s="5"/>
      <c r="S62" s="34"/>
      <c r="U62" s="55">
        <f t="shared" si="52"/>
        <v>11500</v>
      </c>
      <c r="V62" s="128">
        <f t="shared" si="53"/>
        <v>21419.95</v>
      </c>
      <c r="W62" s="167">
        <f t="shared" si="57"/>
        <v>1.862604347826087</v>
      </c>
      <c r="X62" s="36">
        <f t="shared" si="54"/>
        <v>11500</v>
      </c>
      <c r="Y62" s="86">
        <v>2.9</v>
      </c>
      <c r="Z62" s="5">
        <f>X62*Y62</f>
        <v>33350</v>
      </c>
      <c r="AA62" s="181">
        <f t="shared" si="51"/>
        <v>33350</v>
      </c>
      <c r="AB62" s="109">
        <f t="shared" si="55"/>
        <v>11930.05</v>
      </c>
      <c r="AC62" t="s">
        <v>391</v>
      </c>
      <c r="AD62" s="136">
        <f t="shared" si="56"/>
        <v>0.55695975013947274</v>
      </c>
      <c r="AE62" t="s">
        <v>391</v>
      </c>
      <c r="AF62" s="125"/>
      <c r="AG62" s="125"/>
      <c r="AH62" s="125"/>
      <c r="AI62" s="129"/>
    </row>
    <row r="63" spans="1:35" x14ac:dyDescent="0.25">
      <c r="A63" t="s">
        <v>371</v>
      </c>
      <c r="B63" t="s">
        <v>372</v>
      </c>
      <c r="C63" s="189">
        <f t="shared" si="71"/>
        <v>1000</v>
      </c>
      <c r="D63" s="175">
        <f t="shared" si="72"/>
        <v>24959.9</v>
      </c>
      <c r="E63" s="60"/>
      <c r="F63" s="55"/>
      <c r="G63" s="34"/>
      <c r="H63" s="38"/>
      <c r="I63" s="55"/>
      <c r="J63" s="34"/>
      <c r="K63" s="38"/>
      <c r="L63" s="5"/>
      <c r="M63" s="34"/>
      <c r="O63" s="76"/>
      <c r="P63" s="34"/>
      <c r="R63" s="5"/>
      <c r="S63" s="34"/>
      <c r="U63" s="55">
        <f t="shared" si="52"/>
        <v>1000</v>
      </c>
      <c r="V63" s="128">
        <f t="shared" si="53"/>
        <v>24959.9</v>
      </c>
      <c r="W63" s="167">
        <f t="shared" si="57"/>
        <v>24.959900000000001</v>
      </c>
      <c r="X63" s="36">
        <f t="shared" si="54"/>
        <v>1000</v>
      </c>
      <c r="Y63" s="86">
        <v>51</v>
      </c>
      <c r="Z63" s="5">
        <f t="shared" ref="Z63:Z73" si="73">X63*Y63</f>
        <v>51000</v>
      </c>
      <c r="AA63" s="181">
        <f t="shared" si="51"/>
        <v>51000</v>
      </c>
      <c r="AB63" s="109">
        <f t="shared" si="55"/>
        <v>26040.1</v>
      </c>
      <c r="AC63" t="s">
        <v>371</v>
      </c>
      <c r="AD63" s="136">
        <f t="shared" si="56"/>
        <v>1.0432774169768306</v>
      </c>
      <c r="AE63" t="s">
        <v>372</v>
      </c>
      <c r="AF63" s="125"/>
      <c r="AG63" s="125"/>
      <c r="AH63" s="125"/>
      <c r="AI63" s="129"/>
    </row>
    <row r="64" spans="1:35" x14ac:dyDescent="0.25">
      <c r="A64" t="s">
        <v>373</v>
      </c>
      <c r="B64" t="s">
        <v>374</v>
      </c>
      <c r="C64" s="189">
        <f t="shared" si="71"/>
        <v>175</v>
      </c>
      <c r="D64" s="175">
        <f t="shared" si="72"/>
        <v>11277.2</v>
      </c>
      <c r="E64" s="60"/>
      <c r="F64" s="55"/>
      <c r="G64" s="34"/>
      <c r="H64" s="38"/>
      <c r="I64" s="55"/>
      <c r="J64" s="34"/>
      <c r="K64" s="38"/>
      <c r="L64" s="5">
        <f>250-175</f>
        <v>75</v>
      </c>
      <c r="M64" s="34">
        <v>9245.9699999999993</v>
      </c>
      <c r="O64" s="76"/>
      <c r="P64" s="34"/>
      <c r="R64" s="5"/>
      <c r="S64" s="34"/>
      <c r="U64" s="55">
        <f t="shared" si="52"/>
        <v>250</v>
      </c>
      <c r="V64" s="128">
        <f t="shared" si="53"/>
        <v>20523.169999999998</v>
      </c>
      <c r="W64" s="167">
        <f t="shared" si="57"/>
        <v>82.092679999999987</v>
      </c>
      <c r="X64" s="36">
        <f t="shared" si="54"/>
        <v>250</v>
      </c>
      <c r="Y64" s="86">
        <v>125.39</v>
      </c>
      <c r="Z64" s="5">
        <f t="shared" si="73"/>
        <v>31347.5</v>
      </c>
      <c r="AA64" s="181">
        <f t="shared" si="51"/>
        <v>31347.5</v>
      </c>
      <c r="AB64" s="109">
        <f t="shared" si="55"/>
        <v>10824.330000000002</v>
      </c>
      <c r="AC64" t="s">
        <v>373</v>
      </c>
      <c r="AD64" s="136">
        <f t="shared" si="56"/>
        <v>0.52741998433965132</v>
      </c>
      <c r="AE64" t="s">
        <v>374</v>
      </c>
      <c r="AF64" s="125"/>
      <c r="AG64" s="125"/>
      <c r="AH64" s="125"/>
      <c r="AI64" s="129"/>
    </row>
    <row r="65" spans="1:35" x14ac:dyDescent="0.25">
      <c r="A65" t="s">
        <v>353</v>
      </c>
      <c r="B65" t="s">
        <v>354</v>
      </c>
      <c r="C65" s="189">
        <f t="shared" si="71"/>
        <v>1500</v>
      </c>
      <c r="D65" s="175">
        <f t="shared" si="72"/>
        <v>9739.36</v>
      </c>
      <c r="E65" s="60"/>
      <c r="F65" s="55"/>
      <c r="G65" s="34"/>
      <c r="H65" s="38"/>
      <c r="I65" s="55"/>
      <c r="J65" s="34"/>
      <c r="K65" s="38"/>
      <c r="L65" s="5"/>
      <c r="M65" s="34"/>
      <c r="O65" s="76"/>
      <c r="P65" s="34"/>
      <c r="R65" s="5"/>
      <c r="S65" s="34"/>
      <c r="U65" s="55">
        <f t="shared" si="52"/>
        <v>1500</v>
      </c>
      <c r="V65" s="128">
        <f t="shared" si="53"/>
        <v>9739.36</v>
      </c>
      <c r="W65" s="167">
        <f t="shared" si="57"/>
        <v>6.4929066666666673</v>
      </c>
      <c r="X65" s="36">
        <f t="shared" si="54"/>
        <v>1500</v>
      </c>
      <c r="Y65" s="86">
        <v>4.8499999999999996</v>
      </c>
      <c r="Z65" s="5">
        <f t="shared" si="73"/>
        <v>7274.9999999999991</v>
      </c>
      <c r="AA65" s="181">
        <f t="shared" si="51"/>
        <v>7274.9999999999991</v>
      </c>
      <c r="AB65" s="109">
        <f t="shared" si="55"/>
        <v>-2464.3600000000015</v>
      </c>
      <c r="AC65" t="s">
        <v>353</v>
      </c>
      <c r="AD65" s="136">
        <f t="shared" si="56"/>
        <v>-0.25303099998357198</v>
      </c>
      <c r="AE65" t="s">
        <v>354</v>
      </c>
      <c r="AF65" s="125"/>
      <c r="AG65" s="125"/>
      <c r="AH65" s="125"/>
      <c r="AI65" s="129"/>
    </row>
    <row r="66" spans="1:35" x14ac:dyDescent="0.25">
      <c r="A66" t="s">
        <v>356</v>
      </c>
      <c r="B66" t="s">
        <v>350</v>
      </c>
      <c r="C66" s="189">
        <f t="shared" si="71"/>
        <v>7760</v>
      </c>
      <c r="D66" s="175">
        <f t="shared" si="72"/>
        <v>16082.5</v>
      </c>
      <c r="E66" s="60"/>
      <c r="F66" s="55"/>
      <c r="G66" s="34"/>
      <c r="H66" s="38"/>
      <c r="I66" s="55"/>
      <c r="J66" s="34"/>
      <c r="K66" s="38"/>
      <c r="L66" s="5"/>
      <c r="M66" s="34"/>
      <c r="O66" s="76"/>
      <c r="P66" s="34"/>
      <c r="R66" s="5"/>
      <c r="S66" s="34"/>
      <c r="U66" s="55">
        <f t="shared" si="52"/>
        <v>7760</v>
      </c>
      <c r="V66" s="128">
        <f t="shared" si="53"/>
        <v>16082.5</v>
      </c>
      <c r="W66" s="167">
        <f t="shared" si="57"/>
        <v>2.0724871134020617</v>
      </c>
      <c r="X66" s="36">
        <f t="shared" si="54"/>
        <v>7760</v>
      </c>
      <c r="Y66" s="86">
        <v>3.49</v>
      </c>
      <c r="Z66" s="5">
        <f t="shared" si="73"/>
        <v>27082.400000000001</v>
      </c>
      <c r="AA66" s="181">
        <f t="shared" si="51"/>
        <v>27082.400000000001</v>
      </c>
      <c r="AB66" s="109">
        <f t="shared" si="55"/>
        <v>10999.900000000001</v>
      </c>
      <c r="AC66" t="s">
        <v>356</v>
      </c>
      <c r="AD66" s="136">
        <f t="shared" si="56"/>
        <v>0.68396704492460758</v>
      </c>
      <c r="AE66" t="s">
        <v>350</v>
      </c>
      <c r="AF66" s="125"/>
      <c r="AG66" s="125"/>
      <c r="AH66" s="125"/>
      <c r="AI66" s="129"/>
    </row>
    <row r="67" spans="1:35" x14ac:dyDescent="0.25">
      <c r="A67" t="s">
        <v>25</v>
      </c>
      <c r="B67" t="s">
        <v>75</v>
      </c>
      <c r="C67" s="189">
        <v>700</v>
      </c>
      <c r="D67" s="175">
        <v>17325.7</v>
      </c>
      <c r="E67" s="60"/>
      <c r="F67" s="55"/>
      <c r="G67" s="34"/>
      <c r="H67" s="38"/>
      <c r="I67" s="55"/>
      <c r="J67" s="34"/>
      <c r="K67" s="38"/>
      <c r="L67" s="5"/>
      <c r="M67" s="34"/>
      <c r="O67" s="76"/>
      <c r="P67" s="34"/>
      <c r="R67" s="5"/>
      <c r="S67" s="34"/>
      <c r="U67" s="55">
        <f t="shared" si="52"/>
        <v>700</v>
      </c>
      <c r="V67" s="128">
        <f t="shared" si="53"/>
        <v>17325.7</v>
      </c>
      <c r="W67" s="167">
        <f t="shared" si="57"/>
        <v>24.751000000000001</v>
      </c>
      <c r="X67" s="36">
        <f t="shared" si="54"/>
        <v>700</v>
      </c>
      <c r="Y67" s="86">
        <v>26.72</v>
      </c>
      <c r="Z67" s="5">
        <f t="shared" si="73"/>
        <v>18704</v>
      </c>
      <c r="AA67" s="181">
        <f t="shared" si="51"/>
        <v>18704</v>
      </c>
      <c r="AB67" s="109">
        <f t="shared" si="55"/>
        <v>1378.2999999999993</v>
      </c>
      <c r="AC67" t="s">
        <v>25</v>
      </c>
      <c r="AD67" s="136">
        <f t="shared" si="56"/>
        <v>7.9552341319542599E-2</v>
      </c>
      <c r="AE67" t="s">
        <v>75</v>
      </c>
      <c r="AF67" s="125"/>
      <c r="AG67" s="125"/>
      <c r="AH67" s="125"/>
      <c r="AI67" s="129"/>
    </row>
    <row r="68" spans="1:35" x14ac:dyDescent="0.25">
      <c r="A68" t="s">
        <v>26</v>
      </c>
      <c r="B68" t="s">
        <v>50</v>
      </c>
      <c r="C68" s="189">
        <v>690</v>
      </c>
      <c r="D68" s="175">
        <v>13910.57</v>
      </c>
      <c r="E68" s="60"/>
      <c r="F68" s="55"/>
      <c r="G68" s="34"/>
      <c r="H68" s="38"/>
      <c r="I68" s="55"/>
      <c r="J68" s="34"/>
      <c r="K68" s="38"/>
      <c r="L68" s="5">
        <v>-690</v>
      </c>
      <c r="M68" s="34">
        <v>-13910.57</v>
      </c>
      <c r="O68" s="76"/>
      <c r="P68" s="34"/>
      <c r="R68" s="5"/>
      <c r="S68" s="34"/>
      <c r="U68" s="190">
        <f t="shared" si="52"/>
        <v>0</v>
      </c>
      <c r="V68" s="191">
        <f t="shared" si="53"/>
        <v>0</v>
      </c>
      <c r="W68" s="192"/>
      <c r="X68" s="193">
        <f t="shared" si="54"/>
        <v>0</v>
      </c>
      <c r="Y68" s="194"/>
      <c r="Z68" s="195">
        <f t="shared" si="73"/>
        <v>0</v>
      </c>
      <c r="AA68" s="196">
        <f t="shared" si="51"/>
        <v>0</v>
      </c>
      <c r="AB68" s="195">
        <f t="shared" si="55"/>
        <v>0</v>
      </c>
      <c r="AC68" t="s">
        <v>26</v>
      </c>
      <c r="AD68" s="136"/>
      <c r="AE68" t="s">
        <v>50</v>
      </c>
      <c r="AF68" s="125"/>
      <c r="AG68" s="125"/>
      <c r="AH68" s="125"/>
      <c r="AI68" s="129"/>
    </row>
    <row r="69" spans="1:35" x14ac:dyDescent="0.25">
      <c r="A69" t="s">
        <v>232</v>
      </c>
      <c r="B69" t="s">
        <v>232</v>
      </c>
      <c r="C69" s="189">
        <f t="shared" si="71"/>
        <v>894</v>
      </c>
      <c r="D69" s="175">
        <f t="shared" si="72"/>
        <v>11587.87</v>
      </c>
      <c r="E69" s="60"/>
      <c r="F69" s="55">
        <v>18</v>
      </c>
      <c r="G69" s="34">
        <v>196.68</v>
      </c>
      <c r="H69" s="38"/>
      <c r="I69" s="55">
        <v>21</v>
      </c>
      <c r="J69" s="34">
        <v>260.61</v>
      </c>
      <c r="K69" s="38"/>
      <c r="L69" s="5"/>
      <c r="M69" s="34"/>
      <c r="O69" s="76"/>
      <c r="P69" s="34"/>
      <c r="R69" s="5"/>
      <c r="S69" s="34"/>
      <c r="U69" s="55">
        <f t="shared" si="52"/>
        <v>933</v>
      </c>
      <c r="V69" s="128">
        <f t="shared" si="53"/>
        <v>12045.160000000002</v>
      </c>
      <c r="W69" s="167">
        <f t="shared" si="57"/>
        <v>12.910139335476957</v>
      </c>
      <c r="X69" s="36">
        <f t="shared" si="54"/>
        <v>933</v>
      </c>
      <c r="Y69" s="86">
        <v>11.83</v>
      </c>
      <c r="Z69" s="5">
        <f t="shared" si="73"/>
        <v>11037.39</v>
      </c>
      <c r="AA69" s="181">
        <f t="shared" si="51"/>
        <v>11037.39</v>
      </c>
      <c r="AB69" s="109">
        <f t="shared" si="55"/>
        <v>-1007.7700000000023</v>
      </c>
      <c r="AC69" t="s">
        <v>232</v>
      </c>
      <c r="AD69" s="136">
        <f t="shared" si="56"/>
        <v>-8.3665970398068779E-2</v>
      </c>
      <c r="AE69" t="s">
        <v>232</v>
      </c>
      <c r="AF69" s="125"/>
      <c r="AG69" s="125"/>
      <c r="AH69" s="125"/>
      <c r="AI69" s="129"/>
    </row>
    <row r="70" spans="1:35" x14ac:dyDescent="0.25">
      <c r="A70" t="s">
        <v>316</v>
      </c>
      <c r="B70" t="s">
        <v>326</v>
      </c>
      <c r="C70" s="189">
        <f t="shared" si="71"/>
        <v>2000</v>
      </c>
      <c r="D70" s="175">
        <f t="shared" si="72"/>
        <v>10589.95</v>
      </c>
      <c r="E70" s="60"/>
      <c r="F70" s="55"/>
      <c r="G70" s="34"/>
      <c r="H70" s="38"/>
      <c r="I70" s="55"/>
      <c r="J70" s="34"/>
      <c r="K70" s="38"/>
      <c r="L70" s="5"/>
      <c r="M70" s="34"/>
      <c r="O70" s="76"/>
      <c r="P70" s="34"/>
      <c r="R70" s="5"/>
      <c r="S70" s="34"/>
      <c r="U70" s="55">
        <f t="shared" si="52"/>
        <v>2000</v>
      </c>
      <c r="V70" s="128">
        <f t="shared" si="53"/>
        <v>10589.95</v>
      </c>
      <c r="W70" s="167">
        <f t="shared" si="57"/>
        <v>5.294975</v>
      </c>
      <c r="X70" s="36">
        <f t="shared" si="54"/>
        <v>2000</v>
      </c>
      <c r="Y70" s="86">
        <v>17.170000000000002</v>
      </c>
      <c r="Z70" s="5">
        <f t="shared" si="73"/>
        <v>34340</v>
      </c>
      <c r="AA70" s="181">
        <f t="shared" si="51"/>
        <v>34340</v>
      </c>
      <c r="AB70" s="109">
        <f t="shared" si="55"/>
        <v>23750.05</v>
      </c>
      <c r="AC70" t="s">
        <v>316</v>
      </c>
      <c r="AD70" s="136">
        <f t="shared" si="56"/>
        <v>2.2426970854442181</v>
      </c>
      <c r="AE70" t="s">
        <v>326</v>
      </c>
      <c r="AF70" s="125"/>
      <c r="AG70" s="125"/>
      <c r="AH70" s="125"/>
      <c r="AI70" s="129"/>
    </row>
    <row r="71" spans="1:35" x14ac:dyDescent="0.25">
      <c r="A71" t="s">
        <v>27</v>
      </c>
      <c r="B71" t="s">
        <v>51</v>
      </c>
      <c r="C71" s="189">
        <v>1554</v>
      </c>
      <c r="D71" s="175">
        <v>70028.820000000007</v>
      </c>
      <c r="E71" s="60"/>
      <c r="F71" s="55"/>
      <c r="G71" s="34"/>
      <c r="H71" s="38"/>
      <c r="I71" s="55"/>
      <c r="J71" s="34"/>
      <c r="K71" s="38"/>
      <c r="L71" s="5"/>
      <c r="M71" s="34"/>
      <c r="O71" s="76"/>
      <c r="P71" s="34"/>
      <c r="R71" s="5"/>
      <c r="S71" s="34"/>
      <c r="U71" s="55">
        <f t="shared" si="52"/>
        <v>1554</v>
      </c>
      <c r="V71" s="128">
        <f t="shared" si="53"/>
        <v>70028.820000000007</v>
      </c>
      <c r="W71" s="167">
        <f t="shared" si="57"/>
        <v>45.063590733590736</v>
      </c>
      <c r="X71" s="36">
        <f t="shared" si="54"/>
        <v>1554</v>
      </c>
      <c r="Y71" s="86">
        <v>103.76</v>
      </c>
      <c r="Z71" s="5">
        <f t="shared" si="73"/>
        <v>161243.04</v>
      </c>
      <c r="AA71" s="181">
        <f t="shared" si="51"/>
        <v>161243.04</v>
      </c>
      <c r="AB71" s="109">
        <f t="shared" si="55"/>
        <v>91214.22</v>
      </c>
      <c r="AC71" t="s">
        <v>27</v>
      </c>
      <c r="AD71" s="136">
        <f t="shared" si="56"/>
        <v>1.302524017968602</v>
      </c>
      <c r="AE71" t="s">
        <v>51</v>
      </c>
      <c r="AF71" s="125"/>
      <c r="AG71" s="125"/>
      <c r="AH71" s="125"/>
      <c r="AI71" s="129"/>
    </row>
    <row r="72" spans="1:35" x14ac:dyDescent="0.25">
      <c r="A72" t="s">
        <v>419</v>
      </c>
      <c r="B72" t="s">
        <v>419</v>
      </c>
      <c r="C72" s="189">
        <f t="shared" si="71"/>
        <v>12500</v>
      </c>
      <c r="D72" s="175">
        <f t="shared" si="72"/>
        <v>49809.7</v>
      </c>
      <c r="E72" s="60"/>
      <c r="F72" s="55"/>
      <c r="G72" s="34"/>
      <c r="H72" s="38"/>
      <c r="I72" s="55"/>
      <c r="J72" s="34"/>
      <c r="K72" s="38"/>
      <c r="L72" s="5"/>
      <c r="M72" s="34"/>
      <c r="O72" s="76">
        <v>6314</v>
      </c>
      <c r="P72" s="34">
        <v>26203.1</v>
      </c>
      <c r="R72" s="5"/>
      <c r="S72" s="34"/>
      <c r="U72" s="55">
        <f t="shared" si="52"/>
        <v>18814</v>
      </c>
      <c r="V72" s="128">
        <f t="shared" si="53"/>
        <v>76012.799999999988</v>
      </c>
      <c r="W72" s="167">
        <f t="shared" si="57"/>
        <v>4.0402253640905705</v>
      </c>
      <c r="X72" s="36">
        <f t="shared" si="54"/>
        <v>18814</v>
      </c>
      <c r="Y72" s="86">
        <v>3.52</v>
      </c>
      <c r="Z72" s="5">
        <f t="shared" si="73"/>
        <v>66225.279999999999</v>
      </c>
      <c r="AA72" s="181">
        <f t="shared" si="51"/>
        <v>66225.279999999999</v>
      </c>
      <c r="AB72" s="109">
        <f t="shared" si="55"/>
        <v>-9787.5199999999895</v>
      </c>
      <c r="AC72" t="s">
        <v>419</v>
      </c>
      <c r="AD72" s="136">
        <f t="shared" si="56"/>
        <v>-0.12876147175212585</v>
      </c>
      <c r="AE72" t="s">
        <v>419</v>
      </c>
      <c r="AF72" s="125"/>
      <c r="AG72" s="125"/>
      <c r="AH72" s="125"/>
      <c r="AI72" s="129"/>
    </row>
    <row r="73" spans="1:35" x14ac:dyDescent="0.25">
      <c r="A73" t="s">
        <v>426</v>
      </c>
      <c r="B73" t="s">
        <v>427</v>
      </c>
      <c r="C73" s="189">
        <f t="shared" si="71"/>
        <v>6314</v>
      </c>
      <c r="D73" s="175">
        <f t="shared" si="72"/>
        <v>26203.1</v>
      </c>
      <c r="E73" s="60"/>
      <c r="F73" s="55"/>
      <c r="G73" s="34"/>
      <c r="H73" s="38"/>
      <c r="I73" s="55"/>
      <c r="J73" s="34"/>
      <c r="K73" s="38"/>
      <c r="L73" s="5"/>
      <c r="M73" s="34"/>
      <c r="O73" s="76">
        <v>-6314</v>
      </c>
      <c r="P73" s="34">
        <v>-26203.1</v>
      </c>
      <c r="R73" s="5"/>
      <c r="S73" s="34"/>
      <c r="U73" s="190">
        <f t="shared" si="52"/>
        <v>0</v>
      </c>
      <c r="V73" s="191">
        <f t="shared" si="53"/>
        <v>0</v>
      </c>
      <c r="W73" s="192"/>
      <c r="X73" s="193">
        <f>U73</f>
        <v>0</v>
      </c>
      <c r="Y73" s="194"/>
      <c r="Z73" s="195">
        <f t="shared" si="73"/>
        <v>0</v>
      </c>
      <c r="AA73" s="196">
        <f t="shared" si="51"/>
        <v>0</v>
      </c>
      <c r="AB73" s="195">
        <f t="shared" si="55"/>
        <v>0</v>
      </c>
      <c r="AC73" t="s">
        <v>426</v>
      </c>
      <c r="AD73" s="136"/>
      <c r="AE73" t="s">
        <v>427</v>
      </c>
      <c r="AF73" s="125"/>
      <c r="AG73" s="125"/>
      <c r="AH73" s="125"/>
      <c r="AI73" s="129"/>
    </row>
    <row r="74" spans="1:35" x14ac:dyDescent="0.25">
      <c r="A74" t="s">
        <v>450</v>
      </c>
      <c r="C74" s="189"/>
      <c r="D74" s="175"/>
      <c r="E74" s="60"/>
      <c r="F74" s="55"/>
      <c r="G74" s="34"/>
      <c r="H74" s="38"/>
      <c r="I74" s="55"/>
      <c r="J74" s="34"/>
      <c r="K74" s="38"/>
      <c r="L74" s="5">
        <v>7250</v>
      </c>
      <c r="M74" s="34">
        <v>20563.52</v>
      </c>
      <c r="O74" s="76"/>
      <c r="P74" s="34"/>
      <c r="R74" s="5"/>
      <c r="S74" s="34"/>
      <c r="U74" s="55">
        <f t="shared" ref="U74" si="74">+C74+F74+I74+L74+O74+R74</f>
        <v>7250</v>
      </c>
      <c r="V74" s="128">
        <f t="shared" ref="V74" si="75">+D74+G74+J74+M74+P74+S74</f>
        <v>20563.52</v>
      </c>
      <c r="W74" s="167"/>
      <c r="X74" s="36">
        <f>U74</f>
        <v>7250</v>
      </c>
      <c r="Y74" s="86">
        <v>3.51</v>
      </c>
      <c r="Z74" s="5">
        <f t="shared" ref="Z74" si="76">X74*Y74</f>
        <v>25447.5</v>
      </c>
      <c r="AA74" s="181">
        <f t="shared" ref="AA74" si="77">Z74</f>
        <v>25447.5</v>
      </c>
      <c r="AB74" s="109">
        <f t="shared" ref="AB74" si="78">AA74-V74</f>
        <v>4883.9799999999996</v>
      </c>
      <c r="AD74" s="136">
        <f t="shared" si="56"/>
        <v>0.23750700269214606</v>
      </c>
      <c r="AE74" t="s">
        <v>450</v>
      </c>
      <c r="AF74" s="125"/>
      <c r="AG74" s="125"/>
      <c r="AH74" s="125"/>
      <c r="AI74" s="129"/>
    </row>
    <row r="75" spans="1:35" x14ac:dyDescent="0.25">
      <c r="A75" t="s">
        <v>394</v>
      </c>
      <c r="B75" t="s">
        <v>431</v>
      </c>
      <c r="C75" s="189">
        <f t="shared" ref="C75:C82" si="79">U114</f>
        <v>500</v>
      </c>
      <c r="D75" s="175">
        <f t="shared" ref="D75:D81" si="80">V114</f>
        <v>10704.95</v>
      </c>
      <c r="E75" s="60"/>
      <c r="F75" s="55"/>
      <c r="G75" s="34"/>
      <c r="H75" s="38"/>
      <c r="I75" s="55"/>
      <c r="J75" s="34"/>
      <c r="K75" s="38"/>
      <c r="L75" s="56">
        <v>-500</v>
      </c>
      <c r="M75" s="34">
        <v>-10704.95</v>
      </c>
      <c r="O75" s="76"/>
      <c r="P75" s="34"/>
      <c r="R75" s="5"/>
      <c r="S75" s="34"/>
      <c r="U75" s="190">
        <f t="shared" si="52"/>
        <v>0</v>
      </c>
      <c r="V75" s="191">
        <f t="shared" si="53"/>
        <v>0</v>
      </c>
      <c r="W75" s="192"/>
      <c r="X75" s="193">
        <f t="shared" ref="X75:X83" si="81">U75</f>
        <v>0</v>
      </c>
      <c r="Y75" s="194"/>
      <c r="Z75" s="195">
        <f>X75*Y75</f>
        <v>0</v>
      </c>
      <c r="AA75" s="196">
        <f t="shared" si="51"/>
        <v>0</v>
      </c>
      <c r="AB75" s="195">
        <f t="shared" si="55"/>
        <v>0</v>
      </c>
      <c r="AC75" t="s">
        <v>394</v>
      </c>
      <c r="AD75" s="136"/>
      <c r="AE75" t="s">
        <v>431</v>
      </c>
      <c r="AF75" s="125"/>
      <c r="AG75" s="125"/>
      <c r="AH75" s="125"/>
      <c r="AI75" s="129"/>
    </row>
    <row r="76" spans="1:35" x14ac:dyDescent="0.25">
      <c r="A76" t="s">
        <v>284</v>
      </c>
      <c r="B76" t="s">
        <v>292</v>
      </c>
      <c r="C76" s="189">
        <f t="shared" si="79"/>
        <v>2296</v>
      </c>
      <c r="D76" s="175">
        <f t="shared" si="80"/>
        <v>6861.55</v>
      </c>
      <c r="E76" s="60"/>
      <c r="F76" s="55"/>
      <c r="G76" s="34"/>
      <c r="H76" s="38"/>
      <c r="I76" s="55"/>
      <c r="J76" s="34"/>
      <c r="K76" s="38"/>
      <c r="L76" s="5"/>
      <c r="M76" s="34"/>
      <c r="O76" s="76"/>
      <c r="P76" s="34"/>
      <c r="R76" s="5"/>
      <c r="S76" s="34"/>
      <c r="U76" s="55">
        <f t="shared" si="52"/>
        <v>2296</v>
      </c>
      <c r="V76" s="128">
        <f t="shared" si="53"/>
        <v>6861.55</v>
      </c>
      <c r="W76" s="167">
        <f t="shared" si="57"/>
        <v>2.9884799651567944</v>
      </c>
      <c r="X76" s="36">
        <f t="shared" si="81"/>
        <v>2296</v>
      </c>
      <c r="Y76" s="86">
        <v>4.45</v>
      </c>
      <c r="Z76" s="5">
        <f t="shared" ref="Z76:Z83" si="82">X76*Y76</f>
        <v>10217.200000000001</v>
      </c>
      <c r="AA76" s="181">
        <f t="shared" si="51"/>
        <v>10217.200000000001</v>
      </c>
      <c r="AB76" s="109">
        <f t="shared" si="55"/>
        <v>3355.6500000000005</v>
      </c>
      <c r="AC76" t="s">
        <v>284</v>
      </c>
      <c r="AD76" s="136">
        <f t="shared" si="56"/>
        <v>0.48905130764914639</v>
      </c>
      <c r="AE76" t="s">
        <v>292</v>
      </c>
      <c r="AF76" s="125"/>
      <c r="AG76" s="125"/>
      <c r="AH76" s="125"/>
      <c r="AI76" s="129"/>
    </row>
    <row r="77" spans="1:35" x14ac:dyDescent="0.25">
      <c r="A77" t="s">
        <v>395</v>
      </c>
      <c r="B77" t="s">
        <v>430</v>
      </c>
      <c r="C77" s="189">
        <f t="shared" si="79"/>
        <v>1082</v>
      </c>
      <c r="D77" s="175">
        <f t="shared" si="80"/>
        <v>11624.75</v>
      </c>
      <c r="E77" s="60"/>
      <c r="F77" s="55"/>
      <c r="G77" s="34"/>
      <c r="H77" s="38"/>
      <c r="I77" s="55"/>
      <c r="J77" s="34"/>
      <c r="K77" s="38"/>
      <c r="L77" s="5"/>
      <c r="M77" s="34"/>
      <c r="O77" s="76">
        <f>1272-1082</f>
        <v>190</v>
      </c>
      <c r="P77" s="34">
        <v>2052</v>
      </c>
      <c r="R77" s="5"/>
      <c r="S77" s="34"/>
      <c r="U77" s="55">
        <f t="shared" si="52"/>
        <v>1272</v>
      </c>
      <c r="V77" s="128">
        <f t="shared" si="53"/>
        <v>13676.75</v>
      </c>
      <c r="W77" s="167">
        <f t="shared" si="57"/>
        <v>10.752161949685535</v>
      </c>
      <c r="X77" s="36">
        <f t="shared" si="81"/>
        <v>1272</v>
      </c>
      <c r="Y77" s="86">
        <v>14.74</v>
      </c>
      <c r="Z77" s="5">
        <f t="shared" si="82"/>
        <v>18749.28</v>
      </c>
      <c r="AA77" s="181">
        <f t="shared" si="51"/>
        <v>18749.28</v>
      </c>
      <c r="AB77" s="109">
        <f t="shared" si="55"/>
        <v>5072.5299999999988</v>
      </c>
      <c r="AC77" t="s">
        <v>395</v>
      </c>
      <c r="AD77" s="136">
        <f t="shared" si="56"/>
        <v>0.37088708940354975</v>
      </c>
      <c r="AE77" t="s">
        <v>430</v>
      </c>
      <c r="AF77" s="125"/>
      <c r="AG77" s="125"/>
      <c r="AH77" s="125"/>
      <c r="AI77" s="129"/>
    </row>
    <row r="78" spans="1:35" x14ac:dyDescent="0.25">
      <c r="A78" t="s">
        <v>28</v>
      </c>
      <c r="B78" t="s">
        <v>52</v>
      </c>
      <c r="C78" s="189">
        <v>10545</v>
      </c>
      <c r="D78" s="175">
        <v>48203.45</v>
      </c>
      <c r="E78" s="60"/>
      <c r="F78" s="55"/>
      <c r="G78" s="34"/>
      <c r="H78" s="38"/>
      <c r="I78" s="55"/>
      <c r="J78" s="34"/>
      <c r="K78" s="38"/>
      <c r="L78" s="5"/>
      <c r="M78" s="34"/>
      <c r="O78" s="76"/>
      <c r="P78" s="34"/>
      <c r="R78" s="5"/>
      <c r="S78" s="34"/>
      <c r="U78" s="55">
        <f t="shared" si="52"/>
        <v>10545</v>
      </c>
      <c r="V78" s="128">
        <f t="shared" si="53"/>
        <v>48203.45</v>
      </c>
      <c r="W78" s="167">
        <f t="shared" si="57"/>
        <v>4.5712138454243716</v>
      </c>
      <c r="X78" s="36">
        <f t="shared" si="81"/>
        <v>10545</v>
      </c>
      <c r="Y78" s="86">
        <v>3.85</v>
      </c>
      <c r="Z78" s="5">
        <f t="shared" si="82"/>
        <v>40598.25</v>
      </c>
      <c r="AA78" s="181">
        <f t="shared" si="51"/>
        <v>40598.25</v>
      </c>
      <c r="AB78" s="109">
        <f t="shared" si="55"/>
        <v>-7605.1999999999971</v>
      </c>
      <c r="AC78" t="s">
        <v>28</v>
      </c>
      <c r="AD78" s="136">
        <f t="shared" si="56"/>
        <v>-0.15777293948877097</v>
      </c>
      <c r="AE78" t="s">
        <v>52</v>
      </c>
      <c r="AF78" s="125"/>
      <c r="AG78" s="125"/>
      <c r="AH78" s="125"/>
      <c r="AI78" s="129"/>
    </row>
    <row r="79" spans="1:35" x14ac:dyDescent="0.25">
      <c r="A79" t="s">
        <v>29</v>
      </c>
      <c r="B79" t="s">
        <v>76</v>
      </c>
      <c r="C79" s="189">
        <v>367</v>
      </c>
      <c r="D79" s="175">
        <v>1199.1099999999999</v>
      </c>
      <c r="E79" s="60"/>
      <c r="F79" s="55"/>
      <c r="G79" s="34"/>
      <c r="H79" s="38"/>
      <c r="I79" s="55"/>
      <c r="J79" s="34"/>
      <c r="K79" s="38"/>
      <c r="L79" s="5"/>
      <c r="M79" s="34"/>
      <c r="O79" s="76"/>
      <c r="P79" s="34"/>
      <c r="R79" s="5"/>
      <c r="S79" s="34"/>
      <c r="U79" s="55">
        <f t="shared" si="52"/>
        <v>367</v>
      </c>
      <c r="V79" s="128">
        <f t="shared" si="53"/>
        <v>1199.1099999999999</v>
      </c>
      <c r="W79" s="167">
        <f t="shared" si="57"/>
        <v>3.2673297002724793</v>
      </c>
      <c r="X79" s="36">
        <f t="shared" si="81"/>
        <v>367</v>
      </c>
      <c r="Y79" s="86">
        <v>14.92</v>
      </c>
      <c r="Z79" s="5">
        <f t="shared" si="82"/>
        <v>5475.64</v>
      </c>
      <c r="AA79" s="181">
        <f t="shared" si="51"/>
        <v>5475.64</v>
      </c>
      <c r="AB79" s="109">
        <f t="shared" si="55"/>
        <v>4276.5300000000007</v>
      </c>
      <c r="AC79" t="s">
        <v>29</v>
      </c>
      <c r="AD79" s="136">
        <f t="shared" si="56"/>
        <v>3.5664200949037212</v>
      </c>
      <c r="AE79" t="s">
        <v>76</v>
      </c>
      <c r="AF79" s="125"/>
      <c r="AG79" s="125"/>
      <c r="AH79" s="125"/>
      <c r="AI79" s="129"/>
    </row>
    <row r="80" spans="1:35" x14ac:dyDescent="0.25">
      <c r="A80" t="s">
        <v>32</v>
      </c>
      <c r="B80" t="s">
        <v>53</v>
      </c>
      <c r="C80" s="189">
        <f t="shared" si="79"/>
        <v>1984</v>
      </c>
      <c r="D80" s="175">
        <v>58083.97</v>
      </c>
      <c r="E80" s="60"/>
      <c r="F80" s="55"/>
      <c r="G80" s="34"/>
      <c r="H80" s="38"/>
      <c r="I80" s="55"/>
      <c r="J80" s="34"/>
      <c r="K80" s="38"/>
      <c r="L80" s="5"/>
      <c r="M80" s="34"/>
      <c r="O80" s="76"/>
      <c r="P80" s="34"/>
      <c r="R80" s="5"/>
      <c r="S80" s="34"/>
      <c r="U80" s="55">
        <f t="shared" si="52"/>
        <v>1984</v>
      </c>
      <c r="V80" s="128">
        <f t="shared" si="53"/>
        <v>58083.97</v>
      </c>
      <c r="W80" s="167">
        <f t="shared" si="57"/>
        <v>29.276194556451614</v>
      </c>
      <c r="X80" s="36">
        <f t="shared" si="81"/>
        <v>1984</v>
      </c>
      <c r="Y80" s="86">
        <v>28.36</v>
      </c>
      <c r="Z80" s="5">
        <f t="shared" si="82"/>
        <v>56266.239999999998</v>
      </c>
      <c r="AA80" s="181">
        <f t="shared" si="51"/>
        <v>56266.239999999998</v>
      </c>
      <c r="AB80" s="109">
        <f t="shared" si="55"/>
        <v>-1817.7300000000032</v>
      </c>
      <c r="AC80" t="s">
        <v>32</v>
      </c>
      <c r="AD80" s="136">
        <f t="shared" si="56"/>
        <v>-3.1294865003201451E-2</v>
      </c>
      <c r="AE80" t="s">
        <v>53</v>
      </c>
      <c r="AF80" s="125"/>
      <c r="AG80" s="125"/>
      <c r="AH80" s="125"/>
      <c r="AI80" s="129"/>
    </row>
    <row r="81" spans="1:35" x14ac:dyDescent="0.25">
      <c r="A81" t="s">
        <v>231</v>
      </c>
      <c r="B81" t="s">
        <v>229</v>
      </c>
      <c r="C81" s="189">
        <f t="shared" si="79"/>
        <v>900</v>
      </c>
      <c r="D81" s="175">
        <f t="shared" si="80"/>
        <v>33396.75</v>
      </c>
      <c r="E81" s="60"/>
      <c r="F81" s="55"/>
      <c r="G81" s="34"/>
      <c r="H81" s="38"/>
      <c r="I81" s="55"/>
      <c r="J81" s="34"/>
      <c r="K81" s="38"/>
      <c r="L81" s="5">
        <v>725</v>
      </c>
      <c r="M81" s="34">
        <v>26189</v>
      </c>
      <c r="O81" s="76"/>
      <c r="P81" s="206">
        <f>-P53</f>
        <v>-11556</v>
      </c>
      <c r="R81" s="5"/>
      <c r="S81" s="34"/>
      <c r="U81" s="55">
        <f t="shared" si="52"/>
        <v>1625</v>
      </c>
      <c r="V81" s="128">
        <f t="shared" si="53"/>
        <v>48029.75</v>
      </c>
      <c r="W81" s="167">
        <f t="shared" si="57"/>
        <v>29.55676923076923</v>
      </c>
      <c r="X81" s="36">
        <f t="shared" si="81"/>
        <v>1625</v>
      </c>
      <c r="Y81" s="86">
        <v>36.159999999999997</v>
      </c>
      <c r="Z81" s="5">
        <f t="shared" si="82"/>
        <v>58759.999999999993</v>
      </c>
      <c r="AA81" s="181">
        <f t="shared" si="51"/>
        <v>58759.999999999993</v>
      </c>
      <c r="AB81" s="109">
        <f t="shared" si="55"/>
        <v>10730.249999999993</v>
      </c>
      <c r="AC81" t="s">
        <v>231</v>
      </c>
      <c r="AD81" s="136">
        <f t="shared" si="56"/>
        <v>0.22340840833025349</v>
      </c>
      <c r="AE81" t="s">
        <v>229</v>
      </c>
      <c r="AF81" s="125"/>
      <c r="AG81" s="125"/>
      <c r="AH81" s="125"/>
      <c r="AI81" s="129"/>
    </row>
    <row r="82" spans="1:35" x14ac:dyDescent="0.25">
      <c r="A82" t="s">
        <v>30</v>
      </c>
      <c r="B82" t="s">
        <v>55</v>
      </c>
      <c r="C82" s="189">
        <f t="shared" si="79"/>
        <v>967</v>
      </c>
      <c r="D82" s="175">
        <v>37820.449999999997</v>
      </c>
      <c r="E82" s="60"/>
      <c r="F82" s="55"/>
      <c r="G82" s="34"/>
      <c r="H82" s="38"/>
      <c r="I82" s="55"/>
      <c r="J82" s="34"/>
      <c r="K82" s="38"/>
      <c r="L82" s="5"/>
      <c r="M82" s="34"/>
      <c r="O82" s="76"/>
      <c r="P82" s="34"/>
      <c r="R82" s="5"/>
      <c r="S82" s="34"/>
      <c r="U82" s="55">
        <f t="shared" si="52"/>
        <v>967</v>
      </c>
      <c r="V82" s="128">
        <f t="shared" si="53"/>
        <v>37820.449999999997</v>
      </c>
      <c r="W82" s="167">
        <f t="shared" si="57"/>
        <v>39.111116856256459</v>
      </c>
      <c r="X82" s="36">
        <f t="shared" si="81"/>
        <v>967</v>
      </c>
      <c r="Y82" s="86">
        <v>36.36</v>
      </c>
      <c r="Z82" s="5">
        <f t="shared" si="82"/>
        <v>35160.120000000003</v>
      </c>
      <c r="AA82" s="181">
        <f t="shared" si="51"/>
        <v>35160.120000000003</v>
      </c>
      <c r="AB82" s="109">
        <f t="shared" si="55"/>
        <v>-2660.3299999999945</v>
      </c>
      <c r="AC82" t="s">
        <v>30</v>
      </c>
      <c r="AD82" s="136">
        <f t="shared" si="56"/>
        <v>-7.0341045651228229E-2</v>
      </c>
      <c r="AE82" t="s">
        <v>55</v>
      </c>
      <c r="AF82" s="125"/>
      <c r="AG82" s="125"/>
      <c r="AH82" s="125"/>
      <c r="AI82" s="129"/>
    </row>
    <row r="83" spans="1:35" x14ac:dyDescent="0.25">
      <c r="A83" t="s">
        <v>31</v>
      </c>
      <c r="B83" t="s">
        <v>54</v>
      </c>
      <c r="C83" s="189">
        <v>1224</v>
      </c>
      <c r="D83" s="175">
        <v>31557.79</v>
      </c>
      <c r="E83" s="60"/>
      <c r="F83" s="55"/>
      <c r="G83" s="34"/>
      <c r="H83" s="38"/>
      <c r="I83" s="55"/>
      <c r="J83" s="34"/>
      <c r="K83" s="38"/>
      <c r="L83" s="5"/>
      <c r="M83" s="34"/>
      <c r="O83" s="76"/>
      <c r="P83" s="34"/>
      <c r="R83" s="5"/>
      <c r="S83" s="34"/>
      <c r="U83" s="55">
        <f t="shared" si="52"/>
        <v>1224</v>
      </c>
      <c r="V83" s="128">
        <f t="shared" si="53"/>
        <v>31557.79</v>
      </c>
      <c r="W83" s="167">
        <f t="shared" si="57"/>
        <v>25.782508169934641</v>
      </c>
      <c r="X83" s="36">
        <f t="shared" si="81"/>
        <v>1224</v>
      </c>
      <c r="Y83" s="86">
        <v>33.229999999999997</v>
      </c>
      <c r="Z83" s="5">
        <f t="shared" si="82"/>
        <v>40673.519999999997</v>
      </c>
      <c r="AA83" s="181">
        <f t="shared" si="51"/>
        <v>40673.519999999997</v>
      </c>
      <c r="AB83" s="109">
        <f t="shared" si="55"/>
        <v>9115.7299999999959</v>
      </c>
      <c r="AC83" t="s">
        <v>31</v>
      </c>
      <c r="AD83" s="136">
        <f t="shared" si="56"/>
        <v>0.28885831358913266</v>
      </c>
      <c r="AE83" t="s">
        <v>54</v>
      </c>
      <c r="AF83" s="125"/>
      <c r="AG83" s="125"/>
      <c r="AH83" s="125"/>
      <c r="AI83" s="129"/>
    </row>
    <row r="84" spans="1:35" x14ac:dyDescent="0.25">
      <c r="C84" s="34"/>
      <c r="D84" s="57">
        <f>SUM(D46:D83)</f>
        <v>936595.65999999992</v>
      </c>
      <c r="E84" s="61"/>
      <c r="F84" s="68"/>
      <c r="G84" s="57">
        <f>SUM(G48:G83)</f>
        <v>196.68</v>
      </c>
      <c r="H84" s="27"/>
      <c r="I84" s="68"/>
      <c r="J84" s="57">
        <f>SUM(J46:J83)</f>
        <v>260.61</v>
      </c>
      <c r="K84" s="61"/>
      <c r="L84" s="34"/>
      <c r="M84" s="69">
        <f>SUM(M46:M83)</f>
        <v>106849.80000000002</v>
      </c>
      <c r="N84" s="38"/>
      <c r="O84" s="76"/>
      <c r="P84" s="57">
        <f>SUM(P48:P83)</f>
        <v>2052</v>
      </c>
      <c r="R84" s="5"/>
      <c r="S84" s="57">
        <f>SUM(S48:S83)</f>
        <v>0</v>
      </c>
      <c r="U84" s="5"/>
      <c r="V84" s="57">
        <f>SUM(V46:V83)</f>
        <v>1045954.7100000001</v>
      </c>
      <c r="X84" s="3"/>
      <c r="Y84" s="83"/>
      <c r="Z84" s="33">
        <f>SUM(Z46:Z83)</f>
        <v>1477645.73</v>
      </c>
      <c r="AA84" s="137">
        <f>SUM(AA46:AA83)</f>
        <v>1477645.73</v>
      </c>
      <c r="AB84" s="109">
        <f t="shared" si="55"/>
        <v>431691.0199999999</v>
      </c>
      <c r="AC84" s="135"/>
      <c r="AD84" s="136">
        <f t="shared" si="56"/>
        <v>0.41272439033234992</v>
      </c>
      <c r="AF84" s="125"/>
      <c r="AG84" s="125"/>
      <c r="AH84" s="125"/>
      <c r="AI84" s="129"/>
    </row>
    <row r="85" spans="1:35" x14ac:dyDescent="0.25">
      <c r="C85" s="63" t="s">
        <v>176</v>
      </c>
      <c r="D85" s="64">
        <f>D84</f>
        <v>936595.65999999992</v>
      </c>
      <c r="F85" s="63" t="s">
        <v>176</v>
      </c>
      <c r="G85" s="64">
        <f>G84</f>
        <v>196.68</v>
      </c>
      <c r="I85" s="63" t="s">
        <v>176</v>
      </c>
      <c r="J85" s="67">
        <f>J84</f>
        <v>260.61</v>
      </c>
      <c r="K85" s="72"/>
      <c r="L85" s="63" t="s">
        <v>176</v>
      </c>
      <c r="M85" s="67">
        <f>M84</f>
        <v>106849.80000000002</v>
      </c>
      <c r="N85" s="70"/>
      <c r="O85" s="63" t="s">
        <v>176</v>
      </c>
      <c r="P85" s="67">
        <f>P84</f>
        <v>2052</v>
      </c>
      <c r="R85" s="63" t="s">
        <v>176</v>
      </c>
      <c r="S85" s="67">
        <f>S84</f>
        <v>0</v>
      </c>
      <c r="V85" s="2">
        <f>V84</f>
        <v>1045954.7100000001</v>
      </c>
      <c r="Z85" s="85" t="s">
        <v>176</v>
      </c>
      <c r="AA85" s="73"/>
      <c r="AB85" s="108"/>
      <c r="AC85" s="132"/>
      <c r="AD85" s="132"/>
      <c r="AF85" s="125"/>
      <c r="AG85" s="125"/>
      <c r="AH85" s="125"/>
      <c r="AI85" s="129"/>
    </row>
    <row r="86" spans="1:35" x14ac:dyDescent="0.25">
      <c r="B86" s="29"/>
      <c r="O86" t="s">
        <v>327</v>
      </c>
      <c r="P86" s="12" t="e">
        <f>#REF!+#REF!</f>
        <v>#REF!</v>
      </c>
      <c r="Z86">
        <v>1477645</v>
      </c>
      <c r="AA86" s="91">
        <f>Z86-Z84</f>
        <v>-0.72999999998137355</v>
      </c>
      <c r="AE86" s="29"/>
      <c r="AF86" s="125"/>
      <c r="AG86" s="125"/>
      <c r="AH86" s="125"/>
      <c r="AI86" s="129"/>
    </row>
    <row r="87" spans="1:35" x14ac:dyDescent="0.25">
      <c r="B87" s="29"/>
      <c r="AE87" s="29"/>
      <c r="AF87" s="125"/>
      <c r="AG87" s="125"/>
      <c r="AH87" s="125"/>
      <c r="AI87" s="129"/>
    </row>
    <row r="88" spans="1:35" x14ac:dyDescent="0.25">
      <c r="A88" t="s">
        <v>170</v>
      </c>
      <c r="C88" s="51">
        <v>42916</v>
      </c>
      <c r="D88" s="51">
        <v>42916</v>
      </c>
      <c r="E88" s="48"/>
      <c r="F88" s="3" t="s">
        <v>174</v>
      </c>
      <c r="G88" s="3"/>
      <c r="H88" s="20"/>
      <c r="I88" s="32" t="s">
        <v>174</v>
      </c>
      <c r="J88" s="3"/>
      <c r="K88" s="20"/>
      <c r="L88" s="32" t="s">
        <v>317</v>
      </c>
      <c r="M88" s="3"/>
      <c r="O88" s="74" t="s">
        <v>420</v>
      </c>
      <c r="P88" s="71"/>
      <c r="R88" s="74"/>
      <c r="S88" s="75"/>
      <c r="U88" s="77">
        <v>43281</v>
      </c>
      <c r="V88" s="71"/>
      <c r="X88" s="77">
        <v>43281</v>
      </c>
      <c r="Y88" s="80"/>
      <c r="Z88" s="71"/>
      <c r="AA88" s="51">
        <v>43281</v>
      </c>
      <c r="AB88" s="3"/>
      <c r="AC88" s="4" t="s">
        <v>170</v>
      </c>
      <c r="AD88" s="4" t="s">
        <v>296</v>
      </c>
      <c r="AF88" s="125"/>
      <c r="AG88" s="125"/>
      <c r="AH88" s="125"/>
      <c r="AI88" s="129"/>
    </row>
    <row r="89" spans="1:35" ht="30" x14ac:dyDescent="0.25">
      <c r="A89" s="1" t="s">
        <v>171</v>
      </c>
      <c r="B89" s="39" t="s">
        <v>42</v>
      </c>
      <c r="C89" s="52" t="s">
        <v>172</v>
      </c>
      <c r="D89" s="4" t="s">
        <v>173</v>
      </c>
      <c r="E89" s="58"/>
      <c r="F89" s="4" t="s">
        <v>175</v>
      </c>
      <c r="G89" s="4" t="s">
        <v>173</v>
      </c>
      <c r="H89" s="58"/>
      <c r="I89" s="52" t="s">
        <v>172</v>
      </c>
      <c r="J89" s="4" t="s">
        <v>173</v>
      </c>
      <c r="K89" s="58"/>
      <c r="L89" s="52" t="s">
        <v>172</v>
      </c>
      <c r="M89" s="4" t="s">
        <v>173</v>
      </c>
      <c r="O89" s="52" t="s">
        <v>172</v>
      </c>
      <c r="P89" s="4" t="s">
        <v>173</v>
      </c>
      <c r="R89" s="52" t="s">
        <v>172</v>
      </c>
      <c r="S89" s="4" t="s">
        <v>173</v>
      </c>
      <c r="U89" s="52" t="s">
        <v>172</v>
      </c>
      <c r="V89" s="4" t="s">
        <v>173</v>
      </c>
      <c r="W89" s="29" t="s">
        <v>432</v>
      </c>
      <c r="X89" s="78" t="s">
        <v>172</v>
      </c>
      <c r="Y89" s="79" t="s">
        <v>203</v>
      </c>
      <c r="Z89" s="3" t="s">
        <v>93</v>
      </c>
      <c r="AA89" s="3" t="s">
        <v>294</v>
      </c>
      <c r="AB89" s="3" t="s">
        <v>295</v>
      </c>
      <c r="AC89" s="133" t="s">
        <v>171</v>
      </c>
      <c r="AD89" s="133" t="s">
        <v>297</v>
      </c>
      <c r="AE89" s="39" t="s">
        <v>42</v>
      </c>
      <c r="AF89" s="125"/>
      <c r="AG89" s="125"/>
      <c r="AH89" s="125"/>
      <c r="AI89" s="129"/>
    </row>
    <row r="90" spans="1:35" x14ac:dyDescent="0.25">
      <c r="A90" t="s">
        <v>392</v>
      </c>
      <c r="B90" t="s">
        <v>393</v>
      </c>
      <c r="C90" s="53">
        <f>X131</f>
        <v>700</v>
      </c>
      <c r="D90" s="175">
        <f>V131</f>
        <v>10484.450000000001</v>
      </c>
      <c r="E90" s="59"/>
      <c r="F90" s="54"/>
      <c r="G90" s="54"/>
      <c r="H90" s="59"/>
      <c r="I90" s="54"/>
      <c r="J90" s="3"/>
      <c r="K90" s="20"/>
      <c r="L90" s="54"/>
      <c r="M90" s="3"/>
      <c r="N90" s="28"/>
      <c r="O90" s="3"/>
      <c r="P90" s="34"/>
      <c r="R90" s="5"/>
      <c r="S90" s="34"/>
      <c r="U90" s="55">
        <f>+C90+F90+I90+L90+O90+R90</f>
        <v>700</v>
      </c>
      <c r="V90" s="128">
        <f>+D90+G90+J90+M90+P90+S90</f>
        <v>10484.450000000001</v>
      </c>
      <c r="W90" s="167">
        <f>V90/U90</f>
        <v>14.977785714285716</v>
      </c>
      <c r="X90" s="36">
        <f>U90</f>
        <v>700</v>
      </c>
      <c r="Y90" s="3">
        <v>30.9</v>
      </c>
      <c r="Z90" s="5">
        <f>X90*Y90</f>
        <v>21630</v>
      </c>
      <c r="AA90" s="181">
        <f>Z90</f>
        <v>21630</v>
      </c>
      <c r="AB90" s="109">
        <f>AA90-V90</f>
        <v>11145.55</v>
      </c>
      <c r="AC90" t="s">
        <v>392</v>
      </c>
      <c r="AD90" s="136">
        <f>AB90/V90</f>
        <v>1.0630552866387839</v>
      </c>
      <c r="AE90" t="s">
        <v>393</v>
      </c>
      <c r="AF90" s="125"/>
      <c r="AG90" s="125"/>
      <c r="AH90" s="125"/>
      <c r="AI90" s="129"/>
    </row>
    <row r="91" spans="1:35" x14ac:dyDescent="0.25">
      <c r="A91" t="s">
        <v>415</v>
      </c>
      <c r="B91" t="s">
        <v>418</v>
      </c>
      <c r="C91" s="53">
        <v>0</v>
      </c>
      <c r="D91" s="175">
        <v>0</v>
      </c>
      <c r="E91" s="59"/>
      <c r="F91" s="54"/>
      <c r="G91" s="54"/>
      <c r="H91" s="59"/>
      <c r="I91" s="54"/>
      <c r="J91" s="3"/>
      <c r="K91" s="20"/>
      <c r="L91" s="54">
        <v>1600</v>
      </c>
      <c r="M91" s="3">
        <v>25070.05</v>
      </c>
      <c r="N91" s="28"/>
      <c r="O91" s="3"/>
      <c r="P91" s="34"/>
      <c r="R91" s="5"/>
      <c r="S91" s="34"/>
      <c r="U91" s="55">
        <f t="shared" ref="U91:U122" si="83">+C91+F91+I91+L91+O91+R91</f>
        <v>1600</v>
      </c>
      <c r="V91" s="128">
        <f t="shared" ref="V91:V122" si="84">+D91+G91+J91+M91+P91+S91</f>
        <v>25070.05</v>
      </c>
      <c r="W91" s="167">
        <f t="shared" ref="W91:W122" si="85">V91/U91</f>
        <v>15.66878125</v>
      </c>
      <c r="X91" s="36">
        <f t="shared" ref="X91:X122" si="86">U91</f>
        <v>1600</v>
      </c>
      <c r="Y91" s="3">
        <v>14.41</v>
      </c>
      <c r="Z91" s="5">
        <f>X91*Y91</f>
        <v>23056</v>
      </c>
      <c r="AA91" s="181">
        <f t="shared" ref="AA91:AA122" si="87">Z91</f>
        <v>23056</v>
      </c>
      <c r="AB91" s="109">
        <f t="shared" ref="AB91:AB122" si="88">AA91-V91</f>
        <v>-2014.0499999999993</v>
      </c>
      <c r="AC91" t="s">
        <v>415</v>
      </c>
      <c r="AD91" s="136">
        <f t="shared" ref="AD91:AD123" si="89">AB91/V91</f>
        <v>-8.0336896017359327E-2</v>
      </c>
      <c r="AE91" t="s">
        <v>418</v>
      </c>
      <c r="AF91" s="125"/>
      <c r="AG91" s="125"/>
      <c r="AH91" s="125"/>
      <c r="AI91" s="129"/>
    </row>
    <row r="92" spans="1:35" x14ac:dyDescent="0.25">
      <c r="A92" t="s">
        <v>16</v>
      </c>
      <c r="B92" t="s">
        <v>43</v>
      </c>
      <c r="C92" s="53" t="e">
        <f>X132</f>
        <v>#REF!</v>
      </c>
      <c r="D92" s="175" t="e">
        <f>V132</f>
        <v>#REF!</v>
      </c>
      <c r="E92" s="60"/>
      <c r="F92" s="68"/>
      <c r="G92" s="34"/>
      <c r="H92" s="38"/>
      <c r="I92" s="55"/>
      <c r="J92" s="34"/>
      <c r="K92" s="38"/>
      <c r="L92" s="5"/>
      <c r="M92" s="34"/>
      <c r="O92" s="76"/>
      <c r="P92" s="34"/>
      <c r="R92" s="5"/>
      <c r="S92" s="34"/>
      <c r="U92" s="55" t="e">
        <f t="shared" si="83"/>
        <v>#REF!</v>
      </c>
      <c r="V92" s="128" t="e">
        <f t="shared" si="84"/>
        <v>#REF!</v>
      </c>
      <c r="W92" s="167" t="e">
        <f t="shared" si="85"/>
        <v>#REF!</v>
      </c>
      <c r="X92" s="36" t="e">
        <f t="shared" si="86"/>
        <v>#REF!</v>
      </c>
      <c r="Y92" s="82">
        <v>33.909999999999997</v>
      </c>
      <c r="Z92" s="5" t="e">
        <f>X92*Y92</f>
        <v>#REF!</v>
      </c>
      <c r="AA92" s="181" t="e">
        <f t="shared" si="87"/>
        <v>#REF!</v>
      </c>
      <c r="AB92" s="109" t="e">
        <f t="shared" si="88"/>
        <v>#REF!</v>
      </c>
      <c r="AC92" t="s">
        <v>16</v>
      </c>
      <c r="AD92" s="136" t="e">
        <f t="shared" si="89"/>
        <v>#REF!</v>
      </c>
      <c r="AE92" t="s">
        <v>43</v>
      </c>
      <c r="AF92" s="125"/>
      <c r="AG92" s="125"/>
      <c r="AH92" s="125"/>
      <c r="AI92" s="129"/>
    </row>
    <row r="93" spans="1:35" x14ac:dyDescent="0.25">
      <c r="A93" t="s">
        <v>416</v>
      </c>
      <c r="B93" t="s">
        <v>417</v>
      </c>
      <c r="C93" s="53"/>
      <c r="D93" s="175"/>
      <c r="E93" s="60"/>
      <c r="F93" s="68"/>
      <c r="G93" s="34"/>
      <c r="H93" s="38"/>
      <c r="I93" s="55"/>
      <c r="J93" s="34"/>
      <c r="K93" s="38"/>
      <c r="L93" s="5">
        <v>3250</v>
      </c>
      <c r="M93" s="34">
        <v>24586.49</v>
      </c>
      <c r="O93" s="76"/>
      <c r="P93" s="34"/>
      <c r="R93" s="5"/>
      <c r="S93" s="34"/>
      <c r="U93" s="55">
        <f t="shared" si="83"/>
        <v>3250</v>
      </c>
      <c r="V93" s="128">
        <f t="shared" si="84"/>
        <v>24586.49</v>
      </c>
      <c r="W93" s="167">
        <f t="shared" si="85"/>
        <v>7.5650738461538465</v>
      </c>
      <c r="X93" s="36">
        <f t="shared" si="86"/>
        <v>3250</v>
      </c>
      <c r="Y93" s="82">
        <v>6.53</v>
      </c>
      <c r="Z93" s="5">
        <f>X93*Y93</f>
        <v>21222.5</v>
      </c>
      <c r="AA93" s="181">
        <f t="shared" si="87"/>
        <v>21222.5</v>
      </c>
      <c r="AB93" s="109">
        <f t="shared" si="88"/>
        <v>-3363.9900000000016</v>
      </c>
      <c r="AC93" t="s">
        <v>416</v>
      </c>
      <c r="AD93" s="136">
        <f t="shared" si="89"/>
        <v>-0.13682270222386364</v>
      </c>
      <c r="AE93" t="s">
        <v>417</v>
      </c>
      <c r="AF93" s="125"/>
      <c r="AG93" s="125"/>
      <c r="AH93" s="125"/>
      <c r="AI93" s="129"/>
    </row>
    <row r="94" spans="1:35" x14ac:dyDescent="0.25">
      <c r="A94" t="s">
        <v>347</v>
      </c>
      <c r="B94" t="s">
        <v>343</v>
      </c>
      <c r="C94" s="53">
        <f t="shared" ref="C94:C106" si="90">X133</f>
        <v>810</v>
      </c>
      <c r="D94" s="175">
        <f t="shared" ref="D94:D106" si="91">V133</f>
        <v>10049.65</v>
      </c>
      <c r="E94" s="60"/>
      <c r="F94" s="68"/>
      <c r="G94" s="34"/>
      <c r="H94" s="38"/>
      <c r="I94" s="55"/>
      <c r="J94" s="34"/>
      <c r="K94" s="38"/>
      <c r="L94" s="5"/>
      <c r="M94" s="34"/>
      <c r="O94" s="76"/>
      <c r="P94" s="34"/>
      <c r="R94" s="5"/>
      <c r="S94" s="34"/>
      <c r="U94" s="55">
        <f t="shared" si="83"/>
        <v>810</v>
      </c>
      <c r="V94" s="128">
        <f t="shared" si="84"/>
        <v>10049.65</v>
      </c>
      <c r="W94" s="167">
        <f t="shared" si="85"/>
        <v>12.406975308641975</v>
      </c>
      <c r="X94" s="36">
        <f t="shared" si="86"/>
        <v>810</v>
      </c>
      <c r="Y94" s="86">
        <v>10.19</v>
      </c>
      <c r="Z94" s="5">
        <f t="shared" ref="Z94:Z101" si="92">X94*Y94</f>
        <v>8253.9</v>
      </c>
      <c r="AA94" s="181">
        <f t="shared" si="87"/>
        <v>8253.9</v>
      </c>
      <c r="AB94" s="109">
        <f t="shared" si="88"/>
        <v>-1795.75</v>
      </c>
      <c r="AC94" t="s">
        <v>347</v>
      </c>
      <c r="AD94" s="136">
        <f t="shared" si="89"/>
        <v>-0.17868781499853229</v>
      </c>
      <c r="AE94" t="s">
        <v>343</v>
      </c>
      <c r="AF94" s="125"/>
      <c r="AG94" s="125"/>
      <c r="AH94" s="125"/>
      <c r="AI94" s="129"/>
    </row>
    <row r="95" spans="1:35" x14ac:dyDescent="0.25">
      <c r="A95" t="s">
        <v>18</v>
      </c>
      <c r="B95" t="s">
        <v>60</v>
      </c>
      <c r="C95" s="53">
        <f t="shared" si="90"/>
        <v>3381</v>
      </c>
      <c r="D95" s="175" t="e">
        <f t="shared" si="91"/>
        <v>#REF!</v>
      </c>
      <c r="E95" s="60"/>
      <c r="F95" s="55"/>
      <c r="G95" s="34"/>
      <c r="H95" s="38"/>
      <c r="I95" s="55"/>
      <c r="J95" s="34"/>
      <c r="K95" s="38"/>
      <c r="L95" s="5">
        <v>310</v>
      </c>
      <c r="M95" s="34">
        <v>24848.55</v>
      </c>
      <c r="O95" s="76"/>
      <c r="P95" s="34"/>
      <c r="R95" s="5"/>
      <c r="S95" s="34"/>
      <c r="U95" s="55">
        <f t="shared" si="83"/>
        <v>3691</v>
      </c>
      <c r="V95" s="128" t="e">
        <f t="shared" si="84"/>
        <v>#REF!</v>
      </c>
      <c r="W95" s="167" t="e">
        <f t="shared" si="85"/>
        <v>#REF!</v>
      </c>
      <c r="X95" s="36">
        <f t="shared" si="86"/>
        <v>3691</v>
      </c>
      <c r="Y95" s="86">
        <v>72.87</v>
      </c>
      <c r="Z95" s="5">
        <f t="shared" si="92"/>
        <v>268963.17000000004</v>
      </c>
      <c r="AA95" s="181">
        <f t="shared" si="87"/>
        <v>268963.17000000004</v>
      </c>
      <c r="AB95" s="109" t="e">
        <f t="shared" si="88"/>
        <v>#REF!</v>
      </c>
      <c r="AC95" t="s">
        <v>18</v>
      </c>
      <c r="AD95" s="136" t="e">
        <f t="shared" si="89"/>
        <v>#REF!</v>
      </c>
      <c r="AE95" t="s">
        <v>60</v>
      </c>
      <c r="AF95" s="125"/>
      <c r="AG95" s="125"/>
      <c r="AH95" s="125"/>
      <c r="AI95" s="129"/>
    </row>
    <row r="96" spans="1:35" x14ac:dyDescent="0.25">
      <c r="A96" t="s">
        <v>189</v>
      </c>
      <c r="B96" t="s">
        <v>45</v>
      </c>
      <c r="C96" s="53" t="e">
        <f t="shared" si="90"/>
        <v>#REF!</v>
      </c>
      <c r="D96" s="175" t="e">
        <f t="shared" si="91"/>
        <v>#REF!</v>
      </c>
      <c r="E96" s="60"/>
      <c r="F96" s="55"/>
      <c r="G96" s="34"/>
      <c r="H96" s="38"/>
      <c r="I96" s="55"/>
      <c r="J96" s="34"/>
      <c r="K96" s="38"/>
      <c r="L96" s="5">
        <v>1200</v>
      </c>
      <c r="M96" s="34">
        <v>10157.950000000001</v>
      </c>
      <c r="O96" s="76"/>
      <c r="P96" s="34"/>
      <c r="R96" s="5"/>
      <c r="S96" s="34"/>
      <c r="U96" s="55" t="e">
        <f t="shared" si="83"/>
        <v>#REF!</v>
      </c>
      <c r="V96" s="128" t="e">
        <f t="shared" si="84"/>
        <v>#REF!</v>
      </c>
      <c r="W96" s="167" t="e">
        <f t="shared" si="85"/>
        <v>#REF!</v>
      </c>
      <c r="X96" s="36" t="e">
        <f t="shared" si="86"/>
        <v>#REF!</v>
      </c>
      <c r="Y96" s="86">
        <v>9.1999999999999993</v>
      </c>
      <c r="Z96" s="5" t="e">
        <f t="shared" si="92"/>
        <v>#REF!</v>
      </c>
      <c r="AA96" s="181" t="e">
        <f t="shared" si="87"/>
        <v>#REF!</v>
      </c>
      <c r="AB96" s="109" t="e">
        <f t="shared" si="88"/>
        <v>#REF!</v>
      </c>
      <c r="AC96" t="s">
        <v>189</v>
      </c>
      <c r="AD96" s="136" t="e">
        <f t="shared" si="89"/>
        <v>#REF!</v>
      </c>
      <c r="AE96" t="s">
        <v>45</v>
      </c>
      <c r="AF96" s="125"/>
      <c r="AG96" s="125"/>
      <c r="AH96" s="125"/>
      <c r="AI96" s="129"/>
    </row>
    <row r="97" spans="1:35" x14ac:dyDescent="0.25">
      <c r="A97" t="s">
        <v>230</v>
      </c>
      <c r="B97" t="s">
        <v>228</v>
      </c>
      <c r="C97" s="53">
        <f t="shared" si="90"/>
        <v>300</v>
      </c>
      <c r="D97" s="175">
        <f t="shared" si="91"/>
        <v>9075.34</v>
      </c>
      <c r="E97" s="60"/>
      <c r="F97" s="55"/>
      <c r="G97" s="34"/>
      <c r="H97" s="38"/>
      <c r="I97" s="55"/>
      <c r="J97" s="34"/>
      <c r="K97" s="38"/>
      <c r="L97" s="5"/>
      <c r="M97" s="34"/>
      <c r="O97" s="76"/>
      <c r="P97" s="34"/>
      <c r="R97" s="5"/>
      <c r="S97" s="34"/>
      <c r="U97" s="55">
        <f t="shared" si="83"/>
        <v>300</v>
      </c>
      <c r="V97" s="128">
        <f t="shared" si="84"/>
        <v>9075.34</v>
      </c>
      <c r="W97" s="167">
        <f t="shared" si="85"/>
        <v>30.251133333333335</v>
      </c>
      <c r="X97" s="36">
        <f t="shared" si="86"/>
        <v>300</v>
      </c>
      <c r="Y97" s="86">
        <v>192.62</v>
      </c>
      <c r="Z97" s="5">
        <f t="shared" si="92"/>
        <v>57786</v>
      </c>
      <c r="AA97" s="181">
        <f t="shared" si="87"/>
        <v>57786</v>
      </c>
      <c r="AB97" s="109">
        <f t="shared" si="88"/>
        <v>48710.66</v>
      </c>
      <c r="AC97" t="s">
        <v>230</v>
      </c>
      <c r="AD97" s="136">
        <f t="shared" si="89"/>
        <v>5.3673647488689129</v>
      </c>
      <c r="AE97" t="s">
        <v>228</v>
      </c>
      <c r="AF97" s="125"/>
      <c r="AG97" s="125"/>
      <c r="AH97" s="125"/>
      <c r="AI97" s="129"/>
    </row>
    <row r="98" spans="1:35" x14ac:dyDescent="0.25">
      <c r="A98" t="s">
        <v>355</v>
      </c>
      <c r="B98" t="s">
        <v>351</v>
      </c>
      <c r="C98" s="53">
        <f t="shared" si="90"/>
        <v>750</v>
      </c>
      <c r="D98" s="175">
        <f t="shared" si="91"/>
        <v>10657.45</v>
      </c>
      <c r="E98" s="60"/>
      <c r="F98" s="55"/>
      <c r="G98" s="34"/>
      <c r="H98" s="38"/>
      <c r="I98" s="55"/>
      <c r="J98" s="34"/>
      <c r="K98" s="38"/>
      <c r="L98" s="5"/>
      <c r="M98" s="34"/>
      <c r="O98" s="76"/>
      <c r="P98" s="34"/>
      <c r="R98" s="5"/>
      <c r="S98" s="34"/>
      <c r="U98" s="55">
        <f t="shared" si="83"/>
        <v>750</v>
      </c>
      <c r="V98" s="128">
        <f t="shared" si="84"/>
        <v>10657.45</v>
      </c>
      <c r="W98" s="167">
        <f t="shared" si="85"/>
        <v>14.209933333333334</v>
      </c>
      <c r="X98" s="36">
        <f t="shared" si="86"/>
        <v>750</v>
      </c>
      <c r="Y98" s="86">
        <v>13.5</v>
      </c>
      <c r="Z98" s="5">
        <f t="shared" si="92"/>
        <v>10125</v>
      </c>
      <c r="AA98" s="181">
        <f t="shared" si="87"/>
        <v>10125</v>
      </c>
      <c r="AB98" s="109">
        <f t="shared" si="88"/>
        <v>-532.45000000000073</v>
      </c>
      <c r="AC98" t="s">
        <v>355</v>
      </c>
      <c r="AD98" s="136">
        <f t="shared" si="89"/>
        <v>-4.9960356370426388E-2</v>
      </c>
      <c r="AE98" t="s">
        <v>351</v>
      </c>
      <c r="AF98" s="125"/>
      <c r="AG98" s="125"/>
      <c r="AH98" s="125"/>
      <c r="AI98" s="129"/>
    </row>
    <row r="99" spans="1:35" x14ac:dyDescent="0.25">
      <c r="A99" t="s">
        <v>369</v>
      </c>
      <c r="B99" t="s">
        <v>370</v>
      </c>
      <c r="C99" s="53">
        <f t="shared" si="90"/>
        <v>175</v>
      </c>
      <c r="D99" s="175">
        <f t="shared" si="91"/>
        <v>701.75</v>
      </c>
      <c r="E99" s="60"/>
      <c r="F99" s="55"/>
      <c r="G99" s="34"/>
      <c r="H99" s="38"/>
      <c r="I99" s="55"/>
      <c r="J99" s="34"/>
      <c r="K99" s="38"/>
      <c r="L99" s="5"/>
      <c r="M99" s="34"/>
      <c r="O99" s="76"/>
      <c r="P99" s="34"/>
      <c r="R99" s="5"/>
      <c r="S99" s="34"/>
      <c r="U99" s="55">
        <f t="shared" si="83"/>
        <v>175</v>
      </c>
      <c r="V99" s="128">
        <f t="shared" si="84"/>
        <v>701.75</v>
      </c>
      <c r="W99" s="167">
        <f t="shared" si="85"/>
        <v>4.01</v>
      </c>
      <c r="X99" s="36">
        <f t="shared" si="86"/>
        <v>175</v>
      </c>
      <c r="Y99" s="86">
        <v>5.63</v>
      </c>
      <c r="Z99" s="5">
        <f t="shared" si="92"/>
        <v>985.25</v>
      </c>
      <c r="AA99" s="181">
        <f t="shared" si="87"/>
        <v>985.25</v>
      </c>
      <c r="AB99" s="109">
        <f t="shared" si="88"/>
        <v>283.5</v>
      </c>
      <c r="AC99" t="s">
        <v>369</v>
      </c>
      <c r="AD99" s="136">
        <f t="shared" si="89"/>
        <v>0.40399002493765584</v>
      </c>
      <c r="AE99" t="s">
        <v>370</v>
      </c>
      <c r="AF99" s="125"/>
      <c r="AG99" s="125"/>
      <c r="AH99" s="125"/>
      <c r="AI99" s="129"/>
    </row>
    <row r="100" spans="1:35" x14ac:dyDescent="0.25">
      <c r="A100" t="s">
        <v>20</v>
      </c>
      <c r="B100" t="s">
        <v>46</v>
      </c>
      <c r="C100" s="53" t="e">
        <f t="shared" si="90"/>
        <v>#REF!</v>
      </c>
      <c r="D100" s="175" t="e">
        <f t="shared" si="91"/>
        <v>#REF!</v>
      </c>
      <c r="E100" s="60"/>
      <c r="F100" s="55"/>
      <c r="G100" s="34"/>
      <c r="H100" s="38"/>
      <c r="I100" s="55"/>
      <c r="J100" s="34"/>
      <c r="K100" s="38"/>
      <c r="L100" s="5"/>
      <c r="M100" s="34"/>
      <c r="O100" s="76"/>
      <c r="P100" s="34"/>
      <c r="R100" s="5"/>
      <c r="S100" s="34"/>
      <c r="U100" s="55" t="e">
        <f t="shared" si="83"/>
        <v>#REF!</v>
      </c>
      <c r="V100" s="128" t="e">
        <f t="shared" si="84"/>
        <v>#REF!</v>
      </c>
      <c r="W100" s="167" t="e">
        <f t="shared" si="85"/>
        <v>#REF!</v>
      </c>
      <c r="X100" s="36" t="e">
        <f t="shared" si="86"/>
        <v>#REF!</v>
      </c>
      <c r="Y100" s="86">
        <v>7.65</v>
      </c>
      <c r="Z100" s="5" t="e">
        <f t="shared" si="92"/>
        <v>#REF!</v>
      </c>
      <c r="AA100" s="181" t="e">
        <f t="shared" si="87"/>
        <v>#REF!</v>
      </c>
      <c r="AB100" s="109" t="e">
        <f t="shared" si="88"/>
        <v>#REF!</v>
      </c>
      <c r="AC100" t="s">
        <v>20</v>
      </c>
      <c r="AD100" s="136" t="e">
        <f t="shared" si="89"/>
        <v>#REF!</v>
      </c>
      <c r="AE100" t="s">
        <v>46</v>
      </c>
      <c r="AF100" s="125"/>
      <c r="AG100" s="125"/>
      <c r="AH100" s="125"/>
      <c r="AI100" s="129"/>
    </row>
    <row r="101" spans="1:35" x14ac:dyDescent="0.25">
      <c r="A101" t="s">
        <v>23</v>
      </c>
      <c r="B101" t="s">
        <v>48</v>
      </c>
      <c r="C101" s="53" t="e">
        <f t="shared" si="90"/>
        <v>#REF!</v>
      </c>
      <c r="D101" s="175" t="e">
        <f t="shared" si="91"/>
        <v>#REF!</v>
      </c>
      <c r="E101" s="60"/>
      <c r="F101" s="55"/>
      <c r="G101" s="34"/>
      <c r="H101" s="38"/>
      <c r="I101" s="55"/>
      <c r="J101" s="34"/>
      <c r="K101" s="38"/>
      <c r="L101" s="5"/>
      <c r="M101" s="34"/>
      <c r="O101" s="76"/>
      <c r="P101" s="34"/>
      <c r="R101" s="5"/>
      <c r="S101" s="34"/>
      <c r="U101" s="55" t="e">
        <f t="shared" si="83"/>
        <v>#REF!</v>
      </c>
      <c r="V101" s="128" t="e">
        <f t="shared" si="84"/>
        <v>#REF!</v>
      </c>
      <c r="W101" s="167" t="e">
        <f t="shared" si="85"/>
        <v>#REF!</v>
      </c>
      <c r="X101" s="36" t="e">
        <f t="shared" si="86"/>
        <v>#REF!</v>
      </c>
      <c r="Y101" s="86">
        <v>8.5299999999999994</v>
      </c>
      <c r="Z101" s="5" t="e">
        <f t="shared" si="92"/>
        <v>#REF!</v>
      </c>
      <c r="AA101" s="181" t="e">
        <f t="shared" si="87"/>
        <v>#REF!</v>
      </c>
      <c r="AB101" s="109" t="e">
        <f t="shared" si="88"/>
        <v>#REF!</v>
      </c>
      <c r="AC101" t="s">
        <v>23</v>
      </c>
      <c r="AD101" s="136" t="e">
        <f t="shared" si="89"/>
        <v>#REF!</v>
      </c>
      <c r="AE101" t="s">
        <v>48</v>
      </c>
      <c r="AF101" s="125"/>
      <c r="AG101" s="125"/>
      <c r="AH101" s="125"/>
      <c r="AI101" s="129"/>
    </row>
    <row r="102" spans="1:35" x14ac:dyDescent="0.25">
      <c r="A102" t="s">
        <v>391</v>
      </c>
      <c r="B102" t="s">
        <v>391</v>
      </c>
      <c r="C102" s="53">
        <f t="shared" si="90"/>
        <v>11500</v>
      </c>
      <c r="D102" s="175">
        <f t="shared" si="91"/>
        <v>21419.95</v>
      </c>
      <c r="E102" s="60"/>
      <c r="F102" s="55"/>
      <c r="G102" s="34"/>
      <c r="H102" s="38"/>
      <c r="I102" s="55"/>
      <c r="J102" s="34"/>
      <c r="K102" s="38"/>
      <c r="L102" s="5"/>
      <c r="M102" s="34"/>
      <c r="O102" s="76"/>
      <c r="P102" s="34"/>
      <c r="R102" s="5"/>
      <c r="S102" s="34"/>
      <c r="U102" s="55">
        <f t="shared" si="83"/>
        <v>11500</v>
      </c>
      <c r="V102" s="128">
        <f t="shared" si="84"/>
        <v>21419.95</v>
      </c>
      <c r="W102" s="167">
        <f t="shared" si="85"/>
        <v>1.862604347826087</v>
      </c>
      <c r="X102" s="36">
        <f t="shared" si="86"/>
        <v>11500</v>
      </c>
      <c r="Y102" s="86">
        <v>2.67</v>
      </c>
      <c r="Z102" s="5">
        <f>X102*Y102</f>
        <v>30705</v>
      </c>
      <c r="AA102" s="181">
        <f t="shared" si="87"/>
        <v>30705</v>
      </c>
      <c r="AB102" s="109">
        <f t="shared" si="88"/>
        <v>9285.0499999999993</v>
      </c>
      <c r="AC102" t="s">
        <v>391</v>
      </c>
      <c r="AD102" s="136">
        <f t="shared" si="89"/>
        <v>0.43347673547323867</v>
      </c>
      <c r="AE102" t="s">
        <v>391</v>
      </c>
      <c r="AF102" s="125"/>
      <c r="AG102" s="125"/>
      <c r="AH102" s="125"/>
      <c r="AI102" s="129"/>
    </row>
    <row r="103" spans="1:35" x14ac:dyDescent="0.25">
      <c r="A103" t="s">
        <v>371</v>
      </c>
      <c r="B103" t="s">
        <v>372</v>
      </c>
      <c r="C103" s="53">
        <f t="shared" si="90"/>
        <v>1000</v>
      </c>
      <c r="D103" s="175">
        <f t="shared" si="91"/>
        <v>24959.9</v>
      </c>
      <c r="E103" s="60"/>
      <c r="F103" s="55"/>
      <c r="G103" s="34"/>
      <c r="H103" s="38"/>
      <c r="I103" s="55"/>
      <c r="J103" s="34"/>
      <c r="K103" s="38"/>
      <c r="L103" s="5"/>
      <c r="M103" s="34"/>
      <c r="O103" s="76"/>
      <c r="P103" s="34"/>
      <c r="R103" s="5"/>
      <c r="S103" s="34"/>
      <c r="U103" s="55">
        <f t="shared" si="83"/>
        <v>1000</v>
      </c>
      <c r="V103" s="128">
        <f t="shared" si="84"/>
        <v>24959.9</v>
      </c>
      <c r="W103" s="167">
        <f t="shared" si="85"/>
        <v>24.959900000000001</v>
      </c>
      <c r="X103" s="36">
        <f t="shared" si="86"/>
        <v>1000</v>
      </c>
      <c r="Y103" s="86">
        <v>23.3</v>
      </c>
      <c r="Z103" s="5">
        <f t="shared" ref="Z103:Z113" si="93">X103*Y103</f>
        <v>23300</v>
      </c>
      <c r="AA103" s="181">
        <f t="shared" si="87"/>
        <v>23300</v>
      </c>
      <c r="AB103" s="109">
        <f t="shared" si="88"/>
        <v>-1659.9000000000015</v>
      </c>
      <c r="AC103" t="s">
        <v>371</v>
      </c>
      <c r="AD103" s="136">
        <f t="shared" si="89"/>
        <v>-6.6502670283134196E-2</v>
      </c>
      <c r="AE103" t="s">
        <v>372</v>
      </c>
      <c r="AF103" s="125"/>
      <c r="AG103" s="125"/>
      <c r="AH103" s="125"/>
      <c r="AI103" s="129"/>
    </row>
    <row r="104" spans="1:35" x14ac:dyDescent="0.25">
      <c r="A104" t="s">
        <v>373</v>
      </c>
      <c r="B104" t="s">
        <v>374</v>
      </c>
      <c r="C104" s="53">
        <f t="shared" si="90"/>
        <v>175</v>
      </c>
      <c r="D104" s="175">
        <f t="shared" si="91"/>
        <v>11277.2</v>
      </c>
      <c r="E104" s="60"/>
      <c r="F104" s="55"/>
      <c r="G104" s="34"/>
      <c r="H104" s="38"/>
      <c r="I104" s="55"/>
      <c r="J104" s="34"/>
      <c r="K104" s="38"/>
      <c r="L104" s="5"/>
      <c r="M104" s="34"/>
      <c r="O104" s="76"/>
      <c r="P104" s="34"/>
      <c r="R104" s="5"/>
      <c r="S104" s="34"/>
      <c r="U104" s="55">
        <f t="shared" si="83"/>
        <v>175</v>
      </c>
      <c r="V104" s="128">
        <f t="shared" si="84"/>
        <v>11277.2</v>
      </c>
      <c r="W104" s="167">
        <f t="shared" si="85"/>
        <v>64.441142857142864</v>
      </c>
      <c r="X104" s="36">
        <f t="shared" si="86"/>
        <v>175</v>
      </c>
      <c r="Y104" s="86">
        <v>123.65</v>
      </c>
      <c r="Z104" s="5">
        <f t="shared" si="93"/>
        <v>21638.75</v>
      </c>
      <c r="AA104" s="181">
        <f t="shared" si="87"/>
        <v>21638.75</v>
      </c>
      <c r="AB104" s="109">
        <f t="shared" si="88"/>
        <v>10361.549999999999</v>
      </c>
      <c r="AC104" t="s">
        <v>373</v>
      </c>
      <c r="AD104" s="136">
        <f t="shared" si="89"/>
        <v>0.91880519987230858</v>
      </c>
      <c r="AE104" t="s">
        <v>374</v>
      </c>
      <c r="AF104" s="125"/>
      <c r="AG104" s="125"/>
      <c r="AH104" s="125"/>
      <c r="AI104" s="129"/>
    </row>
    <row r="105" spans="1:35" x14ac:dyDescent="0.25">
      <c r="A105" t="s">
        <v>353</v>
      </c>
      <c r="B105" t="s">
        <v>354</v>
      </c>
      <c r="C105" s="53">
        <f t="shared" si="90"/>
        <v>1500</v>
      </c>
      <c r="D105" s="175">
        <f t="shared" si="91"/>
        <v>9739.36</v>
      </c>
      <c r="E105" s="60"/>
      <c r="F105" s="55"/>
      <c r="G105" s="34"/>
      <c r="H105" s="38"/>
      <c r="I105" s="55"/>
      <c r="J105" s="34"/>
      <c r="K105" s="38"/>
      <c r="L105" s="5"/>
      <c r="M105" s="34"/>
      <c r="O105" s="76"/>
      <c r="P105" s="34"/>
      <c r="R105" s="5"/>
      <c r="S105" s="34"/>
      <c r="U105" s="55">
        <f t="shared" si="83"/>
        <v>1500</v>
      </c>
      <c r="V105" s="128">
        <f t="shared" si="84"/>
        <v>9739.36</v>
      </c>
      <c r="W105" s="167">
        <f t="shared" si="85"/>
        <v>6.4929066666666673</v>
      </c>
      <c r="X105" s="36">
        <f t="shared" si="86"/>
        <v>1500</v>
      </c>
      <c r="Y105" s="86">
        <v>5.76</v>
      </c>
      <c r="Z105" s="5">
        <f t="shared" si="93"/>
        <v>8640</v>
      </c>
      <c r="AA105" s="181">
        <f t="shared" si="87"/>
        <v>8640</v>
      </c>
      <c r="AB105" s="109">
        <f t="shared" si="88"/>
        <v>-1099.3600000000006</v>
      </c>
      <c r="AC105" t="s">
        <v>353</v>
      </c>
      <c r="AD105" s="136">
        <f t="shared" si="89"/>
        <v>-0.11287805358873688</v>
      </c>
      <c r="AE105" t="s">
        <v>354</v>
      </c>
      <c r="AF105" s="125"/>
      <c r="AG105" s="125"/>
      <c r="AH105" s="125"/>
      <c r="AI105" s="129"/>
    </row>
    <row r="106" spans="1:35" x14ac:dyDescent="0.25">
      <c r="A106" t="s">
        <v>356</v>
      </c>
      <c r="B106" t="s">
        <v>350</v>
      </c>
      <c r="C106" s="53">
        <f t="shared" si="90"/>
        <v>7760</v>
      </c>
      <c r="D106" s="175">
        <f t="shared" si="91"/>
        <v>16082.5</v>
      </c>
      <c r="E106" s="60"/>
      <c r="F106" s="55"/>
      <c r="G106" s="34"/>
      <c r="H106" s="38"/>
      <c r="I106" s="55"/>
      <c r="J106" s="34"/>
      <c r="K106" s="38"/>
      <c r="L106" s="5"/>
      <c r="M106" s="34"/>
      <c r="O106" s="76"/>
      <c r="P106" s="34"/>
      <c r="R106" s="5"/>
      <c r="S106" s="34"/>
      <c r="U106" s="55">
        <f t="shared" si="83"/>
        <v>7760</v>
      </c>
      <c r="V106" s="128">
        <f t="shared" si="84"/>
        <v>16082.5</v>
      </c>
      <c r="W106" s="167">
        <f t="shared" si="85"/>
        <v>2.0724871134020617</v>
      </c>
      <c r="X106" s="36">
        <f t="shared" si="86"/>
        <v>7760</v>
      </c>
      <c r="Y106" s="86">
        <v>2.92</v>
      </c>
      <c r="Z106" s="5">
        <f t="shared" si="93"/>
        <v>22659.200000000001</v>
      </c>
      <c r="AA106" s="181">
        <f t="shared" si="87"/>
        <v>22659.200000000001</v>
      </c>
      <c r="AB106" s="109">
        <f t="shared" si="88"/>
        <v>6576.7000000000007</v>
      </c>
      <c r="AC106" t="s">
        <v>356</v>
      </c>
      <c r="AD106" s="136">
        <f t="shared" si="89"/>
        <v>0.40893517798849688</v>
      </c>
      <c r="AE106" t="s">
        <v>350</v>
      </c>
      <c r="AF106" s="125"/>
      <c r="AG106" s="125"/>
      <c r="AH106" s="125"/>
      <c r="AI106" s="129"/>
    </row>
    <row r="107" spans="1:35" x14ac:dyDescent="0.25">
      <c r="A107" t="s">
        <v>25</v>
      </c>
      <c r="B107" t="s">
        <v>75</v>
      </c>
      <c r="C107" s="53" t="e">
        <f>X147</f>
        <v>#REF!</v>
      </c>
      <c r="D107" s="175" t="e">
        <f>V147</f>
        <v>#REF!</v>
      </c>
      <c r="E107" s="60"/>
      <c r="F107" s="55"/>
      <c r="G107" s="34"/>
      <c r="H107" s="38"/>
      <c r="I107" s="55"/>
      <c r="J107" s="34"/>
      <c r="K107" s="38"/>
      <c r="L107" s="5"/>
      <c r="M107" s="34"/>
      <c r="O107" s="76"/>
      <c r="P107" s="34"/>
      <c r="R107" s="5"/>
      <c r="S107" s="34"/>
      <c r="U107" s="55" t="e">
        <f t="shared" si="83"/>
        <v>#REF!</v>
      </c>
      <c r="V107" s="128" t="e">
        <f t="shared" si="84"/>
        <v>#REF!</v>
      </c>
      <c r="W107" s="167" t="e">
        <f t="shared" si="85"/>
        <v>#REF!</v>
      </c>
      <c r="X107" s="36" t="e">
        <f t="shared" si="86"/>
        <v>#REF!</v>
      </c>
      <c r="Y107" s="86">
        <v>27.41</v>
      </c>
      <c r="Z107" s="5" t="e">
        <f t="shared" si="93"/>
        <v>#REF!</v>
      </c>
      <c r="AA107" s="181" t="e">
        <f t="shared" si="87"/>
        <v>#REF!</v>
      </c>
      <c r="AB107" s="109" t="e">
        <f t="shared" si="88"/>
        <v>#REF!</v>
      </c>
      <c r="AC107" t="s">
        <v>25</v>
      </c>
      <c r="AD107" s="136" t="e">
        <f t="shared" si="89"/>
        <v>#REF!</v>
      </c>
      <c r="AE107" t="s">
        <v>75</v>
      </c>
      <c r="AF107" s="125"/>
      <c r="AG107" s="125"/>
      <c r="AH107" s="125"/>
      <c r="AI107" s="129"/>
    </row>
    <row r="108" spans="1:35" x14ac:dyDescent="0.25">
      <c r="A108" t="s">
        <v>26</v>
      </c>
      <c r="B108" t="s">
        <v>50</v>
      </c>
      <c r="C108" s="53" t="e">
        <f>X148</f>
        <v>#REF!</v>
      </c>
      <c r="D108" s="175" t="e">
        <f>V148</f>
        <v>#REF!</v>
      </c>
      <c r="E108" s="60"/>
      <c r="F108" s="55"/>
      <c r="G108" s="34"/>
      <c r="H108" s="38"/>
      <c r="I108" s="55"/>
      <c r="J108" s="34"/>
      <c r="K108" s="38"/>
      <c r="L108" s="5"/>
      <c r="M108" s="34"/>
      <c r="O108" s="76"/>
      <c r="P108" s="34"/>
      <c r="R108" s="5"/>
      <c r="S108" s="34"/>
      <c r="U108" s="55" t="e">
        <f t="shared" si="83"/>
        <v>#REF!</v>
      </c>
      <c r="V108" s="128" t="e">
        <f t="shared" si="84"/>
        <v>#REF!</v>
      </c>
      <c r="W108" s="167" t="e">
        <f t="shared" si="85"/>
        <v>#REF!</v>
      </c>
      <c r="X108" s="36" t="e">
        <f t="shared" si="86"/>
        <v>#REF!</v>
      </c>
      <c r="Y108" s="86">
        <v>17.75</v>
      </c>
      <c r="Z108" s="5" t="e">
        <f t="shared" si="93"/>
        <v>#REF!</v>
      </c>
      <c r="AA108" s="181" t="e">
        <f t="shared" si="87"/>
        <v>#REF!</v>
      </c>
      <c r="AB108" s="109" t="e">
        <f t="shared" si="88"/>
        <v>#REF!</v>
      </c>
      <c r="AC108" t="s">
        <v>26</v>
      </c>
      <c r="AD108" s="136" t="e">
        <f t="shared" si="89"/>
        <v>#REF!</v>
      </c>
      <c r="AE108" t="s">
        <v>50</v>
      </c>
      <c r="AF108" s="125"/>
      <c r="AG108" s="125"/>
      <c r="AH108" s="125"/>
      <c r="AI108" s="129"/>
    </row>
    <row r="109" spans="1:35" x14ac:dyDescent="0.25">
      <c r="A109" t="s">
        <v>232</v>
      </c>
      <c r="B109" t="s">
        <v>232</v>
      </c>
      <c r="C109" s="53">
        <f>X149</f>
        <v>871</v>
      </c>
      <c r="D109" s="175">
        <f>V149</f>
        <v>11353.630000000001</v>
      </c>
      <c r="E109" s="60"/>
      <c r="F109" s="55">
        <v>19</v>
      </c>
      <c r="G109" s="34">
        <v>195.32</v>
      </c>
      <c r="H109" s="38"/>
      <c r="I109" s="55">
        <v>4</v>
      </c>
      <c r="J109" s="34">
        <v>38.92</v>
      </c>
      <c r="K109" s="38"/>
      <c r="L109" s="5">
        <v>0</v>
      </c>
      <c r="M109" s="34"/>
      <c r="O109" s="76"/>
      <c r="P109" s="34"/>
      <c r="R109" s="5"/>
      <c r="S109" s="34"/>
      <c r="U109" s="55">
        <f t="shared" si="83"/>
        <v>894</v>
      </c>
      <c r="V109" s="128">
        <f t="shared" si="84"/>
        <v>11587.87</v>
      </c>
      <c r="W109" s="167">
        <f t="shared" si="85"/>
        <v>12.961823266219239</v>
      </c>
      <c r="X109" s="36">
        <f t="shared" si="86"/>
        <v>894</v>
      </c>
      <c r="Y109" s="86">
        <v>9.74</v>
      </c>
      <c r="Z109" s="5">
        <f t="shared" si="93"/>
        <v>8707.56</v>
      </c>
      <c r="AA109" s="181">
        <f t="shared" si="87"/>
        <v>8707.56</v>
      </c>
      <c r="AB109" s="109">
        <f t="shared" si="88"/>
        <v>-2880.3100000000013</v>
      </c>
      <c r="AC109" t="s">
        <v>232</v>
      </c>
      <c r="AD109" s="136">
        <f t="shared" si="89"/>
        <v>-0.24856250544750685</v>
      </c>
      <c r="AE109" t="s">
        <v>232</v>
      </c>
      <c r="AF109" s="125"/>
      <c r="AG109" s="125"/>
      <c r="AH109" s="125"/>
      <c r="AI109" s="129"/>
    </row>
    <row r="110" spans="1:35" x14ac:dyDescent="0.25">
      <c r="A110" t="s">
        <v>316</v>
      </c>
      <c r="B110" t="s">
        <v>326</v>
      </c>
      <c r="C110" s="53">
        <f>X150</f>
        <v>2000</v>
      </c>
      <c r="D110" s="175">
        <f>V150</f>
        <v>10589.95</v>
      </c>
      <c r="E110" s="60"/>
      <c r="F110" s="55"/>
      <c r="G110" s="34"/>
      <c r="H110" s="38"/>
      <c r="I110" s="55"/>
      <c r="J110" s="34"/>
      <c r="K110" s="38"/>
      <c r="L110" s="5"/>
      <c r="M110" s="34"/>
      <c r="O110" s="76"/>
      <c r="P110" s="34"/>
      <c r="R110" s="5"/>
      <c r="S110" s="34"/>
      <c r="U110" s="55">
        <f t="shared" si="83"/>
        <v>2000</v>
      </c>
      <c r="V110" s="128">
        <f t="shared" si="84"/>
        <v>10589.95</v>
      </c>
      <c r="W110" s="167">
        <f t="shared" si="85"/>
        <v>5.294975</v>
      </c>
      <c r="X110" s="36">
        <f t="shared" si="86"/>
        <v>2000</v>
      </c>
      <c r="Y110" s="86">
        <v>14.1</v>
      </c>
      <c r="Z110" s="5">
        <f t="shared" si="93"/>
        <v>28200</v>
      </c>
      <c r="AA110" s="181">
        <f t="shared" si="87"/>
        <v>28200</v>
      </c>
      <c r="AB110" s="109">
        <f t="shared" si="88"/>
        <v>17610.05</v>
      </c>
      <c r="AC110" t="s">
        <v>316</v>
      </c>
      <c r="AD110" s="136">
        <f t="shared" si="89"/>
        <v>1.6629020911335746</v>
      </c>
      <c r="AE110" t="s">
        <v>326</v>
      </c>
      <c r="AF110" s="125"/>
      <c r="AG110" s="125"/>
      <c r="AH110" s="125"/>
      <c r="AI110" s="129"/>
    </row>
    <row r="111" spans="1:35" x14ac:dyDescent="0.25">
      <c r="A111" t="s">
        <v>27</v>
      </c>
      <c r="B111" t="s">
        <v>51</v>
      </c>
      <c r="C111" s="53" t="e">
        <f>X151</f>
        <v>#REF!</v>
      </c>
      <c r="D111" s="175" t="e">
        <f>V151</f>
        <v>#REF!</v>
      </c>
      <c r="E111" s="60"/>
      <c r="F111" s="55"/>
      <c r="G111" s="34"/>
      <c r="H111" s="38"/>
      <c r="I111" s="55"/>
      <c r="J111" s="34"/>
      <c r="K111" s="38"/>
      <c r="L111" s="5"/>
      <c r="M111" s="34"/>
      <c r="O111" s="76"/>
      <c r="P111" s="34"/>
      <c r="R111" s="5"/>
      <c r="S111" s="34"/>
      <c r="U111" s="55" t="e">
        <f t="shared" si="83"/>
        <v>#REF!</v>
      </c>
      <c r="V111" s="128" t="e">
        <f t="shared" si="84"/>
        <v>#REF!</v>
      </c>
      <c r="W111" s="167" t="e">
        <f t="shared" si="85"/>
        <v>#REF!</v>
      </c>
      <c r="X111" s="36" t="e">
        <f t="shared" si="86"/>
        <v>#REF!</v>
      </c>
      <c r="Y111" s="86">
        <v>83.44</v>
      </c>
      <c r="Z111" s="5" t="e">
        <f t="shared" si="93"/>
        <v>#REF!</v>
      </c>
      <c r="AA111" s="181" t="e">
        <f t="shared" si="87"/>
        <v>#REF!</v>
      </c>
      <c r="AB111" s="109" t="e">
        <f t="shared" si="88"/>
        <v>#REF!</v>
      </c>
      <c r="AC111" t="s">
        <v>27</v>
      </c>
      <c r="AD111" s="136" t="e">
        <f t="shared" si="89"/>
        <v>#REF!</v>
      </c>
      <c r="AE111" t="s">
        <v>51</v>
      </c>
      <c r="AF111" s="125"/>
      <c r="AG111" s="125"/>
      <c r="AH111" s="125"/>
      <c r="AI111" s="129"/>
    </row>
    <row r="112" spans="1:35" x14ac:dyDescent="0.25">
      <c r="A112" t="s">
        <v>419</v>
      </c>
      <c r="B112" t="s">
        <v>419</v>
      </c>
      <c r="C112" s="53"/>
      <c r="D112" s="175"/>
      <c r="E112" s="60"/>
      <c r="F112" s="55"/>
      <c r="G112" s="34"/>
      <c r="H112" s="38"/>
      <c r="I112" s="55"/>
      <c r="J112" s="34"/>
      <c r="K112" s="38"/>
      <c r="L112" s="5">
        <v>12500</v>
      </c>
      <c r="M112" s="34">
        <v>49809.7</v>
      </c>
      <c r="O112" s="76"/>
      <c r="P112" s="34"/>
      <c r="R112" s="5"/>
      <c r="S112" s="34"/>
      <c r="U112" s="55">
        <f t="shared" si="83"/>
        <v>12500</v>
      </c>
      <c r="V112" s="128">
        <f t="shared" si="84"/>
        <v>49809.7</v>
      </c>
      <c r="W112" s="167">
        <f t="shared" si="85"/>
        <v>3.9847759999999997</v>
      </c>
      <c r="X112" s="36">
        <f t="shared" si="86"/>
        <v>12500</v>
      </c>
      <c r="Y112" s="86">
        <v>5.36</v>
      </c>
      <c r="Z112" s="5">
        <f t="shared" si="93"/>
        <v>67000</v>
      </c>
      <c r="AA112" s="181">
        <f t="shared" si="87"/>
        <v>67000</v>
      </c>
      <c r="AB112" s="109">
        <f t="shared" si="88"/>
        <v>17190.300000000003</v>
      </c>
      <c r="AC112" t="s">
        <v>419</v>
      </c>
      <c r="AD112" s="136">
        <f t="shared" si="89"/>
        <v>0.34511952491181447</v>
      </c>
      <c r="AE112" t="s">
        <v>419</v>
      </c>
      <c r="AF112" s="125"/>
      <c r="AG112" s="125"/>
      <c r="AH112" s="125"/>
      <c r="AI112" s="129"/>
    </row>
    <row r="113" spans="1:35" x14ac:dyDescent="0.25">
      <c r="A113" t="s">
        <v>426</v>
      </c>
      <c r="B113" t="s">
        <v>427</v>
      </c>
      <c r="C113" s="53"/>
      <c r="D113" s="175"/>
      <c r="E113" s="60"/>
      <c r="F113" s="55"/>
      <c r="G113" s="34"/>
      <c r="H113" s="38"/>
      <c r="I113" s="55"/>
      <c r="J113" s="34"/>
      <c r="K113" s="38"/>
      <c r="L113" s="5"/>
      <c r="M113" s="34"/>
      <c r="O113" s="76">
        <v>6314</v>
      </c>
      <c r="P113" s="34">
        <v>26203.1</v>
      </c>
      <c r="R113" s="5"/>
      <c r="S113" s="34"/>
      <c r="U113" s="55">
        <f t="shared" ref="U113" si="94">+C113+F113+I113+L113+O113+R113</f>
        <v>6314</v>
      </c>
      <c r="V113" s="128">
        <f t="shared" ref="V113" si="95">+D113+G113+J113+M113+P113+S113</f>
        <v>26203.1</v>
      </c>
      <c r="W113" s="167">
        <f t="shared" si="85"/>
        <v>4.1499999999999995</v>
      </c>
      <c r="X113" s="36">
        <f>U113</f>
        <v>6314</v>
      </c>
      <c r="Y113" s="86">
        <v>5.36</v>
      </c>
      <c r="Z113" s="5">
        <f t="shared" si="93"/>
        <v>33843.040000000001</v>
      </c>
      <c r="AA113" s="181">
        <f t="shared" si="87"/>
        <v>33843.040000000001</v>
      </c>
      <c r="AB113" s="109">
        <f t="shared" si="88"/>
        <v>7639.9400000000023</v>
      </c>
      <c r="AC113" t="s">
        <v>426</v>
      </c>
      <c r="AD113" s="136">
        <f t="shared" si="89"/>
        <v>0.29156626506024108</v>
      </c>
      <c r="AE113" t="s">
        <v>427</v>
      </c>
      <c r="AF113" s="125"/>
      <c r="AG113" s="125"/>
      <c r="AH113" s="125"/>
      <c r="AI113" s="129"/>
    </row>
    <row r="114" spans="1:35" x14ac:dyDescent="0.25">
      <c r="A114" t="s">
        <v>394</v>
      </c>
      <c r="B114" t="s">
        <v>431</v>
      </c>
      <c r="C114" s="53">
        <f t="shared" ref="C114:C122" si="96">X153</f>
        <v>500</v>
      </c>
      <c r="D114" s="175">
        <f t="shared" ref="D114:D122" si="97">V153</f>
        <v>10704.95</v>
      </c>
      <c r="E114" s="60"/>
      <c r="F114" s="55"/>
      <c r="G114" s="34"/>
      <c r="H114" s="38"/>
      <c r="I114" s="55"/>
      <c r="J114" s="34"/>
      <c r="K114" s="38"/>
      <c r="L114" s="56"/>
      <c r="M114" s="34"/>
      <c r="O114" s="76"/>
      <c r="P114" s="34"/>
      <c r="R114" s="5"/>
      <c r="S114" s="34"/>
      <c r="U114" s="55">
        <f t="shared" si="83"/>
        <v>500</v>
      </c>
      <c r="V114" s="128">
        <f t="shared" si="84"/>
        <v>10704.95</v>
      </c>
      <c r="W114" s="167">
        <f t="shared" si="85"/>
        <v>21.4099</v>
      </c>
      <c r="X114" s="36">
        <f t="shared" si="86"/>
        <v>500</v>
      </c>
      <c r="Y114" s="86">
        <v>24.53</v>
      </c>
      <c r="Z114" s="5">
        <f>X114*Y114</f>
        <v>12265</v>
      </c>
      <c r="AA114" s="181">
        <f t="shared" si="87"/>
        <v>12265</v>
      </c>
      <c r="AB114" s="109">
        <f t="shared" si="88"/>
        <v>1560.0499999999993</v>
      </c>
      <c r="AC114" t="s">
        <v>394</v>
      </c>
      <c r="AD114" s="136">
        <f t="shared" si="89"/>
        <v>0.14573164750886264</v>
      </c>
      <c r="AE114" t="s">
        <v>431</v>
      </c>
      <c r="AF114" s="125"/>
      <c r="AG114" s="125"/>
      <c r="AH114" s="125"/>
      <c r="AI114" s="129"/>
    </row>
    <row r="115" spans="1:35" x14ac:dyDescent="0.25">
      <c r="A115" t="s">
        <v>284</v>
      </c>
      <c r="B115" t="s">
        <v>292</v>
      </c>
      <c r="C115" s="53">
        <f t="shared" si="96"/>
        <v>2296</v>
      </c>
      <c r="D115" s="175">
        <f t="shared" si="97"/>
        <v>6861.55</v>
      </c>
      <c r="E115" s="60"/>
      <c r="F115" s="55"/>
      <c r="G115" s="34"/>
      <c r="H115" s="38"/>
      <c r="I115" s="55"/>
      <c r="J115" s="34"/>
      <c r="K115" s="38"/>
      <c r="L115" s="5"/>
      <c r="M115" s="34"/>
      <c r="O115" s="76"/>
      <c r="P115" s="34"/>
      <c r="R115" s="5"/>
      <c r="S115" s="34"/>
      <c r="U115" s="55">
        <f t="shared" si="83"/>
        <v>2296</v>
      </c>
      <c r="V115" s="128">
        <f t="shared" si="84"/>
        <v>6861.55</v>
      </c>
      <c r="W115" s="167">
        <f t="shared" si="85"/>
        <v>2.9884799651567944</v>
      </c>
      <c r="X115" s="36">
        <f t="shared" si="86"/>
        <v>2296</v>
      </c>
      <c r="Y115" s="86">
        <v>4.46</v>
      </c>
      <c r="Z115" s="5">
        <f t="shared" ref="Z115:Z122" si="98">X115*Y115</f>
        <v>10240.16</v>
      </c>
      <c r="AA115" s="181">
        <f t="shared" si="87"/>
        <v>10240.16</v>
      </c>
      <c r="AB115" s="109">
        <f t="shared" si="88"/>
        <v>3378.6099999999997</v>
      </c>
      <c r="AC115" t="s">
        <v>284</v>
      </c>
      <c r="AD115" s="136">
        <f t="shared" si="89"/>
        <v>0.4923974903629646</v>
      </c>
      <c r="AE115" t="s">
        <v>292</v>
      </c>
      <c r="AF115" s="125"/>
      <c r="AG115" s="125"/>
      <c r="AH115" s="125"/>
      <c r="AI115" s="129"/>
    </row>
    <row r="116" spans="1:35" x14ac:dyDescent="0.25">
      <c r="A116" t="s">
        <v>395</v>
      </c>
      <c r="B116" t="s">
        <v>430</v>
      </c>
      <c r="C116" s="53">
        <f t="shared" si="96"/>
        <v>1000</v>
      </c>
      <c r="D116" s="175">
        <f t="shared" si="97"/>
        <v>10689.95</v>
      </c>
      <c r="E116" s="60"/>
      <c r="F116" s="55"/>
      <c r="G116" s="34"/>
      <c r="H116" s="38"/>
      <c r="I116" s="55"/>
      <c r="J116" s="34"/>
      <c r="K116" s="38"/>
      <c r="L116" s="5"/>
      <c r="M116" s="34">
        <v>0</v>
      </c>
      <c r="O116" s="76">
        <v>82</v>
      </c>
      <c r="P116" s="34">
        <v>934.8</v>
      </c>
      <c r="R116" s="5"/>
      <c r="S116" s="34"/>
      <c r="U116" s="55">
        <f t="shared" si="83"/>
        <v>1082</v>
      </c>
      <c r="V116" s="128">
        <f t="shared" si="84"/>
        <v>11624.75</v>
      </c>
      <c r="W116" s="167">
        <f t="shared" si="85"/>
        <v>10.743761552680223</v>
      </c>
      <c r="X116" s="36">
        <f t="shared" si="86"/>
        <v>1082</v>
      </c>
      <c r="Y116" s="86">
        <v>11.97</v>
      </c>
      <c r="Z116" s="5">
        <f t="shared" si="98"/>
        <v>12951.54</v>
      </c>
      <c r="AA116" s="181">
        <f t="shared" si="87"/>
        <v>12951.54</v>
      </c>
      <c r="AB116" s="109">
        <f t="shared" si="88"/>
        <v>1326.7900000000009</v>
      </c>
      <c r="AC116" t="s">
        <v>395</v>
      </c>
      <c r="AD116" s="136">
        <f t="shared" si="89"/>
        <v>0.11413492763285239</v>
      </c>
      <c r="AE116" t="s">
        <v>430</v>
      </c>
      <c r="AF116" s="125"/>
      <c r="AG116" s="125"/>
      <c r="AH116" s="125"/>
      <c r="AI116" s="129"/>
    </row>
    <row r="117" spans="1:35" x14ac:dyDescent="0.25">
      <c r="A117" t="s">
        <v>28</v>
      </c>
      <c r="B117" t="s">
        <v>52</v>
      </c>
      <c r="C117" s="53" t="e">
        <f t="shared" si="96"/>
        <v>#REF!</v>
      </c>
      <c r="D117" s="175" t="e">
        <f t="shared" si="97"/>
        <v>#REF!</v>
      </c>
      <c r="E117" s="60"/>
      <c r="F117" s="55"/>
      <c r="G117" s="34"/>
      <c r="H117" s="38"/>
      <c r="I117" s="55"/>
      <c r="J117" s="34"/>
      <c r="K117" s="38"/>
      <c r="L117" s="5"/>
      <c r="M117" s="34"/>
      <c r="O117" s="76"/>
      <c r="P117" s="34"/>
      <c r="R117" s="5"/>
      <c r="S117" s="34"/>
      <c r="U117" s="55" t="e">
        <f t="shared" si="83"/>
        <v>#REF!</v>
      </c>
      <c r="V117" s="128" t="e">
        <f t="shared" si="84"/>
        <v>#REF!</v>
      </c>
      <c r="W117" s="167" t="e">
        <f t="shared" si="85"/>
        <v>#REF!</v>
      </c>
      <c r="X117" s="36" t="e">
        <f t="shared" si="86"/>
        <v>#REF!</v>
      </c>
      <c r="Y117" s="86">
        <v>2.62</v>
      </c>
      <c r="Z117" s="5" t="e">
        <f t="shared" si="98"/>
        <v>#REF!</v>
      </c>
      <c r="AA117" s="181" t="e">
        <f t="shared" si="87"/>
        <v>#REF!</v>
      </c>
      <c r="AB117" s="109" t="e">
        <f t="shared" si="88"/>
        <v>#REF!</v>
      </c>
      <c r="AC117" t="s">
        <v>28</v>
      </c>
      <c r="AD117" s="136" t="e">
        <f t="shared" si="89"/>
        <v>#REF!</v>
      </c>
      <c r="AE117" t="s">
        <v>52</v>
      </c>
      <c r="AF117" s="125"/>
      <c r="AG117" s="125"/>
      <c r="AH117" s="125"/>
      <c r="AI117" s="129"/>
    </row>
    <row r="118" spans="1:35" x14ac:dyDescent="0.25">
      <c r="A118" t="s">
        <v>29</v>
      </c>
      <c r="B118" t="s">
        <v>76</v>
      </c>
      <c r="C118" s="53" t="e">
        <f t="shared" si="96"/>
        <v>#REF!</v>
      </c>
      <c r="D118" s="175" t="e">
        <f t="shared" si="97"/>
        <v>#REF!</v>
      </c>
      <c r="E118" s="60"/>
      <c r="F118" s="55"/>
      <c r="G118" s="34"/>
      <c r="H118" s="38"/>
      <c r="I118" s="55"/>
      <c r="J118" s="34"/>
      <c r="K118" s="38"/>
      <c r="L118" s="5"/>
      <c r="M118" s="34"/>
      <c r="O118" s="76"/>
      <c r="P118" s="34"/>
      <c r="R118" s="5"/>
      <c r="S118" s="34"/>
      <c r="U118" s="55" t="e">
        <f t="shared" si="83"/>
        <v>#REF!</v>
      </c>
      <c r="V118" s="128" t="e">
        <f t="shared" si="84"/>
        <v>#REF!</v>
      </c>
      <c r="W118" s="167" t="e">
        <f t="shared" si="85"/>
        <v>#REF!</v>
      </c>
      <c r="X118" s="36" t="e">
        <f t="shared" si="86"/>
        <v>#REF!</v>
      </c>
      <c r="Y118" s="86">
        <v>17.39</v>
      </c>
      <c r="Z118" s="5" t="e">
        <f t="shared" si="98"/>
        <v>#REF!</v>
      </c>
      <c r="AA118" s="181" t="e">
        <f t="shared" si="87"/>
        <v>#REF!</v>
      </c>
      <c r="AB118" s="109" t="e">
        <f t="shared" si="88"/>
        <v>#REF!</v>
      </c>
      <c r="AC118" t="s">
        <v>29</v>
      </c>
      <c r="AD118" s="136" t="e">
        <f t="shared" si="89"/>
        <v>#REF!</v>
      </c>
      <c r="AE118" t="s">
        <v>76</v>
      </c>
      <c r="AF118" s="125"/>
      <c r="AG118" s="125"/>
      <c r="AH118" s="125"/>
      <c r="AI118" s="129"/>
    </row>
    <row r="119" spans="1:35" x14ac:dyDescent="0.25">
      <c r="A119" t="s">
        <v>32</v>
      </c>
      <c r="B119" t="s">
        <v>53</v>
      </c>
      <c r="C119" s="53">
        <f t="shared" si="96"/>
        <v>1984</v>
      </c>
      <c r="D119" s="175" t="e">
        <f t="shared" si="97"/>
        <v>#REF!</v>
      </c>
      <c r="E119" s="60"/>
      <c r="F119" s="55"/>
      <c r="G119" s="34"/>
      <c r="H119" s="38"/>
      <c r="I119" s="55"/>
      <c r="J119" s="34"/>
      <c r="K119" s="38"/>
      <c r="L119" s="5"/>
      <c r="M119" s="34"/>
      <c r="O119" s="76"/>
      <c r="P119" s="34"/>
      <c r="R119" s="5"/>
      <c r="S119" s="34"/>
      <c r="U119" s="55">
        <f t="shared" si="83"/>
        <v>1984</v>
      </c>
      <c r="V119" s="128" t="e">
        <f t="shared" si="84"/>
        <v>#REF!</v>
      </c>
      <c r="W119" s="167" t="e">
        <f t="shared" si="85"/>
        <v>#REF!</v>
      </c>
      <c r="X119" s="36">
        <f t="shared" si="86"/>
        <v>1984</v>
      </c>
      <c r="Y119" s="86">
        <v>29.3</v>
      </c>
      <c r="Z119" s="5">
        <f t="shared" si="98"/>
        <v>58131.200000000004</v>
      </c>
      <c r="AA119" s="181">
        <f t="shared" si="87"/>
        <v>58131.200000000004</v>
      </c>
      <c r="AB119" s="109" t="e">
        <f t="shared" si="88"/>
        <v>#REF!</v>
      </c>
      <c r="AC119" t="s">
        <v>32</v>
      </c>
      <c r="AD119" s="136" t="e">
        <f t="shared" si="89"/>
        <v>#REF!</v>
      </c>
      <c r="AE119" t="s">
        <v>53</v>
      </c>
      <c r="AF119" s="125"/>
      <c r="AG119" s="125"/>
      <c r="AH119" s="125"/>
      <c r="AI119" s="129"/>
    </row>
    <row r="120" spans="1:35" x14ac:dyDescent="0.25">
      <c r="A120" t="s">
        <v>231</v>
      </c>
      <c r="B120" t="s">
        <v>229</v>
      </c>
      <c r="C120" s="53">
        <f t="shared" si="96"/>
        <v>900</v>
      </c>
      <c r="D120" s="175">
        <f t="shared" si="97"/>
        <v>33396.75</v>
      </c>
      <c r="E120" s="60"/>
      <c r="F120" s="55"/>
      <c r="G120" s="34"/>
      <c r="H120" s="38"/>
      <c r="I120" s="55"/>
      <c r="J120" s="34"/>
      <c r="K120" s="38"/>
      <c r="L120" s="5"/>
      <c r="M120" s="34"/>
      <c r="O120" s="76"/>
      <c r="P120" s="34"/>
      <c r="R120" s="5"/>
      <c r="S120" s="34"/>
      <c r="U120" s="55">
        <f t="shared" si="83"/>
        <v>900</v>
      </c>
      <c r="V120" s="128">
        <f t="shared" si="84"/>
        <v>33396.75</v>
      </c>
      <c r="W120" s="167">
        <f t="shared" si="85"/>
        <v>37.107500000000002</v>
      </c>
      <c r="X120" s="36">
        <f t="shared" si="86"/>
        <v>900</v>
      </c>
      <c r="Y120" s="86">
        <v>49.36</v>
      </c>
      <c r="Z120" s="5">
        <f t="shared" si="98"/>
        <v>44424</v>
      </c>
      <c r="AA120" s="181">
        <f t="shared" si="87"/>
        <v>44424</v>
      </c>
      <c r="AB120" s="109">
        <f t="shared" si="88"/>
        <v>11027.25</v>
      </c>
      <c r="AC120" t="s">
        <v>231</v>
      </c>
      <c r="AD120" s="136">
        <f t="shared" si="89"/>
        <v>0.33018931482853869</v>
      </c>
      <c r="AE120" t="s">
        <v>229</v>
      </c>
      <c r="AF120" s="125"/>
      <c r="AG120" s="125"/>
      <c r="AH120" s="125"/>
      <c r="AI120" s="129"/>
    </row>
    <row r="121" spans="1:35" x14ac:dyDescent="0.25">
      <c r="A121" t="s">
        <v>30</v>
      </c>
      <c r="B121" t="s">
        <v>55</v>
      </c>
      <c r="C121" s="53">
        <f t="shared" si="96"/>
        <v>870</v>
      </c>
      <c r="D121" s="175" t="e">
        <f t="shared" si="97"/>
        <v>#REF!</v>
      </c>
      <c r="E121" s="60"/>
      <c r="F121" s="55"/>
      <c r="G121" s="34"/>
      <c r="H121" s="38"/>
      <c r="I121" s="55"/>
      <c r="J121" s="34"/>
      <c r="K121" s="38"/>
      <c r="L121" s="5"/>
      <c r="M121" s="34">
        <v>0</v>
      </c>
      <c r="O121" s="76">
        <v>97</v>
      </c>
      <c r="P121" s="34">
        <v>2619</v>
      </c>
      <c r="R121" s="5"/>
      <c r="S121" s="34"/>
      <c r="U121" s="55">
        <f t="shared" si="83"/>
        <v>967</v>
      </c>
      <c r="V121" s="128" t="e">
        <f t="shared" si="84"/>
        <v>#REF!</v>
      </c>
      <c r="W121" s="167" t="e">
        <f t="shared" si="85"/>
        <v>#REF!</v>
      </c>
      <c r="X121" s="36">
        <f t="shared" si="86"/>
        <v>967</v>
      </c>
      <c r="Y121" s="86">
        <v>35.46</v>
      </c>
      <c r="Z121" s="5">
        <f t="shared" si="98"/>
        <v>34289.82</v>
      </c>
      <c r="AA121" s="181">
        <f t="shared" si="87"/>
        <v>34289.82</v>
      </c>
      <c r="AB121" s="109" t="e">
        <f t="shared" si="88"/>
        <v>#REF!</v>
      </c>
      <c r="AC121" t="s">
        <v>30</v>
      </c>
      <c r="AD121" s="136" t="e">
        <f t="shared" si="89"/>
        <v>#REF!</v>
      </c>
      <c r="AE121" t="s">
        <v>55</v>
      </c>
      <c r="AF121" s="125"/>
      <c r="AG121" s="125"/>
      <c r="AH121" s="125"/>
      <c r="AI121" s="129"/>
    </row>
    <row r="122" spans="1:35" x14ac:dyDescent="0.25">
      <c r="A122" t="s">
        <v>31</v>
      </c>
      <c r="B122" t="s">
        <v>54</v>
      </c>
      <c r="C122" s="53" t="e">
        <f t="shared" si="96"/>
        <v>#REF!</v>
      </c>
      <c r="D122" s="175" t="e">
        <f t="shared" si="97"/>
        <v>#REF!</v>
      </c>
      <c r="E122" s="60"/>
      <c r="F122" s="55"/>
      <c r="G122" s="34"/>
      <c r="H122" s="38"/>
      <c r="I122" s="55"/>
      <c r="J122" s="34"/>
      <c r="K122" s="38"/>
      <c r="L122" s="5"/>
      <c r="M122" s="34"/>
      <c r="O122" s="76"/>
      <c r="P122" s="34"/>
      <c r="R122" s="5"/>
      <c r="S122" s="34"/>
      <c r="U122" s="55" t="e">
        <f t="shared" si="83"/>
        <v>#REF!</v>
      </c>
      <c r="V122" s="128" t="e">
        <f t="shared" si="84"/>
        <v>#REF!</v>
      </c>
      <c r="W122" s="167" t="e">
        <f t="shared" si="85"/>
        <v>#REF!</v>
      </c>
      <c r="X122" s="36" t="e">
        <f t="shared" si="86"/>
        <v>#REF!</v>
      </c>
      <c r="Y122" s="86">
        <v>30.52</v>
      </c>
      <c r="Z122" s="5" t="e">
        <f t="shared" si="98"/>
        <v>#REF!</v>
      </c>
      <c r="AA122" s="181" t="e">
        <f t="shared" si="87"/>
        <v>#REF!</v>
      </c>
      <c r="AB122" s="109" t="e">
        <f t="shared" si="88"/>
        <v>#REF!</v>
      </c>
      <c r="AC122" t="s">
        <v>31</v>
      </c>
      <c r="AD122" s="136" t="e">
        <f t="shared" si="89"/>
        <v>#REF!</v>
      </c>
      <c r="AE122" t="s">
        <v>54</v>
      </c>
      <c r="AF122" s="125"/>
      <c r="AG122" s="125"/>
      <c r="AH122" s="125"/>
      <c r="AI122" s="129"/>
    </row>
    <row r="123" spans="1:35" x14ac:dyDescent="0.25">
      <c r="C123" s="34"/>
      <c r="D123" s="57" t="e">
        <f>SUM(D90:D122)</f>
        <v>#REF!</v>
      </c>
      <c r="E123" s="61"/>
      <c r="F123" s="68"/>
      <c r="G123" s="57">
        <f>SUM(G92:G122)</f>
        <v>195.32</v>
      </c>
      <c r="H123" s="27"/>
      <c r="I123" s="68"/>
      <c r="J123" s="57">
        <f>SUM(J90:J122)</f>
        <v>38.92</v>
      </c>
      <c r="K123" s="61"/>
      <c r="L123" s="34"/>
      <c r="M123" s="69">
        <f>SUM(M90:M122)</f>
        <v>134472.74</v>
      </c>
      <c r="N123" s="38"/>
      <c r="O123" s="76"/>
      <c r="P123" s="57">
        <f>SUM(P92:P122)</f>
        <v>29756.899999999998</v>
      </c>
      <c r="R123" s="5"/>
      <c r="S123" s="57">
        <f>SUM(S92:S122)</f>
        <v>0</v>
      </c>
      <c r="U123" s="5"/>
      <c r="V123" s="57" t="e">
        <f>SUM(V90:V122)</f>
        <v>#REF!</v>
      </c>
      <c r="X123" s="3"/>
      <c r="Y123" s="83"/>
      <c r="Z123" s="33" t="e">
        <f>SUM(Z90:Z122)</f>
        <v>#REF!</v>
      </c>
      <c r="AA123" s="137" t="e">
        <f>SUM(AA90:AA122)</f>
        <v>#REF!</v>
      </c>
      <c r="AB123" s="109" t="e">
        <f t="shared" ref="AB123" si="99">AA123-V123</f>
        <v>#REF!</v>
      </c>
      <c r="AC123" s="135"/>
      <c r="AD123" s="136" t="e">
        <f t="shared" si="89"/>
        <v>#REF!</v>
      </c>
      <c r="AF123" s="125"/>
      <c r="AG123" s="125"/>
      <c r="AH123" s="125"/>
      <c r="AI123" s="129"/>
    </row>
    <row r="124" spans="1:35" x14ac:dyDescent="0.25">
      <c r="C124" s="63" t="s">
        <v>176</v>
      </c>
      <c r="D124" s="64" t="e">
        <f>D123</f>
        <v>#REF!</v>
      </c>
      <c r="F124" s="63" t="s">
        <v>176</v>
      </c>
      <c r="G124" s="64">
        <f>G123</f>
        <v>195.32</v>
      </c>
      <c r="I124" s="63" t="s">
        <v>176</v>
      </c>
      <c r="J124" s="67">
        <f>J123</f>
        <v>38.92</v>
      </c>
      <c r="K124" s="72"/>
      <c r="L124" s="63" t="s">
        <v>176</v>
      </c>
      <c r="M124" s="67">
        <f>M123</f>
        <v>134472.74</v>
      </c>
      <c r="N124" s="70"/>
      <c r="O124" s="63" t="s">
        <v>176</v>
      </c>
      <c r="P124" s="67">
        <f>P123</f>
        <v>29756.899999999998</v>
      </c>
      <c r="R124" s="63" t="s">
        <v>176</v>
      </c>
      <c r="S124" s="67">
        <f>S123</f>
        <v>0</v>
      </c>
      <c r="V124" s="2" t="e">
        <f>V123</f>
        <v>#REF!</v>
      </c>
      <c r="Z124" s="85" t="s">
        <v>176</v>
      </c>
      <c r="AA124" s="73"/>
      <c r="AB124" s="108"/>
      <c r="AC124" s="132"/>
      <c r="AD124" s="132"/>
      <c r="AF124" s="125"/>
      <c r="AG124" s="125"/>
      <c r="AH124" s="125"/>
      <c r="AI124" s="129"/>
    </row>
    <row r="125" spans="1:35" x14ac:dyDescent="0.25">
      <c r="B125" s="29"/>
      <c r="O125" t="s">
        <v>327</v>
      </c>
      <c r="P125" s="12" t="e">
        <f>#REF!+#REF!</f>
        <v>#REF!</v>
      </c>
      <c r="AE125" s="29"/>
      <c r="AF125" s="125"/>
      <c r="AG125" s="125"/>
      <c r="AH125" s="125"/>
      <c r="AI125" s="129"/>
    </row>
    <row r="126" spans="1:35" x14ac:dyDescent="0.25">
      <c r="B126" s="29"/>
      <c r="X126">
        <f>2794/48203</f>
        <v>5.7963197311370659E-2</v>
      </c>
      <c r="AB126" t="s">
        <v>428</v>
      </c>
      <c r="AC126" s="12" t="e">
        <f>AB121+AB117+AB109+AB108+AB105+AB103+AB98+AB94+AB93+AB91</f>
        <v>#REF!</v>
      </c>
      <c r="AE126" s="29"/>
      <c r="AF126" s="125"/>
      <c r="AG126" s="125"/>
      <c r="AH126" s="125"/>
      <c r="AI126" s="129"/>
    </row>
    <row r="127" spans="1:35" x14ac:dyDescent="0.25">
      <c r="B127" s="29"/>
      <c r="X127">
        <f>2794/27944</f>
        <v>9.9985685657028339E-2</v>
      </c>
      <c r="AB127" t="s">
        <v>429</v>
      </c>
      <c r="AC127" s="12" t="e">
        <f>AB123-AC126</f>
        <v>#REF!</v>
      </c>
      <c r="AE127" s="29"/>
      <c r="AF127" s="125"/>
      <c r="AG127" s="125"/>
      <c r="AH127" s="125"/>
      <c r="AI127" s="129"/>
    </row>
    <row r="128" spans="1:35" x14ac:dyDescent="0.25">
      <c r="B128" s="29"/>
      <c r="AE128" s="29"/>
      <c r="AF128" s="125"/>
      <c r="AG128" s="125"/>
      <c r="AH128" s="125"/>
      <c r="AI128" s="129"/>
    </row>
    <row r="129" spans="1:35" x14ac:dyDescent="0.25">
      <c r="A129" t="s">
        <v>170</v>
      </c>
      <c r="C129" s="51">
        <v>42551</v>
      </c>
      <c r="D129" s="51">
        <v>42551</v>
      </c>
      <c r="E129" s="48"/>
      <c r="F129" s="3" t="s">
        <v>174</v>
      </c>
      <c r="G129" s="3"/>
      <c r="H129" s="20"/>
      <c r="I129" s="32" t="s">
        <v>174</v>
      </c>
      <c r="J129" s="3"/>
      <c r="K129" s="20"/>
      <c r="L129" s="32" t="s">
        <v>317</v>
      </c>
      <c r="M129" s="3"/>
      <c r="O129" s="74"/>
      <c r="P129" s="71"/>
      <c r="R129" s="74"/>
      <c r="S129" s="75"/>
      <c r="U129" s="77">
        <v>42916</v>
      </c>
      <c r="V129" s="71"/>
      <c r="X129" s="77">
        <v>42916</v>
      </c>
      <c r="Y129" s="80"/>
      <c r="Z129" s="71"/>
      <c r="AA129" s="51">
        <v>42916</v>
      </c>
      <c r="AB129" s="3"/>
      <c r="AC129" s="4" t="s">
        <v>170</v>
      </c>
      <c r="AD129" s="4" t="s">
        <v>296</v>
      </c>
      <c r="AF129" s="125"/>
      <c r="AG129" s="125"/>
      <c r="AH129" s="125"/>
      <c r="AI129" s="129"/>
    </row>
    <row r="130" spans="1:35" ht="30" x14ac:dyDescent="0.25">
      <c r="A130" s="1" t="s">
        <v>171</v>
      </c>
      <c r="B130" s="39" t="s">
        <v>42</v>
      </c>
      <c r="C130" s="52" t="s">
        <v>172</v>
      </c>
      <c r="D130" s="4" t="s">
        <v>173</v>
      </c>
      <c r="E130" s="58"/>
      <c r="F130" s="4" t="s">
        <v>175</v>
      </c>
      <c r="G130" s="4" t="s">
        <v>173</v>
      </c>
      <c r="H130" s="58"/>
      <c r="I130" s="52" t="s">
        <v>172</v>
      </c>
      <c r="J130" s="4" t="s">
        <v>173</v>
      </c>
      <c r="K130" s="58"/>
      <c r="L130" s="52" t="s">
        <v>172</v>
      </c>
      <c r="M130" s="4" t="s">
        <v>173</v>
      </c>
      <c r="O130" s="52" t="s">
        <v>172</v>
      </c>
      <c r="P130" s="4" t="s">
        <v>173</v>
      </c>
      <c r="R130" s="52" t="s">
        <v>172</v>
      </c>
      <c r="S130" s="4" t="s">
        <v>173</v>
      </c>
      <c r="U130" s="52" t="s">
        <v>172</v>
      </c>
      <c r="V130" s="4" t="s">
        <v>173</v>
      </c>
      <c r="X130" s="78" t="s">
        <v>172</v>
      </c>
      <c r="Y130" s="79" t="s">
        <v>203</v>
      </c>
      <c r="Z130" s="3" t="s">
        <v>93</v>
      </c>
      <c r="AA130" s="3" t="s">
        <v>294</v>
      </c>
      <c r="AB130" s="3" t="s">
        <v>295</v>
      </c>
      <c r="AC130" s="133" t="s">
        <v>171</v>
      </c>
      <c r="AD130" s="133" t="s">
        <v>297</v>
      </c>
      <c r="AE130" s="39" t="s">
        <v>42</v>
      </c>
      <c r="AF130" s="125"/>
      <c r="AG130" s="125"/>
      <c r="AH130" s="125"/>
      <c r="AI130" s="129"/>
    </row>
    <row r="131" spans="1:35" x14ac:dyDescent="0.25">
      <c r="A131" t="s">
        <v>392</v>
      </c>
      <c r="B131" t="s">
        <v>393</v>
      </c>
      <c r="C131" s="53">
        <v>0</v>
      </c>
      <c r="D131" s="54"/>
      <c r="E131" s="59"/>
      <c r="F131" s="54"/>
      <c r="G131" s="54"/>
      <c r="H131" s="59"/>
      <c r="I131" s="54"/>
      <c r="J131" s="3"/>
      <c r="K131" s="20"/>
      <c r="L131" s="54">
        <v>700</v>
      </c>
      <c r="M131" s="3">
        <v>10484.450000000001</v>
      </c>
      <c r="N131" s="28"/>
      <c r="O131" s="3"/>
      <c r="P131" s="34"/>
      <c r="R131" s="5"/>
      <c r="S131" s="34"/>
      <c r="U131" s="55">
        <f>+C131+F131+I131+L131+O131+R131</f>
        <v>700</v>
      </c>
      <c r="V131" s="128">
        <f>+D131+G131+J131+M131+P131+S131</f>
        <v>10484.450000000001</v>
      </c>
      <c r="X131" s="3">
        <v>700</v>
      </c>
      <c r="Y131" s="3">
        <v>22.56</v>
      </c>
      <c r="Z131" s="34">
        <f>X131*Y131</f>
        <v>15792</v>
      </c>
      <c r="AA131" s="168">
        <f>Z131</f>
        <v>15792</v>
      </c>
      <c r="AC131" s="132"/>
      <c r="AD131" s="132"/>
      <c r="AF131" s="125"/>
      <c r="AG131" s="125"/>
      <c r="AH131" s="125"/>
      <c r="AI131" s="129"/>
    </row>
    <row r="132" spans="1:35" x14ac:dyDescent="0.25">
      <c r="A132" t="s">
        <v>16</v>
      </c>
      <c r="B132" t="s">
        <v>43</v>
      </c>
      <c r="C132" s="55" t="e">
        <f>U168</f>
        <v>#REF!</v>
      </c>
      <c r="D132" s="56" t="e">
        <f>V168</f>
        <v>#REF!</v>
      </c>
      <c r="E132" s="60"/>
      <c r="F132" s="68"/>
      <c r="G132" s="34"/>
      <c r="H132" s="38"/>
      <c r="I132" s="55"/>
      <c r="J132" s="34"/>
      <c r="K132" s="38"/>
      <c r="L132" s="5"/>
      <c r="M132" s="34"/>
      <c r="O132" s="76"/>
      <c r="P132" s="34"/>
      <c r="R132" s="5"/>
      <c r="S132" s="34"/>
      <c r="U132" s="55" t="e">
        <f>+C132+F132+I132+L132+O132+R132</f>
        <v>#REF!</v>
      </c>
      <c r="V132" s="128" t="e">
        <f>+D132+G132+J132+M132+P132+S132</f>
        <v>#REF!</v>
      </c>
      <c r="X132" s="81" t="e">
        <f>U132</f>
        <v>#REF!</v>
      </c>
      <c r="Y132" s="82">
        <v>23.28</v>
      </c>
      <c r="Z132" s="34" t="e">
        <f>X132*Y132</f>
        <v>#REF!</v>
      </c>
      <c r="AA132" s="134" t="e">
        <f>Z132</f>
        <v>#REF!</v>
      </c>
      <c r="AB132" s="109" t="e">
        <f>AA132-V132</f>
        <v>#REF!</v>
      </c>
      <c r="AC132" t="s">
        <v>16</v>
      </c>
      <c r="AD132" s="136" t="e">
        <f>AB132/V132</f>
        <v>#REF!</v>
      </c>
      <c r="AE132" t="s">
        <v>43</v>
      </c>
      <c r="AF132" s="125"/>
      <c r="AG132" s="125"/>
      <c r="AH132" s="125"/>
      <c r="AI132" s="129"/>
    </row>
    <row r="133" spans="1:35" x14ac:dyDescent="0.25">
      <c r="A133" t="s">
        <v>347</v>
      </c>
      <c r="B133" t="s">
        <v>343</v>
      </c>
      <c r="C133" s="55">
        <f t="shared" ref="C133:D133" si="100">U169</f>
        <v>810</v>
      </c>
      <c r="D133" s="56">
        <f t="shared" si="100"/>
        <v>10049.65</v>
      </c>
      <c r="E133" s="60"/>
      <c r="F133" s="68"/>
      <c r="G133" s="34"/>
      <c r="H133" s="38"/>
      <c r="I133" s="55"/>
      <c r="J133" s="34"/>
      <c r="K133" s="38"/>
      <c r="L133" s="5"/>
      <c r="M133" s="34"/>
      <c r="O133" s="76"/>
      <c r="P133" s="34"/>
      <c r="R133" s="5"/>
      <c r="S133" s="34"/>
      <c r="U133" s="55">
        <f t="shared" ref="U133:U161" si="101">+C133+F133+I133+L133+O133+R133</f>
        <v>810</v>
      </c>
      <c r="V133" s="128">
        <f t="shared" ref="V133:V161" si="102">+D133+G133+J133+M133+P133+S133</f>
        <v>10049.65</v>
      </c>
      <c r="X133" s="81">
        <f>U133</f>
        <v>810</v>
      </c>
      <c r="Y133" s="86">
        <v>11.45</v>
      </c>
      <c r="Z133" s="34">
        <f t="shared" ref="Z133:Z161" si="103">X133*Y133</f>
        <v>9274.5</v>
      </c>
      <c r="AA133" s="134">
        <f t="shared" ref="AA133:AA161" si="104">Z133</f>
        <v>9274.5</v>
      </c>
      <c r="AB133" s="109">
        <f t="shared" ref="AB133:AB162" si="105">AA133-V133</f>
        <v>-775.14999999999964</v>
      </c>
      <c r="AC133" t="s">
        <v>347</v>
      </c>
      <c r="AD133" s="136">
        <v>0</v>
      </c>
      <c r="AE133" t="s">
        <v>343</v>
      </c>
      <c r="AF133" s="125"/>
      <c r="AG133" s="125"/>
      <c r="AH133" s="125"/>
      <c r="AI133" s="129"/>
    </row>
    <row r="134" spans="1:35" x14ac:dyDescent="0.25">
      <c r="A134" t="s">
        <v>18</v>
      </c>
      <c r="B134" t="s">
        <v>60</v>
      </c>
      <c r="C134" s="55" t="e">
        <f t="shared" ref="C134:D134" si="106">U170</f>
        <v>#REF!</v>
      </c>
      <c r="D134" s="56" t="e">
        <f t="shared" si="106"/>
        <v>#REF!</v>
      </c>
      <c r="E134" s="60"/>
      <c r="F134" s="55"/>
      <c r="G134" s="34"/>
      <c r="H134" s="38"/>
      <c r="I134" s="55"/>
      <c r="J134" s="34"/>
      <c r="K134" s="38"/>
      <c r="L134" s="5"/>
      <c r="M134" s="34"/>
      <c r="O134" s="76"/>
      <c r="P134" s="34"/>
      <c r="R134" s="5"/>
      <c r="S134" s="34"/>
      <c r="U134" s="55" t="e">
        <f t="shared" si="101"/>
        <v>#REF!</v>
      </c>
      <c r="V134" s="128" t="e">
        <f t="shared" si="102"/>
        <v>#REF!</v>
      </c>
      <c r="X134" s="81">
        <v>3381</v>
      </c>
      <c r="Y134" s="86">
        <v>82.81</v>
      </c>
      <c r="Z134" s="34">
        <f t="shared" si="103"/>
        <v>279980.61</v>
      </c>
      <c r="AA134" s="134">
        <f t="shared" si="104"/>
        <v>279980.61</v>
      </c>
      <c r="AB134" s="109" t="e">
        <f t="shared" si="105"/>
        <v>#REF!</v>
      </c>
      <c r="AC134" t="s">
        <v>18</v>
      </c>
      <c r="AD134" s="136" t="e">
        <f t="shared" ref="AD134:AD137" si="107">AB134/V134</f>
        <v>#REF!</v>
      </c>
      <c r="AE134" t="s">
        <v>60</v>
      </c>
      <c r="AF134" s="125"/>
      <c r="AG134" s="125"/>
      <c r="AH134" s="125"/>
      <c r="AI134" s="129"/>
    </row>
    <row r="135" spans="1:35" x14ac:dyDescent="0.25">
      <c r="A135" t="s">
        <v>189</v>
      </c>
      <c r="B135" t="s">
        <v>45</v>
      </c>
      <c r="C135" s="55" t="e">
        <f t="shared" ref="C135:D135" si="108">U171</f>
        <v>#REF!</v>
      </c>
      <c r="D135" s="56" t="e">
        <f t="shared" si="108"/>
        <v>#REF!</v>
      </c>
      <c r="E135" s="60"/>
      <c r="F135" s="55"/>
      <c r="G135" s="34"/>
      <c r="H135" s="38"/>
      <c r="I135" s="55"/>
      <c r="J135" s="34"/>
      <c r="K135" s="38"/>
      <c r="L135" s="5"/>
      <c r="M135" s="34"/>
      <c r="O135" s="76"/>
      <c r="P135" s="34"/>
      <c r="R135" s="5"/>
      <c r="S135" s="34"/>
      <c r="U135" s="55" t="e">
        <f t="shared" si="101"/>
        <v>#REF!</v>
      </c>
      <c r="V135" s="128" t="e">
        <f t="shared" si="102"/>
        <v>#REF!</v>
      </c>
      <c r="X135" s="81" t="e">
        <f t="shared" ref="X135:X137" si="109">U135</f>
        <v>#REF!</v>
      </c>
      <c r="Y135" s="86">
        <v>9.23</v>
      </c>
      <c r="Z135" s="34" t="e">
        <f t="shared" si="103"/>
        <v>#REF!</v>
      </c>
      <c r="AA135" s="134" t="e">
        <f t="shared" si="104"/>
        <v>#REF!</v>
      </c>
      <c r="AB135" s="109" t="e">
        <f t="shared" si="105"/>
        <v>#REF!</v>
      </c>
      <c r="AC135" t="s">
        <v>189</v>
      </c>
      <c r="AD135" s="136" t="e">
        <f t="shared" si="107"/>
        <v>#REF!</v>
      </c>
      <c r="AE135" t="s">
        <v>45</v>
      </c>
      <c r="AF135" s="125"/>
      <c r="AG135" s="125"/>
      <c r="AH135" s="125"/>
      <c r="AI135" s="129"/>
    </row>
    <row r="136" spans="1:35" x14ac:dyDescent="0.25">
      <c r="A136" t="s">
        <v>230</v>
      </c>
      <c r="B136" t="s">
        <v>228</v>
      </c>
      <c r="C136" s="55">
        <f t="shared" ref="C136:D136" si="110">U172</f>
        <v>300</v>
      </c>
      <c r="D136" s="56">
        <f t="shared" si="110"/>
        <v>9075.34</v>
      </c>
      <c r="E136" s="60"/>
      <c r="F136" s="55"/>
      <c r="G136" s="34"/>
      <c r="H136" s="38"/>
      <c r="I136" s="55"/>
      <c r="J136" s="34"/>
      <c r="K136" s="38"/>
      <c r="L136" s="5"/>
      <c r="M136" s="34"/>
      <c r="O136" s="76"/>
      <c r="P136" s="34"/>
      <c r="R136" s="5"/>
      <c r="S136" s="34"/>
      <c r="U136" s="55">
        <f t="shared" si="101"/>
        <v>300</v>
      </c>
      <c r="V136" s="128">
        <f t="shared" si="102"/>
        <v>9075.34</v>
      </c>
      <c r="X136" s="81">
        <f t="shared" si="109"/>
        <v>300</v>
      </c>
      <c r="Y136" s="86">
        <v>138.03</v>
      </c>
      <c r="Z136" s="34">
        <f t="shared" si="103"/>
        <v>41409</v>
      </c>
      <c r="AA136" s="134">
        <f t="shared" si="104"/>
        <v>41409</v>
      </c>
      <c r="AB136" s="109">
        <f t="shared" si="105"/>
        <v>32333.66</v>
      </c>
      <c r="AC136" t="s">
        <v>230</v>
      </c>
      <c r="AD136" s="136">
        <f t="shared" si="107"/>
        <v>3.5628042585732325</v>
      </c>
      <c r="AE136" t="s">
        <v>228</v>
      </c>
      <c r="AF136" s="125"/>
      <c r="AG136" s="125"/>
      <c r="AH136" s="125"/>
      <c r="AI136" s="129"/>
    </row>
    <row r="137" spans="1:35" x14ac:dyDescent="0.25">
      <c r="A137" t="s">
        <v>355</v>
      </c>
      <c r="B137" t="s">
        <v>351</v>
      </c>
      <c r="C137" s="55">
        <f t="shared" ref="C137:D137" si="111">U173</f>
        <v>750</v>
      </c>
      <c r="D137" s="56">
        <f t="shared" si="111"/>
        <v>10657.45</v>
      </c>
      <c r="E137" s="60"/>
      <c r="F137" s="55"/>
      <c r="G137" s="34"/>
      <c r="H137" s="38"/>
      <c r="I137" s="55"/>
      <c r="J137" s="34"/>
      <c r="K137" s="38"/>
      <c r="L137" s="5"/>
      <c r="M137" s="34"/>
      <c r="O137" s="76"/>
      <c r="P137" s="34"/>
      <c r="R137" s="5"/>
      <c r="S137" s="34"/>
      <c r="U137" s="55">
        <f t="shared" si="101"/>
        <v>750</v>
      </c>
      <c r="V137" s="128">
        <f t="shared" si="102"/>
        <v>10657.45</v>
      </c>
      <c r="X137" s="81">
        <f t="shared" si="109"/>
        <v>750</v>
      </c>
      <c r="Y137" s="86">
        <v>12.28</v>
      </c>
      <c r="Z137" s="34">
        <f t="shared" si="103"/>
        <v>9210</v>
      </c>
      <c r="AA137" s="134">
        <f t="shared" si="104"/>
        <v>9210</v>
      </c>
      <c r="AB137" s="109">
        <f t="shared" si="105"/>
        <v>-1447.4500000000007</v>
      </c>
      <c r="AC137" t="s">
        <v>355</v>
      </c>
      <c r="AD137" s="136">
        <f t="shared" si="107"/>
        <v>-0.13581579083176562</v>
      </c>
      <c r="AE137" t="s">
        <v>351</v>
      </c>
      <c r="AF137" s="125"/>
      <c r="AG137" s="125"/>
      <c r="AH137" s="125"/>
      <c r="AI137" s="129"/>
    </row>
    <row r="138" spans="1:35" x14ac:dyDescent="0.25">
      <c r="A138" t="s">
        <v>369</v>
      </c>
      <c r="B138" t="s">
        <v>370</v>
      </c>
      <c r="C138" s="55">
        <f t="shared" ref="C138:D138" si="112">U174</f>
        <v>175</v>
      </c>
      <c r="D138" s="56">
        <f t="shared" si="112"/>
        <v>701.75</v>
      </c>
      <c r="E138" s="60"/>
      <c r="F138" s="55"/>
      <c r="G138" s="34"/>
      <c r="H138" s="38"/>
      <c r="I138" s="55"/>
      <c r="J138" s="34"/>
      <c r="K138" s="38"/>
      <c r="L138" s="5"/>
      <c r="M138" s="34"/>
      <c r="O138" s="76"/>
      <c r="P138" s="34"/>
      <c r="R138" s="5"/>
      <c r="S138" s="34"/>
      <c r="U138" s="55">
        <f t="shared" si="101"/>
        <v>175</v>
      </c>
      <c r="V138" s="128">
        <f t="shared" si="102"/>
        <v>701.75</v>
      </c>
      <c r="X138" s="81">
        <v>175</v>
      </c>
      <c r="Y138" s="86">
        <v>4.71</v>
      </c>
      <c r="Z138" s="34">
        <f t="shared" si="103"/>
        <v>824.25</v>
      </c>
      <c r="AA138" s="134">
        <f t="shared" si="104"/>
        <v>824.25</v>
      </c>
      <c r="AB138" s="109">
        <f t="shared" si="105"/>
        <v>122.5</v>
      </c>
      <c r="AC138" t="s">
        <v>369</v>
      </c>
      <c r="AD138" s="136"/>
      <c r="AE138" t="s">
        <v>369</v>
      </c>
      <c r="AF138" s="125"/>
      <c r="AG138" s="125"/>
      <c r="AH138" s="125"/>
      <c r="AI138" s="129"/>
    </row>
    <row r="139" spans="1:35" x14ac:dyDescent="0.25">
      <c r="A139" t="s">
        <v>20</v>
      </c>
      <c r="B139" t="s">
        <v>46</v>
      </c>
      <c r="C139" s="55" t="e">
        <f t="shared" ref="C139:D139" si="113">U175</f>
        <v>#REF!</v>
      </c>
      <c r="D139" s="56" t="e">
        <f t="shared" si="113"/>
        <v>#REF!</v>
      </c>
      <c r="E139" s="60"/>
      <c r="F139" s="55"/>
      <c r="G139" s="34"/>
      <c r="H139" s="38"/>
      <c r="I139" s="55"/>
      <c r="J139" s="34"/>
      <c r="K139" s="38"/>
      <c r="L139" s="5"/>
      <c r="M139" s="34"/>
      <c r="O139" s="76"/>
      <c r="P139" s="34"/>
      <c r="R139" s="5"/>
      <c r="S139" s="34"/>
      <c r="U139" s="55" t="e">
        <f t="shared" si="101"/>
        <v>#REF!</v>
      </c>
      <c r="V139" s="128" t="e">
        <f t="shared" si="102"/>
        <v>#REF!</v>
      </c>
      <c r="X139" s="81" t="e">
        <f t="shared" ref="X139:X140" si="114">U139</f>
        <v>#REF!</v>
      </c>
      <c r="Y139" s="86">
        <v>6.94</v>
      </c>
      <c r="Z139" s="34" t="e">
        <f t="shared" si="103"/>
        <v>#REF!</v>
      </c>
      <c r="AA139" s="134" t="e">
        <f t="shared" si="104"/>
        <v>#REF!</v>
      </c>
      <c r="AB139" s="109" t="e">
        <f t="shared" si="105"/>
        <v>#REF!</v>
      </c>
      <c r="AC139" t="s">
        <v>20</v>
      </c>
      <c r="AD139" s="136" t="e">
        <f t="shared" ref="AD139:AD162" si="115">AB139/V139</f>
        <v>#REF!</v>
      </c>
      <c r="AE139" t="s">
        <v>46</v>
      </c>
      <c r="AF139" s="125"/>
      <c r="AG139" s="125"/>
      <c r="AH139" s="125"/>
      <c r="AI139" s="129"/>
    </row>
    <row r="140" spans="1:35" x14ac:dyDescent="0.25">
      <c r="A140" t="s">
        <v>23</v>
      </c>
      <c r="B140" t="s">
        <v>48</v>
      </c>
      <c r="C140" s="55" t="e">
        <f t="shared" ref="C140:D140" si="116">U176</f>
        <v>#REF!</v>
      </c>
      <c r="D140" s="56" t="e">
        <f t="shared" si="116"/>
        <v>#REF!</v>
      </c>
      <c r="E140" s="60"/>
      <c r="F140" s="55"/>
      <c r="G140" s="34"/>
      <c r="H140" s="38"/>
      <c r="I140" s="55"/>
      <c r="J140" s="34"/>
      <c r="K140" s="38"/>
      <c r="L140" s="5"/>
      <c r="M140" s="34"/>
      <c r="O140" s="76"/>
      <c r="P140" s="34"/>
      <c r="R140" s="5"/>
      <c r="S140" s="34"/>
      <c r="U140" s="55" t="e">
        <f t="shared" si="101"/>
        <v>#REF!</v>
      </c>
      <c r="V140" s="128" t="e">
        <f t="shared" si="102"/>
        <v>#REF!</v>
      </c>
      <c r="X140" s="81" t="e">
        <f t="shared" si="114"/>
        <v>#REF!</v>
      </c>
      <c r="Y140" s="86">
        <v>6.78</v>
      </c>
      <c r="Z140" s="34" t="e">
        <f t="shared" si="103"/>
        <v>#REF!</v>
      </c>
      <c r="AA140" s="134" t="e">
        <f t="shared" si="104"/>
        <v>#REF!</v>
      </c>
      <c r="AB140" s="109" t="e">
        <f t="shared" si="105"/>
        <v>#REF!</v>
      </c>
      <c r="AC140" t="s">
        <v>23</v>
      </c>
      <c r="AD140" s="136" t="e">
        <f t="shared" si="115"/>
        <v>#REF!</v>
      </c>
      <c r="AE140" t="s">
        <v>48</v>
      </c>
      <c r="AF140" s="125"/>
      <c r="AG140" s="125"/>
      <c r="AH140" s="125"/>
      <c r="AI140" s="129"/>
    </row>
    <row r="141" spans="1:35" x14ac:dyDescent="0.25">
      <c r="A141" t="s">
        <v>391</v>
      </c>
      <c r="C141" s="55"/>
      <c r="D141" s="56"/>
      <c r="E141" s="60"/>
      <c r="F141" s="55"/>
      <c r="G141" s="34"/>
      <c r="H141" s="38"/>
      <c r="I141" s="55"/>
      <c r="J141" s="34"/>
      <c r="K141" s="38"/>
      <c r="L141" s="5">
        <v>11500</v>
      </c>
      <c r="M141" s="34">
        <v>21419.95</v>
      </c>
      <c r="O141" s="76"/>
      <c r="P141" s="34"/>
      <c r="R141" s="5"/>
      <c r="S141" s="34"/>
      <c r="U141" s="55">
        <f t="shared" ref="U141" si="117">+C141+F141+I141+L141+O141+R141</f>
        <v>11500</v>
      </c>
      <c r="V141" s="128">
        <f t="shared" ref="V141" si="118">+D141+G141+J141+M141+P141+S141</f>
        <v>21419.95</v>
      </c>
      <c r="X141" s="81">
        <v>11500</v>
      </c>
      <c r="Y141" s="86">
        <v>1.9450000000000001</v>
      </c>
      <c r="Z141" s="34">
        <f>X141*Y141</f>
        <v>22367.5</v>
      </c>
      <c r="AA141" s="134">
        <f>Z141</f>
        <v>22367.5</v>
      </c>
      <c r="AB141" s="109">
        <f t="shared" si="105"/>
        <v>947.54999999999927</v>
      </c>
      <c r="AD141" s="136">
        <f t="shared" si="115"/>
        <v>4.4236797938370501E-2</v>
      </c>
      <c r="AF141" s="125"/>
      <c r="AG141" s="125"/>
      <c r="AH141" s="125"/>
      <c r="AI141" s="129"/>
    </row>
    <row r="142" spans="1:35" x14ac:dyDescent="0.25">
      <c r="A142" t="s">
        <v>371</v>
      </c>
      <c r="B142" t="s">
        <v>372</v>
      </c>
      <c r="C142" s="55">
        <f t="shared" ref="C142:D142" si="119">U177</f>
        <v>1000</v>
      </c>
      <c r="D142" s="56">
        <f t="shared" si="119"/>
        <v>24959.9</v>
      </c>
      <c r="E142" s="60"/>
      <c r="F142" s="55"/>
      <c r="G142" s="34"/>
      <c r="H142" s="38"/>
      <c r="I142" s="55"/>
      <c r="J142" s="34"/>
      <c r="K142" s="38"/>
      <c r="L142" s="5"/>
      <c r="M142" s="34"/>
      <c r="O142" s="76"/>
      <c r="P142" s="34"/>
      <c r="R142" s="5"/>
      <c r="S142" s="34"/>
      <c r="U142" s="55">
        <f t="shared" si="101"/>
        <v>1000</v>
      </c>
      <c r="V142" s="128">
        <f t="shared" si="102"/>
        <v>24959.9</v>
      </c>
      <c r="X142" s="81">
        <v>1000</v>
      </c>
      <c r="Y142" s="86">
        <v>28.84</v>
      </c>
      <c r="Z142" s="34">
        <f t="shared" si="103"/>
        <v>28840</v>
      </c>
      <c r="AA142" s="134">
        <f t="shared" si="104"/>
        <v>28840</v>
      </c>
      <c r="AB142" s="109">
        <f t="shared" si="105"/>
        <v>3880.0999999999985</v>
      </c>
      <c r="AC142" t="s">
        <v>371</v>
      </c>
      <c r="AD142" s="136">
        <f t="shared" si="115"/>
        <v>0.15545334716885878</v>
      </c>
      <c r="AE142" t="s">
        <v>372</v>
      </c>
      <c r="AF142" s="125"/>
      <c r="AG142" s="125"/>
      <c r="AH142" s="125"/>
      <c r="AI142" s="129"/>
    </row>
    <row r="143" spans="1:35" x14ac:dyDescent="0.25">
      <c r="A143" t="s">
        <v>373</v>
      </c>
      <c r="B143" t="s">
        <v>374</v>
      </c>
      <c r="C143" s="55">
        <f t="shared" ref="C143:D143" si="120">U178</f>
        <v>175</v>
      </c>
      <c r="D143" s="56">
        <f t="shared" si="120"/>
        <v>11277.2</v>
      </c>
      <c r="E143" s="60"/>
      <c r="F143" s="55"/>
      <c r="G143" s="34"/>
      <c r="H143" s="38"/>
      <c r="I143" s="55"/>
      <c r="J143" s="34"/>
      <c r="K143" s="38"/>
      <c r="L143" s="5"/>
      <c r="M143" s="34"/>
      <c r="O143" s="76"/>
      <c r="P143" s="34"/>
      <c r="R143" s="5"/>
      <c r="S143" s="34"/>
      <c r="U143" s="55">
        <f t="shared" si="101"/>
        <v>175</v>
      </c>
      <c r="V143" s="128">
        <f t="shared" si="102"/>
        <v>11277.2</v>
      </c>
      <c r="X143" s="81">
        <v>175</v>
      </c>
      <c r="Y143" s="86">
        <v>88.5</v>
      </c>
      <c r="Z143" s="34">
        <f t="shared" si="103"/>
        <v>15487.5</v>
      </c>
      <c r="AA143" s="134">
        <f t="shared" si="104"/>
        <v>15487.5</v>
      </c>
      <c r="AB143" s="109">
        <f t="shared" si="105"/>
        <v>4210.2999999999993</v>
      </c>
      <c r="AC143" t="s">
        <v>373</v>
      </c>
      <c r="AD143" s="136">
        <f t="shared" si="115"/>
        <v>0.37334622069307977</v>
      </c>
      <c r="AE143" t="s">
        <v>374</v>
      </c>
      <c r="AF143" s="125"/>
      <c r="AG143" s="125"/>
      <c r="AH143" s="125"/>
      <c r="AI143" s="129"/>
    </row>
    <row r="144" spans="1:35" x14ac:dyDescent="0.25">
      <c r="A144" t="s">
        <v>353</v>
      </c>
      <c r="B144" t="s">
        <v>354</v>
      </c>
      <c r="C144" s="55">
        <f t="shared" ref="C144:D144" si="121">U179</f>
        <v>1500</v>
      </c>
      <c r="D144" s="56">
        <f t="shared" si="121"/>
        <v>9739.36</v>
      </c>
      <c r="E144" s="60"/>
      <c r="F144" s="55"/>
      <c r="G144" s="34"/>
      <c r="H144" s="38"/>
      <c r="I144" s="55"/>
      <c r="J144" s="34"/>
      <c r="K144" s="38"/>
      <c r="L144" s="5"/>
      <c r="M144" s="34"/>
      <c r="O144" s="76"/>
      <c r="P144" s="34"/>
      <c r="R144" s="5"/>
      <c r="S144" s="34"/>
      <c r="U144" s="55">
        <f t="shared" si="101"/>
        <v>1500</v>
      </c>
      <c r="V144" s="128">
        <f t="shared" si="102"/>
        <v>9739.36</v>
      </c>
      <c r="X144" s="81">
        <f t="shared" ref="X144:X148" si="122">U144</f>
        <v>1500</v>
      </c>
      <c r="Y144" s="86">
        <v>4.63</v>
      </c>
      <c r="Z144" s="34">
        <f t="shared" si="103"/>
        <v>6945</v>
      </c>
      <c r="AA144" s="134">
        <f t="shared" si="104"/>
        <v>6945</v>
      </c>
      <c r="AB144" s="109">
        <f t="shared" si="105"/>
        <v>-2794.3600000000006</v>
      </c>
      <c r="AC144" t="s">
        <v>353</v>
      </c>
      <c r="AD144" s="136">
        <f t="shared" si="115"/>
        <v>-0.28691412988122428</v>
      </c>
      <c r="AE144" t="s">
        <v>354</v>
      </c>
      <c r="AF144" s="125"/>
      <c r="AG144" s="125"/>
      <c r="AH144" s="125"/>
      <c r="AI144" s="129"/>
    </row>
    <row r="145" spans="1:35" x14ac:dyDescent="0.25">
      <c r="A145" t="s">
        <v>356</v>
      </c>
      <c r="B145" t="s">
        <v>350</v>
      </c>
      <c r="C145" s="55">
        <f t="shared" ref="C145:D145" si="123">U180</f>
        <v>7760</v>
      </c>
      <c r="D145" s="56">
        <f t="shared" si="123"/>
        <v>16082.5</v>
      </c>
      <c r="E145" s="60"/>
      <c r="F145" s="55"/>
      <c r="G145" s="34"/>
      <c r="H145" s="38"/>
      <c r="I145" s="55"/>
      <c r="J145" s="34"/>
      <c r="K145" s="38"/>
      <c r="L145" s="5"/>
      <c r="M145" s="34"/>
      <c r="O145" s="76"/>
      <c r="P145" s="34"/>
      <c r="R145" s="5"/>
      <c r="S145" s="34"/>
      <c r="U145" s="55">
        <f t="shared" si="101"/>
        <v>7760</v>
      </c>
      <c r="V145" s="128">
        <f t="shared" si="102"/>
        <v>16082.5</v>
      </c>
      <c r="X145" s="81">
        <f t="shared" si="122"/>
        <v>7760</v>
      </c>
      <c r="Y145" s="86">
        <v>2.8</v>
      </c>
      <c r="Z145" s="34">
        <f t="shared" si="103"/>
        <v>21728</v>
      </c>
      <c r="AA145" s="134">
        <f t="shared" si="104"/>
        <v>21728</v>
      </c>
      <c r="AB145" s="109">
        <f t="shared" si="105"/>
        <v>5645.5</v>
      </c>
      <c r="AC145" t="s">
        <v>356</v>
      </c>
      <c r="AD145" s="136">
        <f t="shared" si="115"/>
        <v>0.35103373231773666</v>
      </c>
      <c r="AE145" t="s">
        <v>350</v>
      </c>
      <c r="AF145" s="125"/>
      <c r="AG145" s="125"/>
      <c r="AH145" s="125"/>
      <c r="AI145" s="129"/>
    </row>
    <row r="146" spans="1:35" x14ac:dyDescent="0.25">
      <c r="A146" t="s">
        <v>24</v>
      </c>
      <c r="B146" t="s">
        <v>49</v>
      </c>
      <c r="C146" s="55" t="e">
        <f t="shared" ref="C146:D146" si="124">U181</f>
        <v>#REF!</v>
      </c>
      <c r="D146" s="56" t="e">
        <f t="shared" si="124"/>
        <v>#REF!</v>
      </c>
      <c r="E146" s="60"/>
      <c r="F146" s="55"/>
      <c r="G146" s="34"/>
      <c r="H146" s="38"/>
      <c r="I146" s="55"/>
      <c r="J146" s="34"/>
      <c r="K146" s="38"/>
      <c r="L146" s="5"/>
      <c r="M146" s="34"/>
      <c r="O146" s="76">
        <v>-2790</v>
      </c>
      <c r="P146" s="34">
        <v>-586.88</v>
      </c>
      <c r="R146" s="5"/>
      <c r="S146" s="34"/>
      <c r="U146" s="55" t="e">
        <f t="shared" si="101"/>
        <v>#REF!</v>
      </c>
      <c r="V146" s="128"/>
      <c r="X146" s="81">
        <v>0</v>
      </c>
      <c r="Y146" s="86">
        <v>0</v>
      </c>
      <c r="Z146" s="34">
        <f t="shared" si="103"/>
        <v>0</v>
      </c>
      <c r="AA146" s="134">
        <f t="shared" si="104"/>
        <v>0</v>
      </c>
      <c r="AB146" s="109">
        <f t="shared" si="105"/>
        <v>0</v>
      </c>
      <c r="AC146" t="s">
        <v>24</v>
      </c>
      <c r="AD146" s="136" t="e">
        <f t="shared" si="115"/>
        <v>#DIV/0!</v>
      </c>
      <c r="AE146" t="s">
        <v>49</v>
      </c>
      <c r="AF146" s="125" t="s">
        <v>399</v>
      </c>
      <c r="AG146" s="125"/>
      <c r="AH146" s="125"/>
      <c r="AI146" s="129"/>
    </row>
    <row r="147" spans="1:35" x14ac:dyDescent="0.25">
      <c r="A147" t="s">
        <v>25</v>
      </c>
      <c r="B147" t="s">
        <v>75</v>
      </c>
      <c r="C147" s="55" t="e">
        <f t="shared" ref="C147:D147" si="125">U182</f>
        <v>#REF!</v>
      </c>
      <c r="D147" s="56" t="e">
        <f t="shared" si="125"/>
        <v>#REF!</v>
      </c>
      <c r="E147" s="60"/>
      <c r="F147" s="55"/>
      <c r="G147" s="34"/>
      <c r="H147" s="38"/>
      <c r="I147" s="55"/>
      <c r="J147" s="34"/>
      <c r="K147" s="38"/>
      <c r="L147" s="5"/>
      <c r="M147" s="34"/>
      <c r="O147" s="76"/>
      <c r="P147" s="34"/>
      <c r="R147" s="5"/>
      <c r="S147" s="34"/>
      <c r="U147" s="55" t="e">
        <f t="shared" si="101"/>
        <v>#REF!</v>
      </c>
      <c r="V147" s="128" t="e">
        <f t="shared" si="102"/>
        <v>#REF!</v>
      </c>
      <c r="X147" s="81" t="e">
        <f t="shared" si="122"/>
        <v>#REF!</v>
      </c>
      <c r="Y147" s="86">
        <v>29.59</v>
      </c>
      <c r="Z147" s="34" t="e">
        <f t="shared" si="103"/>
        <v>#REF!</v>
      </c>
      <c r="AA147" s="134" t="e">
        <f t="shared" si="104"/>
        <v>#REF!</v>
      </c>
      <c r="AB147" s="109" t="e">
        <f t="shared" si="105"/>
        <v>#REF!</v>
      </c>
      <c r="AC147" t="s">
        <v>25</v>
      </c>
      <c r="AD147" s="136" t="e">
        <f t="shared" si="115"/>
        <v>#REF!</v>
      </c>
      <c r="AE147" t="s">
        <v>75</v>
      </c>
      <c r="AF147" s="125"/>
      <c r="AG147" s="125"/>
      <c r="AH147" s="125"/>
      <c r="AI147" s="129"/>
    </row>
    <row r="148" spans="1:35" x14ac:dyDescent="0.25">
      <c r="A148" t="s">
        <v>26</v>
      </c>
      <c r="B148" t="s">
        <v>50</v>
      </c>
      <c r="C148" s="55" t="e">
        <f t="shared" ref="C148:D148" si="126">U183</f>
        <v>#REF!</v>
      </c>
      <c r="D148" s="56" t="e">
        <f t="shared" si="126"/>
        <v>#REF!</v>
      </c>
      <c r="E148" s="60"/>
      <c r="F148" s="55"/>
      <c r="G148" s="34"/>
      <c r="H148" s="38"/>
      <c r="I148" s="55"/>
      <c r="J148" s="34"/>
      <c r="K148" s="38"/>
      <c r="L148" s="5"/>
      <c r="M148" s="34"/>
      <c r="O148" s="76"/>
      <c r="P148" s="34"/>
      <c r="R148" s="5"/>
      <c r="S148" s="34"/>
      <c r="U148" s="55" t="e">
        <f t="shared" si="101"/>
        <v>#REF!</v>
      </c>
      <c r="V148" s="128" t="e">
        <f t="shared" si="102"/>
        <v>#REF!</v>
      </c>
      <c r="X148" s="81" t="e">
        <f t="shared" si="122"/>
        <v>#REF!</v>
      </c>
      <c r="Y148" s="86">
        <v>20.68</v>
      </c>
      <c r="Z148" s="34" t="e">
        <f t="shared" si="103"/>
        <v>#REF!</v>
      </c>
      <c r="AA148" s="134" t="e">
        <f t="shared" si="104"/>
        <v>#REF!</v>
      </c>
      <c r="AB148" s="109" t="e">
        <f t="shared" si="105"/>
        <v>#REF!</v>
      </c>
      <c r="AC148" t="s">
        <v>26</v>
      </c>
      <c r="AD148" s="136" t="e">
        <f t="shared" si="115"/>
        <v>#REF!</v>
      </c>
      <c r="AE148" t="s">
        <v>50</v>
      </c>
      <c r="AF148" s="125"/>
      <c r="AG148" s="125"/>
      <c r="AH148" s="125"/>
      <c r="AI148" s="129"/>
    </row>
    <row r="149" spans="1:35" x14ac:dyDescent="0.25">
      <c r="A149" t="s">
        <v>232</v>
      </c>
      <c r="B149" t="s">
        <v>232</v>
      </c>
      <c r="C149" s="55">
        <f t="shared" ref="C149:D149" si="127">U184</f>
        <v>831</v>
      </c>
      <c r="D149" s="56">
        <f t="shared" si="127"/>
        <v>10898.95</v>
      </c>
      <c r="E149" s="60"/>
      <c r="F149" s="55">
        <f>22+18</f>
        <v>40</v>
      </c>
      <c r="G149" s="34">
        <v>454.68</v>
      </c>
      <c r="H149" s="38"/>
      <c r="I149" s="55"/>
      <c r="J149" s="34"/>
      <c r="K149" s="38"/>
      <c r="L149" s="5"/>
      <c r="M149" s="34"/>
      <c r="O149" s="76"/>
      <c r="P149" s="34"/>
      <c r="R149" s="5"/>
      <c r="S149" s="34"/>
      <c r="U149" s="55">
        <f t="shared" si="101"/>
        <v>871</v>
      </c>
      <c r="V149" s="128">
        <f t="shared" si="102"/>
        <v>11353.630000000001</v>
      </c>
      <c r="X149" s="81">
        <v>871</v>
      </c>
      <c r="Y149" s="86">
        <v>11.81</v>
      </c>
      <c r="Z149" s="34">
        <f t="shared" si="103"/>
        <v>10286.51</v>
      </c>
      <c r="AA149" s="134">
        <f t="shared" si="104"/>
        <v>10286.51</v>
      </c>
      <c r="AB149" s="109">
        <f t="shared" si="105"/>
        <v>-1067.1200000000008</v>
      </c>
      <c r="AC149" t="s">
        <v>232</v>
      </c>
      <c r="AD149" s="136">
        <f t="shared" si="115"/>
        <v>-9.3989323238470923E-2</v>
      </c>
      <c r="AE149" t="s">
        <v>232</v>
      </c>
      <c r="AF149" s="125"/>
      <c r="AG149" s="125"/>
      <c r="AH149" s="125"/>
      <c r="AI149" s="129"/>
    </row>
    <row r="150" spans="1:35" x14ac:dyDescent="0.25">
      <c r="A150" t="s">
        <v>316</v>
      </c>
      <c r="C150" s="55">
        <f t="shared" ref="C150:D150" si="128">U185</f>
        <v>2000</v>
      </c>
      <c r="D150" s="56">
        <f t="shared" si="128"/>
        <v>10589.95</v>
      </c>
      <c r="E150" s="60"/>
      <c r="F150" s="55"/>
      <c r="G150" s="34"/>
      <c r="H150" s="38"/>
      <c r="I150" s="55"/>
      <c r="J150" s="34"/>
      <c r="K150" s="38"/>
      <c r="L150" s="5"/>
      <c r="M150" s="34"/>
      <c r="O150" s="76"/>
      <c r="P150" s="34"/>
      <c r="R150" s="5"/>
      <c r="S150" s="34"/>
      <c r="U150" s="55">
        <f t="shared" si="101"/>
        <v>2000</v>
      </c>
      <c r="V150" s="128">
        <f t="shared" si="102"/>
        <v>10589.95</v>
      </c>
      <c r="X150" s="81">
        <f t="shared" ref="X150:X157" si="129">U150</f>
        <v>2000</v>
      </c>
      <c r="Y150" s="86">
        <v>10.039999999999999</v>
      </c>
      <c r="Z150" s="34">
        <f t="shared" si="103"/>
        <v>20080</v>
      </c>
      <c r="AA150" s="134">
        <f t="shared" si="104"/>
        <v>20080</v>
      </c>
      <c r="AB150" s="109">
        <f t="shared" si="105"/>
        <v>9490.0499999999993</v>
      </c>
      <c r="AC150" t="s">
        <v>316</v>
      </c>
      <c r="AD150" s="136">
        <f t="shared" si="115"/>
        <v>0.89613737553057371</v>
      </c>
      <c r="AE150" t="s">
        <v>375</v>
      </c>
      <c r="AF150" s="125"/>
      <c r="AG150" s="125"/>
      <c r="AH150" s="125"/>
      <c r="AI150" s="129"/>
    </row>
    <row r="151" spans="1:35" x14ac:dyDescent="0.25">
      <c r="A151" t="s">
        <v>27</v>
      </c>
      <c r="B151" t="s">
        <v>51</v>
      </c>
      <c r="C151" s="55" t="e">
        <f t="shared" ref="C151:D151" si="130">U186</f>
        <v>#REF!</v>
      </c>
      <c r="D151" s="56" t="e">
        <f t="shared" si="130"/>
        <v>#REF!</v>
      </c>
      <c r="E151" s="60"/>
      <c r="F151" s="55"/>
      <c r="G151" s="34"/>
      <c r="H151" s="38"/>
      <c r="I151" s="55"/>
      <c r="J151" s="34"/>
      <c r="K151" s="38"/>
      <c r="L151" s="5"/>
      <c r="M151" s="34"/>
      <c r="O151" s="76"/>
      <c r="P151" s="34"/>
      <c r="R151" s="5"/>
      <c r="S151" s="34"/>
      <c r="U151" s="55" t="e">
        <f t="shared" si="101"/>
        <v>#REF!</v>
      </c>
      <c r="V151" s="128" t="e">
        <f t="shared" si="102"/>
        <v>#REF!</v>
      </c>
      <c r="X151" s="81" t="e">
        <f t="shared" si="129"/>
        <v>#REF!</v>
      </c>
      <c r="Y151" s="86">
        <v>63.27</v>
      </c>
      <c r="Z151" s="34" t="e">
        <f t="shared" si="103"/>
        <v>#REF!</v>
      </c>
      <c r="AA151" s="134" t="e">
        <f t="shared" si="104"/>
        <v>#REF!</v>
      </c>
      <c r="AB151" s="109" t="e">
        <f t="shared" si="105"/>
        <v>#REF!</v>
      </c>
      <c r="AC151" t="s">
        <v>27</v>
      </c>
      <c r="AD151" s="136" t="e">
        <f t="shared" si="115"/>
        <v>#REF!</v>
      </c>
      <c r="AE151" t="s">
        <v>51</v>
      </c>
      <c r="AF151" s="125"/>
      <c r="AG151" s="125"/>
      <c r="AH151" s="125"/>
      <c r="AI151" s="129"/>
    </row>
    <row r="152" spans="1:35" x14ac:dyDescent="0.25">
      <c r="A152" t="s">
        <v>283</v>
      </c>
      <c r="B152" t="s">
        <v>348</v>
      </c>
      <c r="C152" s="55">
        <f t="shared" ref="C152:D152" si="131">U187</f>
        <v>3110</v>
      </c>
      <c r="D152" s="56" t="e">
        <f t="shared" si="131"/>
        <v>#REF!</v>
      </c>
      <c r="E152" s="60"/>
      <c r="F152" s="55"/>
      <c r="G152" s="34"/>
      <c r="H152" s="38"/>
      <c r="I152" s="55"/>
      <c r="J152" s="34"/>
      <c r="K152" s="38"/>
      <c r="L152" s="5"/>
      <c r="M152" s="34"/>
      <c r="O152" s="76">
        <v>-3110</v>
      </c>
      <c r="P152" s="34">
        <v>-8999.0499999999993</v>
      </c>
      <c r="R152" s="5"/>
      <c r="S152" s="34"/>
      <c r="U152" s="55">
        <f t="shared" si="101"/>
        <v>0</v>
      </c>
      <c r="V152" s="128"/>
      <c r="X152" s="81">
        <v>0</v>
      </c>
      <c r="Y152" s="86">
        <v>0</v>
      </c>
      <c r="Z152" s="34">
        <f t="shared" si="103"/>
        <v>0</v>
      </c>
      <c r="AA152" s="134">
        <f t="shared" si="104"/>
        <v>0</v>
      </c>
      <c r="AB152" s="109">
        <f t="shared" si="105"/>
        <v>0</v>
      </c>
      <c r="AC152" t="s">
        <v>283</v>
      </c>
      <c r="AD152" s="136" t="e">
        <f t="shared" si="115"/>
        <v>#DIV/0!</v>
      </c>
      <c r="AE152" t="s">
        <v>348</v>
      </c>
      <c r="AF152" s="125" t="s">
        <v>398</v>
      </c>
      <c r="AG152" s="125"/>
      <c r="AH152" s="125"/>
      <c r="AI152" s="129"/>
    </row>
    <row r="153" spans="1:35" x14ac:dyDescent="0.25">
      <c r="A153" t="s">
        <v>394</v>
      </c>
      <c r="C153" s="55"/>
      <c r="D153" s="56"/>
      <c r="E153" s="60"/>
      <c r="F153" s="55"/>
      <c r="G153" s="34"/>
      <c r="H153" s="38"/>
      <c r="I153" s="55"/>
      <c r="J153" s="34"/>
      <c r="K153" s="38"/>
      <c r="L153" s="5">
        <v>500</v>
      </c>
      <c r="M153" s="34">
        <v>10704.95</v>
      </c>
      <c r="O153" s="76"/>
      <c r="P153" s="34"/>
      <c r="R153" s="5"/>
      <c r="S153" s="34"/>
      <c r="U153" s="55">
        <f t="shared" ref="U153" si="132">+C153+F153+I153+L153+O153+R153</f>
        <v>500</v>
      </c>
      <c r="V153" s="128">
        <f t="shared" ref="V153" si="133">+D153+G153+J153+M153+P153+S153</f>
        <v>10704.95</v>
      </c>
      <c r="X153" s="81">
        <v>500</v>
      </c>
      <c r="Y153" s="86">
        <v>24.22</v>
      </c>
      <c r="Z153" s="34">
        <f>X153*Y153</f>
        <v>12110</v>
      </c>
      <c r="AA153" s="134">
        <f>Z153</f>
        <v>12110</v>
      </c>
      <c r="AB153" s="109"/>
      <c r="AD153" s="136"/>
      <c r="AF153" s="125"/>
      <c r="AG153" s="125"/>
      <c r="AH153" s="125"/>
      <c r="AI153" s="129"/>
    </row>
    <row r="154" spans="1:35" x14ac:dyDescent="0.25">
      <c r="A154" t="s">
        <v>284</v>
      </c>
      <c r="B154" t="s">
        <v>292</v>
      </c>
      <c r="C154" s="55">
        <f t="shared" ref="C154:D154" si="134">U188</f>
        <v>2296</v>
      </c>
      <c r="D154" s="56">
        <f t="shared" si="134"/>
        <v>6861.55</v>
      </c>
      <c r="E154" s="60"/>
      <c r="F154" s="55"/>
      <c r="G154" s="34"/>
      <c r="H154" s="38"/>
      <c r="I154" s="55"/>
      <c r="J154" s="34"/>
      <c r="K154" s="38"/>
      <c r="L154" s="5"/>
      <c r="M154" s="34"/>
      <c r="O154" s="76"/>
      <c r="P154" s="34"/>
      <c r="R154" s="5"/>
      <c r="S154" s="34"/>
      <c r="U154" s="55">
        <f t="shared" si="101"/>
        <v>2296</v>
      </c>
      <c r="V154" s="128">
        <f t="shared" si="102"/>
        <v>6861.55</v>
      </c>
      <c r="X154" s="81">
        <f t="shared" si="129"/>
        <v>2296</v>
      </c>
      <c r="Y154" s="86">
        <v>4.37</v>
      </c>
      <c r="Z154" s="34">
        <f t="shared" si="103"/>
        <v>10033.52</v>
      </c>
      <c r="AA154" s="134">
        <f t="shared" si="104"/>
        <v>10033.52</v>
      </c>
      <c r="AB154" s="109">
        <f t="shared" si="105"/>
        <v>3171.9700000000003</v>
      </c>
      <c r="AC154" t="s">
        <v>284</v>
      </c>
      <c r="AD154" s="136">
        <f t="shared" si="115"/>
        <v>0.46228184593859989</v>
      </c>
      <c r="AE154" t="s">
        <v>292</v>
      </c>
      <c r="AF154" s="125"/>
      <c r="AG154" s="125"/>
      <c r="AH154" s="125"/>
      <c r="AI154" s="129"/>
    </row>
    <row r="155" spans="1:35" x14ac:dyDescent="0.25">
      <c r="A155" t="s">
        <v>395</v>
      </c>
      <c r="C155" s="55"/>
      <c r="D155" s="56"/>
      <c r="E155" s="60"/>
      <c r="F155" s="55"/>
      <c r="G155" s="34"/>
      <c r="H155" s="38"/>
      <c r="I155" s="55"/>
      <c r="J155" s="34"/>
      <c r="K155" s="38"/>
      <c r="L155" s="5">
        <v>1000</v>
      </c>
      <c r="M155" s="34">
        <v>10689.95</v>
      </c>
      <c r="O155" s="76"/>
      <c r="P155" s="34"/>
      <c r="R155" s="5"/>
      <c r="S155" s="34"/>
      <c r="U155" s="55">
        <f t="shared" ref="U155" si="135">+C155+F155+I155+L155+O155+R155</f>
        <v>1000</v>
      </c>
      <c r="V155" s="128">
        <f t="shared" ref="V155" si="136">+D155+G155+J155+M155+P155+S155</f>
        <v>10689.95</v>
      </c>
      <c r="X155" s="81">
        <v>1000</v>
      </c>
      <c r="Y155" s="86">
        <v>11.85</v>
      </c>
      <c r="Z155" s="34">
        <f t="shared" si="103"/>
        <v>11850</v>
      </c>
      <c r="AA155" s="134">
        <f>Z155</f>
        <v>11850</v>
      </c>
      <c r="AB155" s="109">
        <f t="shared" si="105"/>
        <v>1160.0499999999993</v>
      </c>
      <c r="AD155" s="136">
        <f t="shared" si="115"/>
        <v>0.1085178134603061</v>
      </c>
      <c r="AF155" s="125"/>
      <c r="AG155" s="125"/>
      <c r="AH155" s="125"/>
      <c r="AI155" s="129"/>
    </row>
    <row r="156" spans="1:35" x14ac:dyDescent="0.25">
      <c r="A156" t="s">
        <v>28</v>
      </c>
      <c r="B156" t="s">
        <v>52</v>
      </c>
      <c r="C156" s="55" t="e">
        <f t="shared" ref="C156:D156" si="137">U189</f>
        <v>#REF!</v>
      </c>
      <c r="D156" s="56" t="e">
        <f t="shared" si="137"/>
        <v>#REF!</v>
      </c>
      <c r="E156" s="60"/>
      <c r="F156" s="55"/>
      <c r="G156" s="34"/>
      <c r="H156" s="38"/>
      <c r="I156" s="55"/>
      <c r="J156" s="34"/>
      <c r="K156" s="38"/>
      <c r="L156" s="5"/>
      <c r="M156" s="34"/>
      <c r="O156" s="76"/>
      <c r="P156" s="34"/>
      <c r="R156" s="5"/>
      <c r="S156" s="34"/>
      <c r="U156" s="55" t="e">
        <f t="shared" si="101"/>
        <v>#REF!</v>
      </c>
      <c r="V156" s="128" t="e">
        <f t="shared" si="102"/>
        <v>#REF!</v>
      </c>
      <c r="X156" s="81" t="e">
        <f t="shared" si="129"/>
        <v>#REF!</v>
      </c>
      <c r="Y156" s="86">
        <v>4.3</v>
      </c>
      <c r="Z156" s="34" t="e">
        <f t="shared" si="103"/>
        <v>#REF!</v>
      </c>
      <c r="AA156" s="134" t="e">
        <f t="shared" si="104"/>
        <v>#REF!</v>
      </c>
      <c r="AB156" s="109" t="e">
        <f t="shared" si="105"/>
        <v>#REF!</v>
      </c>
      <c r="AC156" t="s">
        <v>28</v>
      </c>
      <c r="AD156" s="136" t="e">
        <f t="shared" si="115"/>
        <v>#REF!</v>
      </c>
      <c r="AE156" t="s">
        <v>52</v>
      </c>
      <c r="AF156" s="125"/>
      <c r="AG156" s="125"/>
      <c r="AH156" s="125"/>
      <c r="AI156" s="129"/>
    </row>
    <row r="157" spans="1:35" x14ac:dyDescent="0.25">
      <c r="A157" t="s">
        <v>29</v>
      </c>
      <c r="B157" t="s">
        <v>76</v>
      </c>
      <c r="C157" s="55" t="e">
        <f t="shared" ref="C157:D157" si="138">U190</f>
        <v>#REF!</v>
      </c>
      <c r="D157" s="56" t="e">
        <f t="shared" si="138"/>
        <v>#REF!</v>
      </c>
      <c r="E157" s="60"/>
      <c r="F157" s="55"/>
      <c r="G157" s="34"/>
      <c r="H157" s="38"/>
      <c r="I157" s="55"/>
      <c r="J157" s="34"/>
      <c r="K157" s="38"/>
      <c r="L157" s="5"/>
      <c r="M157" s="34"/>
      <c r="O157" s="76"/>
      <c r="P157" s="34"/>
      <c r="R157" s="5"/>
      <c r="S157" s="34"/>
      <c r="U157" s="55" t="e">
        <f t="shared" si="101"/>
        <v>#REF!</v>
      </c>
      <c r="V157" s="128" t="e">
        <f t="shared" si="102"/>
        <v>#REF!</v>
      </c>
      <c r="X157" s="81" t="e">
        <f t="shared" si="129"/>
        <v>#REF!</v>
      </c>
      <c r="Y157" s="86">
        <v>13.16</v>
      </c>
      <c r="Z157" s="34" t="e">
        <f t="shared" si="103"/>
        <v>#REF!</v>
      </c>
      <c r="AA157" s="134" t="e">
        <f t="shared" si="104"/>
        <v>#REF!</v>
      </c>
      <c r="AB157" s="109" t="e">
        <f t="shared" si="105"/>
        <v>#REF!</v>
      </c>
      <c r="AC157" t="s">
        <v>29</v>
      </c>
      <c r="AD157" s="136" t="e">
        <f t="shared" si="115"/>
        <v>#REF!</v>
      </c>
      <c r="AE157" t="s">
        <v>76</v>
      </c>
      <c r="AF157" s="125"/>
      <c r="AG157" s="125"/>
      <c r="AH157" s="125"/>
      <c r="AI157" s="129"/>
    </row>
    <row r="158" spans="1:35" x14ac:dyDescent="0.25">
      <c r="A158" t="s">
        <v>32</v>
      </c>
      <c r="B158" t="s">
        <v>53</v>
      </c>
      <c r="C158" s="55" t="e">
        <f t="shared" ref="C158:D158" si="139">U191</f>
        <v>#REF!</v>
      </c>
      <c r="D158" s="56" t="e">
        <f t="shared" si="139"/>
        <v>#REF!</v>
      </c>
      <c r="E158" s="60"/>
      <c r="F158" s="55"/>
      <c r="G158" s="34"/>
      <c r="H158" s="38"/>
      <c r="I158" s="55"/>
      <c r="J158" s="34"/>
      <c r="K158" s="38"/>
      <c r="L158" s="5"/>
      <c r="M158" s="34"/>
      <c r="O158" s="76"/>
      <c r="P158" s="34"/>
      <c r="R158" s="5"/>
      <c r="S158" s="34"/>
      <c r="U158" s="55" t="e">
        <f t="shared" si="101"/>
        <v>#REF!</v>
      </c>
      <c r="V158" s="128" t="e">
        <f t="shared" si="102"/>
        <v>#REF!</v>
      </c>
      <c r="X158" s="81">
        <v>1984</v>
      </c>
      <c r="Y158" s="86">
        <v>30.51</v>
      </c>
      <c r="Z158" s="34">
        <f t="shared" si="103"/>
        <v>60531.840000000004</v>
      </c>
      <c r="AA158" s="134">
        <f t="shared" si="104"/>
        <v>60531.840000000004</v>
      </c>
      <c r="AB158" s="109" t="e">
        <f t="shared" si="105"/>
        <v>#REF!</v>
      </c>
      <c r="AC158" t="s">
        <v>32</v>
      </c>
      <c r="AD158" s="136" t="e">
        <f t="shared" si="115"/>
        <v>#REF!</v>
      </c>
      <c r="AE158" t="s">
        <v>53</v>
      </c>
      <c r="AF158" s="125"/>
      <c r="AG158" s="125"/>
      <c r="AH158" s="125"/>
      <c r="AI158" s="129"/>
    </row>
    <row r="159" spans="1:35" x14ac:dyDescent="0.25">
      <c r="A159" t="s">
        <v>231</v>
      </c>
      <c r="B159" t="s">
        <v>229</v>
      </c>
      <c r="C159" s="55">
        <f t="shared" ref="C159:D159" si="140">U192</f>
        <v>650</v>
      </c>
      <c r="D159" s="56">
        <f t="shared" si="140"/>
        <v>22799.3</v>
      </c>
      <c r="E159" s="60"/>
      <c r="F159" s="55"/>
      <c r="G159" s="34"/>
      <c r="H159" s="38"/>
      <c r="I159" s="55"/>
      <c r="J159" s="34"/>
      <c r="K159" s="38"/>
      <c r="L159" s="5">
        <v>250</v>
      </c>
      <c r="M159" s="34">
        <v>10597.45</v>
      </c>
      <c r="O159" s="76"/>
      <c r="P159" s="34"/>
      <c r="R159" s="5"/>
      <c r="S159" s="34"/>
      <c r="U159" s="55">
        <f t="shared" si="101"/>
        <v>900</v>
      </c>
      <c r="V159" s="128">
        <f t="shared" si="102"/>
        <v>33396.75</v>
      </c>
      <c r="X159" s="81">
        <v>900</v>
      </c>
      <c r="Y159" s="86">
        <v>40.119999999999997</v>
      </c>
      <c r="Z159" s="34">
        <f t="shared" si="103"/>
        <v>36108</v>
      </c>
      <c r="AA159" s="134">
        <f t="shared" si="104"/>
        <v>36108</v>
      </c>
      <c r="AB159" s="109">
        <f t="shared" si="105"/>
        <v>2711.25</v>
      </c>
      <c r="AC159" t="s">
        <v>231</v>
      </c>
      <c r="AD159" s="136">
        <f t="shared" si="115"/>
        <v>8.1183049248804151E-2</v>
      </c>
      <c r="AE159" t="s">
        <v>229</v>
      </c>
      <c r="AF159" s="125"/>
      <c r="AG159" s="125"/>
      <c r="AH159" s="125"/>
      <c r="AI159" s="129"/>
    </row>
    <row r="160" spans="1:35" x14ac:dyDescent="0.25">
      <c r="A160" t="s">
        <v>30</v>
      </c>
      <c r="B160" t="s">
        <v>55</v>
      </c>
      <c r="C160" s="55" t="e">
        <f t="shared" ref="C160:D160" si="141">U193</f>
        <v>#REF!</v>
      </c>
      <c r="D160" s="56" t="e">
        <f t="shared" si="141"/>
        <v>#REF!</v>
      </c>
      <c r="E160" s="60"/>
      <c r="F160" s="55"/>
      <c r="G160" s="34"/>
      <c r="H160" s="38"/>
      <c r="I160" s="55"/>
      <c r="J160" s="34"/>
      <c r="K160" s="38"/>
      <c r="L160" s="5">
        <v>123</v>
      </c>
      <c r="M160" s="34">
        <v>3953.49</v>
      </c>
      <c r="O160" s="76"/>
      <c r="P160" s="34"/>
      <c r="R160" s="5"/>
      <c r="S160" s="34"/>
      <c r="U160" s="55" t="e">
        <f t="shared" si="101"/>
        <v>#REF!</v>
      </c>
      <c r="V160" s="128" t="e">
        <f t="shared" si="102"/>
        <v>#REF!</v>
      </c>
      <c r="X160" s="81">
        <v>870</v>
      </c>
      <c r="Y160" s="86">
        <v>29.87</v>
      </c>
      <c r="Z160" s="34">
        <f t="shared" si="103"/>
        <v>25986.9</v>
      </c>
      <c r="AA160" s="134">
        <f t="shared" si="104"/>
        <v>25986.9</v>
      </c>
      <c r="AB160" s="109" t="e">
        <f t="shared" si="105"/>
        <v>#REF!</v>
      </c>
      <c r="AC160" t="s">
        <v>30</v>
      </c>
      <c r="AD160" s="136" t="e">
        <f t="shared" si="115"/>
        <v>#REF!</v>
      </c>
      <c r="AE160" t="s">
        <v>55</v>
      </c>
      <c r="AF160" s="125"/>
      <c r="AG160" s="125"/>
      <c r="AH160" s="125"/>
      <c r="AI160" s="129"/>
    </row>
    <row r="161" spans="1:35" x14ac:dyDescent="0.25">
      <c r="A161" t="s">
        <v>31</v>
      </c>
      <c r="B161" t="s">
        <v>54</v>
      </c>
      <c r="C161" s="55" t="e">
        <f t="shared" ref="C161:D161" si="142">U194</f>
        <v>#REF!</v>
      </c>
      <c r="D161" s="56" t="e">
        <f t="shared" si="142"/>
        <v>#REF!</v>
      </c>
      <c r="E161" s="60"/>
      <c r="F161" s="55"/>
      <c r="G161" s="34"/>
      <c r="H161" s="38"/>
      <c r="I161" s="55"/>
      <c r="J161" s="34"/>
      <c r="K161" s="38"/>
      <c r="L161" s="5"/>
      <c r="M161" s="34"/>
      <c r="O161" s="76"/>
      <c r="P161" s="34"/>
      <c r="R161" s="5"/>
      <c r="S161" s="34"/>
      <c r="U161" s="55" t="e">
        <f t="shared" si="101"/>
        <v>#REF!</v>
      </c>
      <c r="V161" s="128" t="e">
        <f t="shared" si="102"/>
        <v>#REF!</v>
      </c>
      <c r="X161" s="81" t="e">
        <f t="shared" ref="X161" si="143">U161</f>
        <v>#REF!</v>
      </c>
      <c r="Y161" s="86">
        <v>25.54</v>
      </c>
      <c r="Z161" s="34" t="e">
        <f t="shared" si="103"/>
        <v>#REF!</v>
      </c>
      <c r="AA161" s="134" t="e">
        <f t="shared" si="104"/>
        <v>#REF!</v>
      </c>
      <c r="AB161" s="109" t="e">
        <f t="shared" si="105"/>
        <v>#REF!</v>
      </c>
      <c r="AC161" t="s">
        <v>31</v>
      </c>
      <c r="AD161" s="136" t="e">
        <f t="shared" si="115"/>
        <v>#REF!</v>
      </c>
      <c r="AE161" t="s">
        <v>54</v>
      </c>
      <c r="AF161" s="125"/>
      <c r="AG161" s="125"/>
      <c r="AH161" s="125"/>
      <c r="AI161" s="129"/>
    </row>
    <row r="162" spans="1:35" x14ac:dyDescent="0.25">
      <c r="C162" s="34"/>
      <c r="D162" s="57" t="e">
        <f>SUM(D132:D161)</f>
        <v>#REF!</v>
      </c>
      <c r="E162" s="61"/>
      <c r="F162" s="68"/>
      <c r="G162" s="57">
        <f>SUM(G132:G161)</f>
        <v>454.68</v>
      </c>
      <c r="H162" s="27"/>
      <c r="I162" s="68"/>
      <c r="J162" s="57">
        <f>SUM(J131:J161)</f>
        <v>0</v>
      </c>
      <c r="K162" s="61"/>
      <c r="L162" s="34"/>
      <c r="M162" s="69">
        <f>SUM(M131:M161)</f>
        <v>67850.240000000005</v>
      </c>
      <c r="N162" s="38"/>
      <c r="O162" s="76"/>
      <c r="P162" s="57">
        <f>SUM(P132:P161)</f>
        <v>-9585.9299999999985</v>
      </c>
      <c r="R162" s="5"/>
      <c r="S162" s="57">
        <f>SUM(S132:S161)</f>
        <v>0</v>
      </c>
      <c r="U162" s="5"/>
      <c r="V162" s="57" t="e">
        <f>SUM(V131:V161)</f>
        <v>#REF!</v>
      </c>
      <c r="X162" s="3"/>
      <c r="Y162" s="83"/>
      <c r="Z162" s="33" t="e">
        <f>SUM(Z131:Z161)</f>
        <v>#REF!</v>
      </c>
      <c r="AA162" s="137" t="e">
        <f>SUM(AA131:AA161)</f>
        <v>#REF!</v>
      </c>
      <c r="AB162" s="109" t="e">
        <f t="shared" si="105"/>
        <v>#REF!</v>
      </c>
      <c r="AC162" s="135"/>
      <c r="AD162" s="136" t="e">
        <f t="shared" si="115"/>
        <v>#REF!</v>
      </c>
      <c r="AF162" s="125"/>
      <c r="AG162" s="125"/>
      <c r="AH162" s="125"/>
      <c r="AI162" s="129"/>
    </row>
    <row r="163" spans="1:35" x14ac:dyDescent="0.25">
      <c r="C163" s="63" t="s">
        <v>176</v>
      </c>
      <c r="D163" s="64" t="e">
        <f>D162</f>
        <v>#REF!</v>
      </c>
      <c r="F163" s="63" t="s">
        <v>176</v>
      </c>
      <c r="G163" s="64">
        <f>G162</f>
        <v>454.68</v>
      </c>
      <c r="I163" s="63" t="s">
        <v>176</v>
      </c>
      <c r="J163" s="67">
        <f>J162</f>
        <v>0</v>
      </c>
      <c r="K163" s="72"/>
      <c r="L163" s="63" t="s">
        <v>176</v>
      </c>
      <c r="M163" s="67">
        <f>M162</f>
        <v>67850.240000000005</v>
      </c>
      <c r="N163" s="70"/>
      <c r="O163" s="63" t="s">
        <v>176</v>
      </c>
      <c r="P163" s="67">
        <f>P162</f>
        <v>-9585.9299999999985</v>
      </c>
      <c r="R163" s="63" t="s">
        <v>176</v>
      </c>
      <c r="S163" s="67">
        <f>S162</f>
        <v>0</v>
      </c>
      <c r="V163" s="2" t="e">
        <f>V162</f>
        <v>#REF!</v>
      </c>
      <c r="Z163" s="85" t="s">
        <v>176</v>
      </c>
      <c r="AA163" s="73"/>
      <c r="AB163" s="108"/>
      <c r="AC163" s="132"/>
      <c r="AD163" s="132"/>
      <c r="AF163" s="125"/>
      <c r="AG163" s="125"/>
      <c r="AH163" s="125"/>
      <c r="AI163" s="129"/>
    </row>
    <row r="164" spans="1:35" x14ac:dyDescent="0.25">
      <c r="B164" s="29"/>
      <c r="O164" t="s">
        <v>327</v>
      </c>
      <c r="P164" s="12" t="e">
        <f>D146+D152</f>
        <v>#REF!</v>
      </c>
      <c r="AE164" s="29"/>
      <c r="AF164" s="125"/>
      <c r="AG164" s="125"/>
      <c r="AH164" s="125"/>
      <c r="AI164" s="129"/>
    </row>
    <row r="165" spans="1:35" x14ac:dyDescent="0.25">
      <c r="A165" t="s">
        <v>170</v>
      </c>
      <c r="C165" s="51">
        <v>42185</v>
      </c>
      <c r="D165" s="51">
        <v>42185</v>
      </c>
      <c r="E165" s="48"/>
      <c r="F165" s="3" t="s">
        <v>174</v>
      </c>
      <c r="G165" s="3"/>
      <c r="H165" s="20"/>
      <c r="I165" s="32" t="s">
        <v>174</v>
      </c>
      <c r="J165" s="3"/>
      <c r="K165" s="20"/>
      <c r="L165" s="32" t="s">
        <v>317</v>
      </c>
      <c r="M165" s="3"/>
      <c r="O165" s="74" t="s">
        <v>376</v>
      </c>
      <c r="P165" s="71"/>
      <c r="R165" s="74" t="s">
        <v>377</v>
      </c>
      <c r="S165" s="75"/>
      <c r="U165" s="77">
        <v>42551</v>
      </c>
      <c r="V165" s="71"/>
      <c r="X165" s="77">
        <v>42551</v>
      </c>
      <c r="Y165" s="80"/>
      <c r="Z165" s="71"/>
      <c r="AA165" s="51">
        <v>42551</v>
      </c>
      <c r="AB165" s="3"/>
      <c r="AC165" s="4" t="s">
        <v>170</v>
      </c>
      <c r="AD165" s="4" t="s">
        <v>296</v>
      </c>
      <c r="AF165" s="125"/>
      <c r="AG165" s="125"/>
      <c r="AH165" s="125"/>
      <c r="AI165" s="129"/>
    </row>
    <row r="166" spans="1:35" ht="30" x14ac:dyDescent="0.25">
      <c r="A166" s="1" t="s">
        <v>171</v>
      </c>
      <c r="B166" s="39" t="s">
        <v>42</v>
      </c>
      <c r="C166" s="52" t="s">
        <v>172</v>
      </c>
      <c r="D166" s="4" t="s">
        <v>173</v>
      </c>
      <c r="E166" s="58"/>
      <c r="F166" s="4" t="s">
        <v>175</v>
      </c>
      <c r="G166" s="4" t="s">
        <v>173</v>
      </c>
      <c r="H166" s="58"/>
      <c r="I166" s="52" t="s">
        <v>172</v>
      </c>
      <c r="J166" s="4" t="s">
        <v>173</v>
      </c>
      <c r="K166" s="58"/>
      <c r="L166" s="52" t="s">
        <v>172</v>
      </c>
      <c r="M166" s="4" t="s">
        <v>173</v>
      </c>
      <c r="O166" s="52" t="s">
        <v>172</v>
      </c>
      <c r="P166" s="4" t="s">
        <v>173</v>
      </c>
      <c r="R166" s="52" t="s">
        <v>172</v>
      </c>
      <c r="S166" s="4" t="s">
        <v>173</v>
      </c>
      <c r="U166" s="52" t="s">
        <v>172</v>
      </c>
      <c r="V166" s="4" t="s">
        <v>173</v>
      </c>
      <c r="X166" s="78" t="s">
        <v>172</v>
      </c>
      <c r="Y166" s="79" t="s">
        <v>203</v>
      </c>
      <c r="Z166" s="3" t="s">
        <v>93</v>
      </c>
      <c r="AA166" s="3" t="s">
        <v>294</v>
      </c>
      <c r="AB166" s="3" t="s">
        <v>295</v>
      </c>
      <c r="AC166" s="133" t="s">
        <v>171</v>
      </c>
      <c r="AD166" s="133" t="s">
        <v>297</v>
      </c>
      <c r="AE166" s="39" t="s">
        <v>42</v>
      </c>
      <c r="AF166" s="125"/>
      <c r="AG166" s="125"/>
      <c r="AH166" s="125"/>
      <c r="AI166" s="129"/>
    </row>
    <row r="167" spans="1:35" x14ac:dyDescent="0.25">
      <c r="C167" s="53"/>
      <c r="D167" s="54"/>
      <c r="E167" s="59"/>
      <c r="F167" s="54"/>
      <c r="G167" s="54"/>
      <c r="H167" s="59"/>
      <c r="I167" s="54"/>
      <c r="J167" s="3"/>
      <c r="K167" s="20"/>
      <c r="L167" s="54"/>
      <c r="M167" s="3"/>
      <c r="N167" s="28"/>
      <c r="O167" s="3"/>
      <c r="P167" s="34"/>
      <c r="R167" s="5"/>
      <c r="S167" s="34"/>
      <c r="U167" s="5"/>
      <c r="V167" s="34"/>
      <c r="X167" s="3"/>
      <c r="Y167" s="3"/>
      <c r="Z167" s="3"/>
      <c r="AC167" s="132"/>
      <c r="AD167" s="132"/>
      <c r="AF167" s="125"/>
      <c r="AG167" s="125"/>
      <c r="AH167" s="125"/>
      <c r="AI167" s="129"/>
    </row>
    <row r="168" spans="1:35" x14ac:dyDescent="0.25">
      <c r="A168" t="s">
        <v>16</v>
      </c>
      <c r="B168" t="s">
        <v>43</v>
      </c>
      <c r="C168" s="55" t="e">
        <f>U203</f>
        <v>#REF!</v>
      </c>
      <c r="D168" s="56" t="e">
        <f>V203</f>
        <v>#REF!</v>
      </c>
      <c r="E168" s="60"/>
      <c r="F168" s="68"/>
      <c r="G168" s="34"/>
      <c r="H168" s="38"/>
      <c r="I168" s="55"/>
      <c r="J168" s="34"/>
      <c r="K168" s="38"/>
      <c r="L168" s="5"/>
      <c r="M168" s="34"/>
      <c r="O168" s="76"/>
      <c r="P168" s="34"/>
      <c r="R168" s="5"/>
      <c r="S168" s="34"/>
      <c r="U168" s="55" t="e">
        <f>+C168+F168+I168+L168+O168+R168</f>
        <v>#REF!</v>
      </c>
      <c r="V168" s="128" t="e">
        <f>+D168+G168+J168+M168+P168+S168</f>
        <v>#REF!</v>
      </c>
      <c r="X168" s="81" t="e">
        <f>U168</f>
        <v>#REF!</v>
      </c>
      <c r="Y168" s="82">
        <v>18.649999999999999</v>
      </c>
      <c r="Z168" s="34" t="e">
        <f>X168*Y168</f>
        <v>#REF!</v>
      </c>
      <c r="AA168" s="134" t="e">
        <f>Z168</f>
        <v>#REF!</v>
      </c>
      <c r="AB168" s="109" t="e">
        <f>AA168-V168</f>
        <v>#REF!</v>
      </c>
      <c r="AC168" t="s">
        <v>16</v>
      </c>
      <c r="AD168" s="136" t="e">
        <f>AB168/V168</f>
        <v>#REF!</v>
      </c>
      <c r="AE168" t="s">
        <v>43</v>
      </c>
      <c r="AF168" s="125"/>
      <c r="AG168" s="125"/>
      <c r="AH168" s="125"/>
      <c r="AI168" s="129"/>
    </row>
    <row r="169" spans="1:35" x14ac:dyDescent="0.25">
      <c r="A169" t="s">
        <v>347</v>
      </c>
      <c r="B169" t="s">
        <v>343</v>
      </c>
      <c r="C169" s="55">
        <f>U204</f>
        <v>810</v>
      </c>
      <c r="D169" s="56">
        <f>V204</f>
        <v>10049.65</v>
      </c>
      <c r="E169" s="60"/>
      <c r="F169" s="68"/>
      <c r="G169" s="34"/>
      <c r="H169" s="38"/>
      <c r="I169" s="55"/>
      <c r="J169" s="34"/>
      <c r="K169" s="38"/>
      <c r="L169" s="5"/>
      <c r="M169" s="34"/>
      <c r="O169" s="76"/>
      <c r="P169" s="34"/>
      <c r="R169" s="5"/>
      <c r="S169" s="34"/>
      <c r="U169" s="55">
        <f t="shared" ref="U169:V194" si="144">+C169+F169+I169+L169+O169+R169</f>
        <v>810</v>
      </c>
      <c r="V169" s="128">
        <f t="shared" si="144"/>
        <v>10049.65</v>
      </c>
      <c r="X169" s="81">
        <f>U169</f>
        <v>810</v>
      </c>
      <c r="Y169" s="86">
        <v>10.59</v>
      </c>
      <c r="Z169" s="34">
        <f t="shared" ref="Z169:Z194" si="145">X169*Y169</f>
        <v>8577.9</v>
      </c>
      <c r="AA169" s="134">
        <f t="shared" ref="AA169:AA194" si="146">Z169</f>
        <v>8577.9</v>
      </c>
      <c r="AB169" s="109">
        <f t="shared" ref="AB169:AB195" si="147">AA169-V169</f>
        <v>-1471.75</v>
      </c>
      <c r="AC169" t="s">
        <v>347</v>
      </c>
      <c r="AD169" s="136">
        <v>0</v>
      </c>
      <c r="AE169" t="s">
        <v>343</v>
      </c>
      <c r="AF169" s="125"/>
      <c r="AG169" s="125"/>
      <c r="AH169" s="125"/>
      <c r="AI169" s="129"/>
    </row>
    <row r="170" spans="1:35" x14ac:dyDescent="0.25">
      <c r="A170" t="s">
        <v>18</v>
      </c>
      <c r="B170" t="s">
        <v>60</v>
      </c>
      <c r="C170" s="55" t="e">
        <f t="shared" ref="C170:D175" si="148">U205</f>
        <v>#REF!</v>
      </c>
      <c r="D170" s="56" t="e">
        <f t="shared" si="148"/>
        <v>#REF!</v>
      </c>
      <c r="E170" s="60"/>
      <c r="F170" s="55"/>
      <c r="G170" s="34"/>
      <c r="H170" s="38"/>
      <c r="I170" s="55"/>
      <c r="J170" s="34"/>
      <c r="K170" s="38"/>
      <c r="L170" s="5"/>
      <c r="M170" s="34"/>
      <c r="O170" s="76">
        <v>141</v>
      </c>
      <c r="P170" s="34">
        <v>10081.5</v>
      </c>
      <c r="R170" s="5"/>
      <c r="S170" s="34"/>
      <c r="U170" s="55" t="e">
        <f t="shared" si="144"/>
        <v>#REF!</v>
      </c>
      <c r="V170" s="128" t="e">
        <f t="shared" si="144"/>
        <v>#REF!</v>
      </c>
      <c r="X170" s="81">
        <v>3381</v>
      </c>
      <c r="Y170" s="86">
        <v>74.37</v>
      </c>
      <c r="Z170" s="34">
        <f t="shared" si="145"/>
        <v>251444.97</v>
      </c>
      <c r="AA170" s="134">
        <f t="shared" si="146"/>
        <v>251444.97</v>
      </c>
      <c r="AB170" s="109" t="e">
        <f t="shared" si="147"/>
        <v>#REF!</v>
      </c>
      <c r="AC170" t="s">
        <v>18</v>
      </c>
      <c r="AD170" s="136" t="e">
        <f t="shared" ref="AD170:AD173" si="149">AB170/V170</f>
        <v>#REF!</v>
      </c>
      <c r="AE170" t="s">
        <v>60</v>
      </c>
      <c r="AF170" s="125"/>
      <c r="AG170" s="125"/>
      <c r="AH170" s="125"/>
      <c r="AI170" s="129"/>
    </row>
    <row r="171" spans="1:35" x14ac:dyDescent="0.25">
      <c r="A171" t="s">
        <v>189</v>
      </c>
      <c r="B171" t="s">
        <v>45</v>
      </c>
      <c r="C171" s="55" t="e">
        <f t="shared" si="148"/>
        <v>#REF!</v>
      </c>
      <c r="D171" s="56" t="e">
        <f t="shared" si="148"/>
        <v>#REF!</v>
      </c>
      <c r="E171" s="60"/>
      <c r="F171" s="55"/>
      <c r="G171" s="34"/>
      <c r="H171" s="38"/>
      <c r="I171" s="55"/>
      <c r="J171" s="34"/>
      <c r="K171" s="38"/>
      <c r="L171" s="5"/>
      <c r="M171" s="34"/>
      <c r="O171" s="76"/>
      <c r="P171" s="34"/>
      <c r="R171" s="5"/>
      <c r="S171" s="34"/>
      <c r="U171" s="55" t="e">
        <f t="shared" si="144"/>
        <v>#REF!</v>
      </c>
      <c r="V171" s="128" t="e">
        <f t="shared" si="144"/>
        <v>#REF!</v>
      </c>
      <c r="X171" s="81" t="e">
        <f t="shared" ref="X171:X190" si="150">U171</f>
        <v>#REF!</v>
      </c>
      <c r="Y171" s="86">
        <v>8.23</v>
      </c>
      <c r="Z171" s="34" t="e">
        <f t="shared" si="145"/>
        <v>#REF!</v>
      </c>
      <c r="AA171" s="134" t="e">
        <f t="shared" si="146"/>
        <v>#REF!</v>
      </c>
      <c r="AB171" s="109" t="e">
        <f t="shared" si="147"/>
        <v>#REF!</v>
      </c>
      <c r="AC171" t="s">
        <v>189</v>
      </c>
      <c r="AD171" s="136" t="e">
        <f t="shared" si="149"/>
        <v>#REF!</v>
      </c>
      <c r="AE171" t="s">
        <v>45</v>
      </c>
      <c r="AF171" s="125"/>
      <c r="AG171" s="125"/>
      <c r="AH171" s="125"/>
      <c r="AI171" s="129"/>
    </row>
    <row r="172" spans="1:35" x14ac:dyDescent="0.25">
      <c r="A172" t="s">
        <v>230</v>
      </c>
      <c r="B172" t="s">
        <v>228</v>
      </c>
      <c r="C172" s="55">
        <f t="shared" si="148"/>
        <v>300</v>
      </c>
      <c r="D172" s="56">
        <f t="shared" si="148"/>
        <v>9075.34</v>
      </c>
      <c r="E172" s="60"/>
      <c r="F172" s="55"/>
      <c r="G172" s="34"/>
      <c r="H172" s="38"/>
      <c r="I172" s="55"/>
      <c r="J172" s="34"/>
      <c r="K172" s="38"/>
      <c r="L172" s="5"/>
      <c r="M172" s="34"/>
      <c r="O172" s="76"/>
      <c r="P172" s="34"/>
      <c r="R172" s="5"/>
      <c r="S172" s="34"/>
      <c r="U172" s="55">
        <f t="shared" si="144"/>
        <v>300</v>
      </c>
      <c r="V172" s="128">
        <f t="shared" si="144"/>
        <v>9075.34</v>
      </c>
      <c r="X172" s="81">
        <f t="shared" si="150"/>
        <v>300</v>
      </c>
      <c r="Y172" s="86">
        <v>112.18</v>
      </c>
      <c r="Z172" s="34">
        <f t="shared" si="145"/>
        <v>33654</v>
      </c>
      <c r="AA172" s="134">
        <f t="shared" si="146"/>
        <v>33654</v>
      </c>
      <c r="AB172" s="109">
        <f t="shared" si="147"/>
        <v>24578.66</v>
      </c>
      <c r="AC172" t="s">
        <v>230</v>
      </c>
      <c r="AD172" s="136">
        <f t="shared" si="149"/>
        <v>2.7082908188563732</v>
      </c>
      <c r="AE172" t="s">
        <v>228</v>
      </c>
      <c r="AF172" s="125"/>
      <c r="AG172" s="125"/>
      <c r="AH172" s="125"/>
      <c r="AI172" s="129"/>
    </row>
    <row r="173" spans="1:35" x14ac:dyDescent="0.25">
      <c r="A173" t="s">
        <v>355</v>
      </c>
      <c r="B173" t="s">
        <v>351</v>
      </c>
      <c r="C173" s="55">
        <f t="shared" si="148"/>
        <v>750</v>
      </c>
      <c r="D173" s="56">
        <f t="shared" si="148"/>
        <v>10657.45</v>
      </c>
      <c r="E173" s="60"/>
      <c r="F173" s="55"/>
      <c r="G173" s="34"/>
      <c r="H173" s="38"/>
      <c r="I173" s="55"/>
      <c r="J173" s="34"/>
      <c r="K173" s="38"/>
      <c r="L173" s="5"/>
      <c r="M173" s="34"/>
      <c r="O173" s="76"/>
      <c r="P173" s="34"/>
      <c r="R173" s="5"/>
      <c r="S173" s="34"/>
      <c r="U173" s="55">
        <f t="shared" si="144"/>
        <v>750</v>
      </c>
      <c r="V173" s="128">
        <f t="shared" si="144"/>
        <v>10657.45</v>
      </c>
      <c r="X173" s="81">
        <f t="shared" si="150"/>
        <v>750</v>
      </c>
      <c r="Y173" s="86">
        <v>12.61</v>
      </c>
      <c r="Z173" s="34">
        <f t="shared" si="145"/>
        <v>9457.5</v>
      </c>
      <c r="AA173" s="134">
        <f t="shared" si="146"/>
        <v>9457.5</v>
      </c>
      <c r="AB173" s="109">
        <f t="shared" si="147"/>
        <v>-1199.9500000000007</v>
      </c>
      <c r="AC173" t="s">
        <v>355</v>
      </c>
      <c r="AD173" s="136">
        <f t="shared" si="149"/>
        <v>-0.11259259954304272</v>
      </c>
      <c r="AE173" t="s">
        <v>351</v>
      </c>
      <c r="AF173" s="125"/>
      <c r="AG173" s="125"/>
      <c r="AH173" s="125"/>
      <c r="AI173" s="129"/>
    </row>
    <row r="174" spans="1:35" x14ac:dyDescent="0.25">
      <c r="A174" t="s">
        <v>369</v>
      </c>
      <c r="B174" t="s">
        <v>370</v>
      </c>
      <c r="C174" s="55">
        <f t="shared" si="148"/>
        <v>0</v>
      </c>
      <c r="D174" s="56">
        <f t="shared" si="148"/>
        <v>0</v>
      </c>
      <c r="E174" s="60"/>
      <c r="F174" s="55"/>
      <c r="G174" s="34"/>
      <c r="H174" s="38"/>
      <c r="I174" s="55"/>
      <c r="J174" s="34"/>
      <c r="K174" s="38"/>
      <c r="L174" s="5"/>
      <c r="M174" s="34"/>
      <c r="O174" s="76"/>
      <c r="P174" s="34"/>
      <c r="R174" s="5">
        <v>175</v>
      </c>
      <c r="S174" s="34">
        <v>701.75</v>
      </c>
      <c r="U174" s="55">
        <f t="shared" si="144"/>
        <v>175</v>
      </c>
      <c r="V174" s="128">
        <f t="shared" si="144"/>
        <v>701.75</v>
      </c>
      <c r="X174" s="81">
        <v>175</v>
      </c>
      <c r="Y174" s="86">
        <v>4.17</v>
      </c>
      <c r="Z174" s="34">
        <f t="shared" si="145"/>
        <v>729.75</v>
      </c>
      <c r="AA174" s="134">
        <f t="shared" si="146"/>
        <v>729.75</v>
      </c>
      <c r="AB174" s="109">
        <f t="shared" si="147"/>
        <v>28</v>
      </c>
      <c r="AC174" t="s">
        <v>369</v>
      </c>
      <c r="AD174" s="136"/>
      <c r="AE174" t="s">
        <v>369</v>
      </c>
      <c r="AF174" s="125"/>
      <c r="AG174" s="125"/>
      <c r="AH174" s="125"/>
      <c r="AI174" s="129"/>
    </row>
    <row r="175" spans="1:35" x14ac:dyDescent="0.25">
      <c r="A175" t="s">
        <v>20</v>
      </c>
      <c r="B175" t="s">
        <v>46</v>
      </c>
      <c r="C175" s="55" t="e">
        <f t="shared" si="148"/>
        <v>#REF!</v>
      </c>
      <c r="D175" s="56" t="e">
        <f t="shared" si="148"/>
        <v>#REF!</v>
      </c>
      <c r="E175" s="60"/>
      <c r="F175" s="55"/>
      <c r="G175" s="34"/>
      <c r="H175" s="38"/>
      <c r="I175" s="55"/>
      <c r="J175" s="34"/>
      <c r="K175" s="38"/>
      <c r="L175" s="5"/>
      <c r="M175" s="34"/>
      <c r="O175" s="76"/>
      <c r="P175" s="34"/>
      <c r="R175" s="5"/>
      <c r="S175" s="34"/>
      <c r="U175" s="55" t="e">
        <f t="shared" si="144"/>
        <v>#REF!</v>
      </c>
      <c r="V175" s="128" t="e">
        <f t="shared" si="144"/>
        <v>#REF!</v>
      </c>
      <c r="X175" s="81" t="e">
        <f t="shared" si="150"/>
        <v>#REF!</v>
      </c>
      <c r="Y175" s="86">
        <v>6.32</v>
      </c>
      <c r="Z175" s="34" t="e">
        <f t="shared" si="145"/>
        <v>#REF!</v>
      </c>
      <c r="AA175" s="134" t="e">
        <f t="shared" si="146"/>
        <v>#REF!</v>
      </c>
      <c r="AB175" s="109" t="e">
        <f t="shared" si="147"/>
        <v>#REF!</v>
      </c>
      <c r="AC175" t="s">
        <v>20</v>
      </c>
      <c r="AD175" s="136" t="e">
        <f t="shared" ref="AD175:AD195" si="151">AB175/V175</f>
        <v>#REF!</v>
      </c>
      <c r="AE175" t="s">
        <v>46</v>
      </c>
      <c r="AF175" s="125"/>
      <c r="AG175" s="125"/>
      <c r="AH175" s="125"/>
      <c r="AI175" s="129"/>
    </row>
    <row r="176" spans="1:35" x14ac:dyDescent="0.25">
      <c r="A176" t="s">
        <v>23</v>
      </c>
      <c r="B176" t="s">
        <v>48</v>
      </c>
      <c r="C176" s="55" t="e">
        <f t="shared" ref="C176:D176" si="152">U212</f>
        <v>#REF!</v>
      </c>
      <c r="D176" s="56" t="e">
        <f t="shared" si="152"/>
        <v>#REF!</v>
      </c>
      <c r="E176" s="60"/>
      <c r="F176" s="55"/>
      <c r="G176" s="34"/>
      <c r="H176" s="38"/>
      <c r="I176" s="55"/>
      <c r="J176" s="34"/>
      <c r="K176" s="38"/>
      <c r="L176" s="5"/>
      <c r="M176" s="34"/>
      <c r="O176" s="76"/>
      <c r="P176" s="34"/>
      <c r="R176" s="5"/>
      <c r="S176" s="34"/>
      <c r="U176" s="55" t="e">
        <f t="shared" si="144"/>
        <v>#REF!</v>
      </c>
      <c r="V176" s="128" t="e">
        <f t="shared" si="144"/>
        <v>#REF!</v>
      </c>
      <c r="X176" s="81" t="e">
        <f t="shared" si="150"/>
        <v>#REF!</v>
      </c>
      <c r="Y176" s="86">
        <v>5.45</v>
      </c>
      <c r="Z176" s="34" t="e">
        <f t="shared" si="145"/>
        <v>#REF!</v>
      </c>
      <c r="AA176" s="134" t="e">
        <f t="shared" si="146"/>
        <v>#REF!</v>
      </c>
      <c r="AB176" s="109" t="e">
        <f t="shared" si="147"/>
        <v>#REF!</v>
      </c>
      <c r="AC176" t="s">
        <v>23</v>
      </c>
      <c r="AD176" s="136" t="e">
        <f t="shared" si="151"/>
        <v>#REF!</v>
      </c>
      <c r="AE176" t="s">
        <v>48</v>
      </c>
      <c r="AF176" s="125"/>
      <c r="AG176" s="125"/>
      <c r="AH176" s="125"/>
      <c r="AI176" s="129"/>
    </row>
    <row r="177" spans="1:35" x14ac:dyDescent="0.25">
      <c r="A177" t="s">
        <v>371</v>
      </c>
      <c r="B177" t="s">
        <v>372</v>
      </c>
      <c r="C177" s="55"/>
      <c r="D177" s="56"/>
      <c r="E177" s="60"/>
      <c r="F177" s="55"/>
      <c r="G177" s="34"/>
      <c r="H177" s="38"/>
      <c r="I177" s="55"/>
      <c r="J177" s="34"/>
      <c r="K177" s="38"/>
      <c r="L177" s="5">
        <v>1000</v>
      </c>
      <c r="M177" s="34">
        <v>24959.9</v>
      </c>
      <c r="O177" s="76"/>
      <c r="P177" s="34"/>
      <c r="R177" s="5"/>
      <c r="S177" s="34"/>
      <c r="U177" s="55">
        <f t="shared" si="144"/>
        <v>1000</v>
      </c>
      <c r="V177" s="128">
        <f t="shared" si="144"/>
        <v>24959.9</v>
      </c>
      <c r="X177" s="81">
        <v>1000</v>
      </c>
      <c r="Y177" s="86">
        <v>22.25</v>
      </c>
      <c r="Z177" s="34">
        <f t="shared" si="145"/>
        <v>22250</v>
      </c>
      <c r="AA177" s="134">
        <f t="shared" si="146"/>
        <v>22250</v>
      </c>
      <c r="AB177" s="109">
        <f t="shared" si="147"/>
        <v>-2709.9000000000015</v>
      </c>
      <c r="AC177" t="s">
        <v>371</v>
      </c>
      <c r="AD177" s="136">
        <f t="shared" si="151"/>
        <v>-0.10857014651501012</v>
      </c>
      <c r="AE177" t="s">
        <v>372</v>
      </c>
      <c r="AF177" s="125"/>
      <c r="AG177" s="125"/>
      <c r="AH177" s="125"/>
      <c r="AI177" s="129"/>
    </row>
    <row r="178" spans="1:35" x14ac:dyDescent="0.25">
      <c r="A178" t="s">
        <v>373</v>
      </c>
      <c r="B178" t="s">
        <v>374</v>
      </c>
      <c r="C178" s="55"/>
      <c r="D178" s="56"/>
      <c r="E178" s="60"/>
      <c r="F178" s="55"/>
      <c r="G178" s="34"/>
      <c r="H178" s="38"/>
      <c r="I178" s="55"/>
      <c r="J178" s="34"/>
      <c r="K178" s="38"/>
      <c r="L178" s="5">
        <v>175</v>
      </c>
      <c r="M178" s="34">
        <v>11277.2</v>
      </c>
      <c r="O178" s="76"/>
      <c r="P178" s="34"/>
      <c r="R178" s="5"/>
      <c r="S178" s="34"/>
      <c r="U178" s="55">
        <f t="shared" si="144"/>
        <v>175</v>
      </c>
      <c r="V178" s="128">
        <f t="shared" si="144"/>
        <v>11277.2</v>
      </c>
      <c r="X178" s="81">
        <v>175</v>
      </c>
      <c r="Y178" s="86">
        <v>68.900000000000006</v>
      </c>
      <c r="Z178" s="34">
        <f t="shared" si="145"/>
        <v>12057.500000000002</v>
      </c>
      <c r="AA178" s="134">
        <f t="shared" si="146"/>
        <v>12057.500000000002</v>
      </c>
      <c r="AB178" s="109">
        <f t="shared" si="147"/>
        <v>780.30000000000109</v>
      </c>
      <c r="AC178" t="s">
        <v>373</v>
      </c>
      <c r="AD178" s="136">
        <f t="shared" si="151"/>
        <v>6.9192707409640786E-2</v>
      </c>
      <c r="AE178" t="s">
        <v>374</v>
      </c>
      <c r="AF178" s="125"/>
      <c r="AG178" s="125"/>
      <c r="AH178" s="125"/>
      <c r="AI178" s="129"/>
    </row>
    <row r="179" spans="1:35" x14ac:dyDescent="0.25">
      <c r="A179" t="s">
        <v>353</v>
      </c>
      <c r="B179" t="s">
        <v>354</v>
      </c>
      <c r="C179" s="55">
        <f t="shared" ref="C179:D194" si="153">U213</f>
        <v>1500</v>
      </c>
      <c r="D179" s="56">
        <f t="shared" si="153"/>
        <v>9739.36</v>
      </c>
      <c r="E179" s="60"/>
      <c r="F179" s="55"/>
      <c r="G179" s="34"/>
      <c r="H179" s="38"/>
      <c r="I179" s="55"/>
      <c r="J179" s="34"/>
      <c r="K179" s="38"/>
      <c r="L179" s="5"/>
      <c r="M179" s="34"/>
      <c r="O179" s="76"/>
      <c r="P179" s="34"/>
      <c r="R179" s="5"/>
      <c r="S179" s="34"/>
      <c r="U179" s="55">
        <f t="shared" si="144"/>
        <v>1500</v>
      </c>
      <c r="V179" s="128">
        <f t="shared" si="144"/>
        <v>9739.36</v>
      </c>
      <c r="X179" s="81">
        <f t="shared" si="150"/>
        <v>1500</v>
      </c>
      <c r="Y179" s="86">
        <v>5.76</v>
      </c>
      <c r="Z179" s="34">
        <f t="shared" si="145"/>
        <v>8640</v>
      </c>
      <c r="AA179" s="134">
        <f t="shared" si="146"/>
        <v>8640</v>
      </c>
      <c r="AB179" s="109">
        <f t="shared" si="147"/>
        <v>-1099.3600000000006</v>
      </c>
      <c r="AC179" t="s">
        <v>353</v>
      </c>
      <c r="AD179" s="136">
        <f t="shared" si="151"/>
        <v>-0.11287805358873688</v>
      </c>
      <c r="AE179" t="s">
        <v>354</v>
      </c>
      <c r="AF179" s="125"/>
      <c r="AG179" s="125"/>
      <c r="AH179" s="125"/>
      <c r="AI179" s="129"/>
    </row>
    <row r="180" spans="1:35" x14ac:dyDescent="0.25">
      <c r="A180" t="s">
        <v>356</v>
      </c>
      <c r="B180" t="s">
        <v>350</v>
      </c>
      <c r="C180" s="55">
        <f t="shared" si="153"/>
        <v>7760</v>
      </c>
      <c r="D180" s="56">
        <f t="shared" si="153"/>
        <v>16082.5</v>
      </c>
      <c r="E180" s="60"/>
      <c r="F180" s="55"/>
      <c r="G180" s="34"/>
      <c r="H180" s="38"/>
      <c r="I180" s="55"/>
      <c r="J180" s="34"/>
      <c r="K180" s="38"/>
      <c r="L180" s="5"/>
      <c r="M180" s="34"/>
      <c r="O180" s="76"/>
      <c r="P180" s="34"/>
      <c r="R180" s="5"/>
      <c r="S180" s="34"/>
      <c r="U180" s="55">
        <f t="shared" si="144"/>
        <v>7760</v>
      </c>
      <c r="V180" s="128">
        <f t="shared" si="144"/>
        <v>16082.5</v>
      </c>
      <c r="X180" s="81">
        <f t="shared" si="150"/>
        <v>7760</v>
      </c>
      <c r="Y180" s="86">
        <v>2.95</v>
      </c>
      <c r="Z180" s="34">
        <f t="shared" si="145"/>
        <v>22892</v>
      </c>
      <c r="AA180" s="134">
        <f t="shared" si="146"/>
        <v>22892</v>
      </c>
      <c r="AB180" s="109">
        <f t="shared" si="147"/>
        <v>6809.5</v>
      </c>
      <c r="AC180" t="s">
        <v>356</v>
      </c>
      <c r="AD180" s="136">
        <f t="shared" si="151"/>
        <v>0.42341053940618684</v>
      </c>
      <c r="AE180" t="s">
        <v>350</v>
      </c>
      <c r="AF180" s="125"/>
      <c r="AG180" s="125"/>
      <c r="AH180" s="125"/>
      <c r="AI180" s="129"/>
    </row>
    <row r="181" spans="1:35" x14ac:dyDescent="0.25">
      <c r="A181" t="s">
        <v>24</v>
      </c>
      <c r="B181" t="s">
        <v>49</v>
      </c>
      <c r="C181" s="55" t="e">
        <f t="shared" si="153"/>
        <v>#REF!</v>
      </c>
      <c r="D181" s="56" t="e">
        <f t="shared" si="153"/>
        <v>#REF!</v>
      </c>
      <c r="E181" s="60"/>
      <c r="F181" s="55"/>
      <c r="G181" s="34"/>
      <c r="H181" s="38"/>
      <c r="I181" s="55"/>
      <c r="J181" s="34"/>
      <c r="K181" s="38"/>
      <c r="L181" s="5"/>
      <c r="M181" s="34"/>
      <c r="O181" s="76"/>
      <c r="P181" s="34"/>
      <c r="R181" s="5"/>
      <c r="S181" s="34"/>
      <c r="U181" s="55" t="e">
        <f t="shared" si="144"/>
        <v>#REF!</v>
      </c>
      <c r="V181" s="128" t="e">
        <f t="shared" si="144"/>
        <v>#REF!</v>
      </c>
      <c r="X181" s="81" t="e">
        <f t="shared" si="150"/>
        <v>#REF!</v>
      </c>
      <c r="Y181" s="86">
        <v>0.30499999999999999</v>
      </c>
      <c r="Z181" s="34" t="e">
        <f t="shared" si="145"/>
        <v>#REF!</v>
      </c>
      <c r="AA181" s="134" t="e">
        <f t="shared" si="146"/>
        <v>#REF!</v>
      </c>
      <c r="AB181" s="109" t="e">
        <f t="shared" si="147"/>
        <v>#REF!</v>
      </c>
      <c r="AC181" t="s">
        <v>24</v>
      </c>
      <c r="AD181" s="136" t="e">
        <f t="shared" si="151"/>
        <v>#REF!</v>
      </c>
      <c r="AE181" t="s">
        <v>49</v>
      </c>
      <c r="AF181" s="125"/>
      <c r="AG181" s="125"/>
      <c r="AH181" s="125"/>
      <c r="AI181" s="129"/>
    </row>
    <row r="182" spans="1:35" x14ac:dyDescent="0.25">
      <c r="A182" t="s">
        <v>25</v>
      </c>
      <c r="B182" t="s">
        <v>75</v>
      </c>
      <c r="C182" s="55" t="e">
        <f t="shared" si="153"/>
        <v>#REF!</v>
      </c>
      <c r="D182" s="56" t="e">
        <f t="shared" si="153"/>
        <v>#REF!</v>
      </c>
      <c r="E182" s="60"/>
      <c r="F182" s="55"/>
      <c r="G182" s="34"/>
      <c r="H182" s="38"/>
      <c r="I182" s="55"/>
      <c r="J182" s="34"/>
      <c r="K182" s="38"/>
      <c r="L182" s="5"/>
      <c r="M182" s="34"/>
      <c r="O182" s="76"/>
      <c r="P182" s="34"/>
      <c r="R182" s="5">
        <v>0</v>
      </c>
      <c r="S182" s="34">
        <v>-701.75</v>
      </c>
      <c r="U182" s="55" t="e">
        <f t="shared" si="144"/>
        <v>#REF!</v>
      </c>
      <c r="V182" s="128" t="e">
        <f t="shared" si="144"/>
        <v>#REF!</v>
      </c>
      <c r="X182" s="81" t="e">
        <f t="shared" si="150"/>
        <v>#REF!</v>
      </c>
      <c r="Y182" s="86">
        <v>25.43</v>
      </c>
      <c r="Z182" s="34" t="e">
        <f t="shared" si="145"/>
        <v>#REF!</v>
      </c>
      <c r="AA182" s="134" t="e">
        <f t="shared" si="146"/>
        <v>#REF!</v>
      </c>
      <c r="AB182" s="109" t="e">
        <f t="shared" si="147"/>
        <v>#REF!</v>
      </c>
      <c r="AC182" t="s">
        <v>25</v>
      </c>
      <c r="AD182" s="136" t="e">
        <f t="shared" si="151"/>
        <v>#REF!</v>
      </c>
      <c r="AE182" t="s">
        <v>75</v>
      </c>
      <c r="AF182" s="125"/>
      <c r="AG182" s="125"/>
      <c r="AH182" s="125"/>
      <c r="AI182" s="129"/>
    </row>
    <row r="183" spans="1:35" x14ac:dyDescent="0.25">
      <c r="A183" t="s">
        <v>26</v>
      </c>
      <c r="B183" t="s">
        <v>50</v>
      </c>
      <c r="C183" s="55" t="e">
        <f t="shared" si="153"/>
        <v>#REF!</v>
      </c>
      <c r="D183" s="56" t="e">
        <f t="shared" si="153"/>
        <v>#REF!</v>
      </c>
      <c r="E183" s="60"/>
      <c r="F183" s="55"/>
      <c r="G183" s="34"/>
      <c r="H183" s="38"/>
      <c r="I183" s="55"/>
      <c r="J183" s="34"/>
      <c r="K183" s="38"/>
      <c r="L183" s="5"/>
      <c r="M183" s="34"/>
      <c r="O183" s="76"/>
      <c r="P183" s="34"/>
      <c r="R183" s="5"/>
      <c r="S183" s="34"/>
      <c r="U183" s="55" t="e">
        <f t="shared" si="144"/>
        <v>#REF!</v>
      </c>
      <c r="V183" s="128" t="e">
        <f t="shared" si="144"/>
        <v>#REF!</v>
      </c>
      <c r="X183" s="81" t="e">
        <f t="shared" si="150"/>
        <v>#REF!</v>
      </c>
      <c r="Y183" s="86">
        <v>12.33</v>
      </c>
      <c r="Z183" s="34" t="e">
        <f t="shared" si="145"/>
        <v>#REF!</v>
      </c>
      <c r="AA183" s="134" t="e">
        <f t="shared" si="146"/>
        <v>#REF!</v>
      </c>
      <c r="AB183" s="109" t="e">
        <f t="shared" si="147"/>
        <v>#REF!</v>
      </c>
      <c r="AC183" t="s">
        <v>26</v>
      </c>
      <c r="AD183" s="136" t="e">
        <f t="shared" si="151"/>
        <v>#REF!</v>
      </c>
      <c r="AE183" t="s">
        <v>50</v>
      </c>
      <c r="AF183" s="125"/>
      <c r="AG183" s="125"/>
      <c r="AH183" s="125"/>
      <c r="AI183" s="129"/>
    </row>
    <row r="184" spans="1:35" x14ac:dyDescent="0.25">
      <c r="A184" t="s">
        <v>232</v>
      </c>
      <c r="B184" t="s">
        <v>232</v>
      </c>
      <c r="C184" s="55">
        <f t="shared" si="153"/>
        <v>796</v>
      </c>
      <c r="D184" s="56">
        <f t="shared" si="153"/>
        <v>10497.35</v>
      </c>
      <c r="E184" s="60"/>
      <c r="F184" s="55">
        <v>23</v>
      </c>
      <c r="G184" s="34">
        <v>242.4</v>
      </c>
      <c r="H184" s="38"/>
      <c r="I184" s="55">
        <v>12</v>
      </c>
      <c r="J184" s="34">
        <v>159.19999999999999</v>
      </c>
      <c r="K184" s="38"/>
      <c r="L184" s="5"/>
      <c r="M184" s="34"/>
      <c r="O184" s="76"/>
      <c r="P184" s="34"/>
      <c r="R184" s="5"/>
      <c r="S184" s="34"/>
      <c r="U184" s="55">
        <f t="shared" si="144"/>
        <v>831</v>
      </c>
      <c r="V184" s="128">
        <f t="shared" si="144"/>
        <v>10898.95</v>
      </c>
      <c r="X184" s="81">
        <v>831</v>
      </c>
      <c r="Y184" s="86">
        <v>10.43</v>
      </c>
      <c r="Z184" s="34">
        <f t="shared" si="145"/>
        <v>8667.33</v>
      </c>
      <c r="AA184" s="134">
        <f t="shared" si="146"/>
        <v>8667.33</v>
      </c>
      <c r="AB184" s="109">
        <f t="shared" si="147"/>
        <v>-2231.6200000000008</v>
      </c>
      <c r="AC184" t="s">
        <v>232</v>
      </c>
      <c r="AD184" s="136">
        <f t="shared" si="151"/>
        <v>-0.20475550397056602</v>
      </c>
      <c r="AE184" t="s">
        <v>232</v>
      </c>
      <c r="AF184" s="125"/>
      <c r="AG184" s="125"/>
      <c r="AH184" s="125"/>
      <c r="AI184" s="129"/>
    </row>
    <row r="185" spans="1:35" x14ac:dyDescent="0.25">
      <c r="A185" t="s">
        <v>316</v>
      </c>
      <c r="C185" s="55">
        <f t="shared" si="153"/>
        <v>2000</v>
      </c>
      <c r="D185" s="56">
        <f t="shared" si="153"/>
        <v>10589.95</v>
      </c>
      <c r="E185" s="60"/>
      <c r="F185" s="55"/>
      <c r="G185" s="34"/>
      <c r="H185" s="38"/>
      <c r="I185" s="55"/>
      <c r="J185" s="34"/>
      <c r="K185" s="38"/>
      <c r="L185" s="5"/>
      <c r="M185" s="34"/>
      <c r="O185" s="76"/>
      <c r="P185" s="34"/>
      <c r="R185" s="5"/>
      <c r="S185" s="34"/>
      <c r="U185" s="55">
        <f t="shared" si="144"/>
        <v>2000</v>
      </c>
      <c r="V185" s="128">
        <f t="shared" si="144"/>
        <v>10589.95</v>
      </c>
      <c r="X185" s="81">
        <f t="shared" si="150"/>
        <v>2000</v>
      </c>
      <c r="Y185" s="86">
        <v>8.3000000000000007</v>
      </c>
      <c r="Z185" s="34">
        <f t="shared" si="145"/>
        <v>16600</v>
      </c>
      <c r="AA185" s="134">
        <f t="shared" si="146"/>
        <v>16600</v>
      </c>
      <c r="AB185" s="109">
        <f t="shared" si="147"/>
        <v>6010.0499999999993</v>
      </c>
      <c r="AC185" t="s">
        <v>316</v>
      </c>
      <c r="AD185" s="136">
        <f t="shared" si="151"/>
        <v>0.56752392598643042</v>
      </c>
      <c r="AE185" t="s">
        <v>375</v>
      </c>
      <c r="AF185" s="125"/>
      <c r="AG185" s="125"/>
      <c r="AH185" s="125"/>
      <c r="AI185" s="129"/>
    </row>
    <row r="186" spans="1:35" x14ac:dyDescent="0.25">
      <c r="A186" t="s">
        <v>27</v>
      </c>
      <c r="B186" t="s">
        <v>51</v>
      </c>
      <c r="C186" s="55" t="e">
        <f t="shared" si="153"/>
        <v>#REF!</v>
      </c>
      <c r="D186" s="56" t="e">
        <f t="shared" si="153"/>
        <v>#REF!</v>
      </c>
      <c r="E186" s="60"/>
      <c r="F186" s="55"/>
      <c r="G186" s="34"/>
      <c r="H186" s="38"/>
      <c r="I186" s="55"/>
      <c r="J186" s="34"/>
      <c r="K186" s="38"/>
      <c r="L186" s="5"/>
      <c r="M186" s="34"/>
      <c r="O186" s="76"/>
      <c r="P186" s="34"/>
      <c r="R186" s="5"/>
      <c r="S186" s="34"/>
      <c r="U186" s="55" t="e">
        <f t="shared" si="144"/>
        <v>#REF!</v>
      </c>
      <c r="V186" s="128" t="e">
        <f t="shared" si="144"/>
        <v>#REF!</v>
      </c>
      <c r="X186" s="81" t="e">
        <f t="shared" si="150"/>
        <v>#REF!</v>
      </c>
      <c r="Y186" s="86">
        <v>45.5</v>
      </c>
      <c r="Z186" s="34" t="e">
        <f t="shared" si="145"/>
        <v>#REF!</v>
      </c>
      <c r="AA186" s="134" t="e">
        <f t="shared" si="146"/>
        <v>#REF!</v>
      </c>
      <c r="AB186" s="109" t="e">
        <f t="shared" si="147"/>
        <v>#REF!</v>
      </c>
      <c r="AC186" t="s">
        <v>27</v>
      </c>
      <c r="AD186" s="136" t="e">
        <f t="shared" si="151"/>
        <v>#REF!</v>
      </c>
      <c r="AE186" t="s">
        <v>51</v>
      </c>
      <c r="AF186" s="125"/>
      <c r="AG186" s="125"/>
      <c r="AH186" s="125"/>
      <c r="AI186" s="129"/>
    </row>
    <row r="187" spans="1:35" x14ac:dyDescent="0.25">
      <c r="A187" t="s">
        <v>283</v>
      </c>
      <c r="B187" t="s">
        <v>348</v>
      </c>
      <c r="C187" s="55">
        <f t="shared" si="153"/>
        <v>3110</v>
      </c>
      <c r="D187" s="56" t="e">
        <f t="shared" si="153"/>
        <v>#REF!</v>
      </c>
      <c r="E187" s="60"/>
      <c r="F187" s="55"/>
      <c r="G187" s="34"/>
      <c r="H187" s="38"/>
      <c r="I187" s="55"/>
      <c r="J187" s="34"/>
      <c r="K187" s="38"/>
      <c r="L187" s="5"/>
      <c r="M187" s="34"/>
      <c r="O187" s="76"/>
      <c r="P187" s="34"/>
      <c r="R187" s="5"/>
      <c r="S187" s="34"/>
      <c r="U187" s="55">
        <f t="shared" si="144"/>
        <v>3110</v>
      </c>
      <c r="V187" s="128" t="e">
        <f t="shared" si="144"/>
        <v>#REF!</v>
      </c>
      <c r="X187" s="81">
        <f t="shared" si="150"/>
        <v>3110</v>
      </c>
      <c r="Y187" s="86">
        <v>1.54</v>
      </c>
      <c r="Z187" s="34">
        <f t="shared" si="145"/>
        <v>4789.4000000000005</v>
      </c>
      <c r="AA187" s="134">
        <f t="shared" si="146"/>
        <v>4789.4000000000005</v>
      </c>
      <c r="AB187" s="109" t="e">
        <f t="shared" si="147"/>
        <v>#REF!</v>
      </c>
      <c r="AC187" t="s">
        <v>283</v>
      </c>
      <c r="AD187" s="136" t="e">
        <f t="shared" si="151"/>
        <v>#REF!</v>
      </c>
      <c r="AE187" t="s">
        <v>348</v>
      </c>
      <c r="AF187" s="125"/>
      <c r="AG187" s="125"/>
      <c r="AH187" s="125"/>
      <c r="AI187" s="129"/>
    </row>
    <row r="188" spans="1:35" x14ac:dyDescent="0.25">
      <c r="A188" t="s">
        <v>284</v>
      </c>
      <c r="B188" t="s">
        <v>292</v>
      </c>
      <c r="C188" s="55">
        <f t="shared" si="153"/>
        <v>2296</v>
      </c>
      <c r="D188" s="56">
        <f t="shared" si="153"/>
        <v>6861.55</v>
      </c>
      <c r="E188" s="60"/>
      <c r="F188" s="55"/>
      <c r="G188" s="34"/>
      <c r="H188" s="38"/>
      <c r="I188" s="55"/>
      <c r="J188" s="34"/>
      <c r="K188" s="38"/>
      <c r="L188" s="5"/>
      <c r="M188" s="34"/>
      <c r="O188" s="76"/>
      <c r="P188" s="34"/>
      <c r="R188" s="5"/>
      <c r="S188" s="34"/>
      <c r="U188" s="55">
        <f t="shared" si="144"/>
        <v>2296</v>
      </c>
      <c r="V188" s="128">
        <f t="shared" si="144"/>
        <v>6861.55</v>
      </c>
      <c r="X188" s="81">
        <f t="shared" si="150"/>
        <v>2296</v>
      </c>
      <c r="Y188" s="86">
        <v>4.57</v>
      </c>
      <c r="Z188" s="34">
        <f t="shared" si="145"/>
        <v>10492.720000000001</v>
      </c>
      <c r="AA188" s="134">
        <f t="shared" si="146"/>
        <v>10492.720000000001</v>
      </c>
      <c r="AB188" s="109">
        <f t="shared" si="147"/>
        <v>3631.170000000001</v>
      </c>
      <c r="AC188" t="s">
        <v>284</v>
      </c>
      <c r="AD188" s="136">
        <f t="shared" si="151"/>
        <v>0.52920550021496615</v>
      </c>
      <c r="AE188" t="s">
        <v>292</v>
      </c>
      <c r="AF188" s="125"/>
      <c r="AG188" s="125"/>
      <c r="AH188" s="125"/>
      <c r="AI188" s="129"/>
    </row>
    <row r="189" spans="1:35" x14ac:dyDescent="0.25">
      <c r="A189" t="s">
        <v>28</v>
      </c>
      <c r="B189" t="s">
        <v>52</v>
      </c>
      <c r="C189" s="55" t="e">
        <f t="shared" si="153"/>
        <v>#REF!</v>
      </c>
      <c r="D189" s="56" t="e">
        <f t="shared" si="153"/>
        <v>#REF!</v>
      </c>
      <c r="E189" s="60"/>
      <c r="F189" s="55"/>
      <c r="G189" s="34"/>
      <c r="H189" s="38"/>
      <c r="I189" s="55"/>
      <c r="J189" s="34"/>
      <c r="K189" s="38"/>
      <c r="L189" s="5"/>
      <c r="M189" s="34"/>
      <c r="O189" s="76"/>
      <c r="P189" s="34"/>
      <c r="R189" s="5"/>
      <c r="S189" s="34"/>
      <c r="U189" s="55" t="e">
        <f t="shared" si="144"/>
        <v>#REF!</v>
      </c>
      <c r="V189" s="128" t="e">
        <f t="shared" si="144"/>
        <v>#REF!</v>
      </c>
      <c r="X189" s="81" t="e">
        <f t="shared" si="150"/>
        <v>#REF!</v>
      </c>
      <c r="Y189" s="86">
        <v>5.56</v>
      </c>
      <c r="Z189" s="34" t="e">
        <f t="shared" si="145"/>
        <v>#REF!</v>
      </c>
      <c r="AA189" s="134" t="e">
        <f t="shared" si="146"/>
        <v>#REF!</v>
      </c>
      <c r="AB189" s="109" t="e">
        <f t="shared" si="147"/>
        <v>#REF!</v>
      </c>
      <c r="AC189" t="s">
        <v>28</v>
      </c>
      <c r="AD189" s="136" t="e">
        <f t="shared" si="151"/>
        <v>#REF!</v>
      </c>
      <c r="AE189" t="s">
        <v>52</v>
      </c>
      <c r="AF189" s="125"/>
      <c r="AG189" s="125"/>
      <c r="AH189" s="125"/>
      <c r="AI189" s="129"/>
    </row>
    <row r="190" spans="1:35" x14ac:dyDescent="0.25">
      <c r="A190" t="s">
        <v>29</v>
      </c>
      <c r="B190" t="s">
        <v>76</v>
      </c>
      <c r="C190" s="55" t="e">
        <f t="shared" si="153"/>
        <v>#REF!</v>
      </c>
      <c r="D190" s="56" t="e">
        <f t="shared" si="153"/>
        <v>#REF!</v>
      </c>
      <c r="E190" s="60"/>
      <c r="F190" s="55"/>
      <c r="G190" s="34"/>
      <c r="H190" s="38"/>
      <c r="I190" s="55"/>
      <c r="J190" s="34"/>
      <c r="K190" s="38"/>
      <c r="L190" s="5"/>
      <c r="M190" s="34"/>
      <c r="O190" s="76"/>
      <c r="P190" s="34"/>
      <c r="R190" s="5"/>
      <c r="S190" s="34">
        <v>-76.44</v>
      </c>
      <c r="U190" s="55" t="e">
        <f t="shared" si="144"/>
        <v>#REF!</v>
      </c>
      <c r="V190" s="128" t="e">
        <f t="shared" si="144"/>
        <v>#REF!</v>
      </c>
      <c r="X190" s="81" t="e">
        <f t="shared" si="150"/>
        <v>#REF!</v>
      </c>
      <c r="Y190" s="86">
        <v>9.23</v>
      </c>
      <c r="Z190" s="34" t="e">
        <f t="shared" si="145"/>
        <v>#REF!</v>
      </c>
      <c r="AA190" s="134" t="e">
        <f t="shared" si="146"/>
        <v>#REF!</v>
      </c>
      <c r="AB190" s="109" t="e">
        <f t="shared" si="147"/>
        <v>#REF!</v>
      </c>
      <c r="AC190" t="s">
        <v>29</v>
      </c>
      <c r="AD190" s="136" t="e">
        <f t="shared" si="151"/>
        <v>#REF!</v>
      </c>
      <c r="AE190" t="s">
        <v>76</v>
      </c>
      <c r="AF190" s="125"/>
      <c r="AG190" s="125"/>
      <c r="AH190" s="125"/>
      <c r="AI190" s="129"/>
    </row>
    <row r="191" spans="1:35" x14ac:dyDescent="0.25">
      <c r="A191" t="s">
        <v>32</v>
      </c>
      <c r="B191" t="s">
        <v>53</v>
      </c>
      <c r="C191" s="55" t="e">
        <f t="shared" si="153"/>
        <v>#REF!</v>
      </c>
      <c r="D191" s="56" t="e">
        <f t="shared" si="153"/>
        <v>#REF!</v>
      </c>
      <c r="E191" s="60"/>
      <c r="F191" s="55"/>
      <c r="G191" s="34"/>
      <c r="H191" s="38"/>
      <c r="I191" s="55"/>
      <c r="J191" s="34"/>
      <c r="K191" s="38"/>
      <c r="L191" s="5"/>
      <c r="M191" s="34"/>
      <c r="O191" s="76">
        <v>83</v>
      </c>
      <c r="P191" s="34">
        <v>2116.5</v>
      </c>
      <c r="R191" s="5"/>
      <c r="S191" s="34"/>
      <c r="U191" s="55" t="e">
        <f t="shared" si="144"/>
        <v>#REF!</v>
      </c>
      <c r="V191" s="128" t="e">
        <f t="shared" si="144"/>
        <v>#REF!</v>
      </c>
      <c r="X191" s="81">
        <v>1984</v>
      </c>
      <c r="Y191" s="86">
        <v>29.4</v>
      </c>
      <c r="Z191" s="34">
        <f t="shared" si="145"/>
        <v>58329.599999999999</v>
      </c>
      <c r="AA191" s="134">
        <f t="shared" si="146"/>
        <v>58329.599999999999</v>
      </c>
      <c r="AB191" s="109" t="e">
        <f t="shared" si="147"/>
        <v>#REF!</v>
      </c>
      <c r="AC191" t="s">
        <v>32</v>
      </c>
      <c r="AD191" s="136" t="e">
        <f t="shared" si="151"/>
        <v>#REF!</v>
      </c>
      <c r="AE191" t="s">
        <v>53</v>
      </c>
      <c r="AF191" s="125"/>
      <c r="AG191" s="125"/>
      <c r="AH191" s="125"/>
      <c r="AI191" s="129"/>
    </row>
    <row r="192" spans="1:35" x14ac:dyDescent="0.25">
      <c r="A192" t="s">
        <v>231</v>
      </c>
      <c r="B192" t="s">
        <v>229</v>
      </c>
      <c r="C192" s="55">
        <f t="shared" si="153"/>
        <v>347</v>
      </c>
      <c r="D192" s="56">
        <f t="shared" si="153"/>
        <v>10832.66</v>
      </c>
      <c r="E192" s="60"/>
      <c r="F192" s="55"/>
      <c r="G192" s="34"/>
      <c r="H192" s="38"/>
      <c r="I192" s="55"/>
      <c r="J192" s="34"/>
      <c r="K192" s="38"/>
      <c r="L192" s="5">
        <v>303</v>
      </c>
      <c r="M192" s="34">
        <v>11966.64</v>
      </c>
      <c r="O192" s="76"/>
      <c r="P192" s="34"/>
      <c r="R192" s="5"/>
      <c r="S192" s="34"/>
      <c r="U192" s="55">
        <f t="shared" si="144"/>
        <v>650</v>
      </c>
      <c r="V192" s="128">
        <f t="shared" si="144"/>
        <v>22799.3</v>
      </c>
      <c r="X192" s="81">
        <v>650</v>
      </c>
      <c r="Y192" s="86">
        <v>40.1</v>
      </c>
      <c r="Z192" s="34">
        <f t="shared" si="145"/>
        <v>26065</v>
      </c>
      <c r="AA192" s="134">
        <f t="shared" si="146"/>
        <v>26065</v>
      </c>
      <c r="AB192" s="109">
        <f t="shared" si="147"/>
        <v>3265.7000000000007</v>
      </c>
      <c r="AC192" t="s">
        <v>231</v>
      </c>
      <c r="AD192" s="136">
        <f t="shared" si="151"/>
        <v>0.14323685376305417</v>
      </c>
      <c r="AE192" t="s">
        <v>229</v>
      </c>
      <c r="AF192" s="125"/>
      <c r="AG192" s="125"/>
      <c r="AH192" s="125"/>
      <c r="AI192" s="129"/>
    </row>
    <row r="193" spans="1:35" x14ac:dyDescent="0.25">
      <c r="A193" t="s">
        <v>30</v>
      </c>
      <c r="B193" t="s">
        <v>55</v>
      </c>
      <c r="C193" s="55" t="e">
        <f t="shared" si="153"/>
        <v>#REF!</v>
      </c>
      <c r="D193" s="56" t="e">
        <f t="shared" si="153"/>
        <v>#REF!</v>
      </c>
      <c r="E193" s="60"/>
      <c r="F193" s="55">
        <v>17</v>
      </c>
      <c r="G193" s="34">
        <v>448.8</v>
      </c>
      <c r="H193" s="38"/>
      <c r="I193" s="55"/>
      <c r="J193" s="34"/>
      <c r="K193" s="38"/>
      <c r="L193" s="5"/>
      <c r="M193" s="34"/>
      <c r="O193" s="76"/>
      <c r="P193" s="34"/>
      <c r="R193" s="5"/>
      <c r="S193" s="34"/>
      <c r="U193" s="55" t="e">
        <f t="shared" si="144"/>
        <v>#REF!</v>
      </c>
      <c r="V193" s="128" t="e">
        <f t="shared" si="144"/>
        <v>#REF!</v>
      </c>
      <c r="X193" s="81">
        <v>747</v>
      </c>
      <c r="Y193" s="86">
        <v>26.84</v>
      </c>
      <c r="Z193" s="34">
        <f t="shared" si="145"/>
        <v>20049.48</v>
      </c>
      <c r="AA193" s="134">
        <f t="shared" si="146"/>
        <v>20049.48</v>
      </c>
      <c r="AB193" s="109" t="e">
        <f t="shared" si="147"/>
        <v>#REF!</v>
      </c>
      <c r="AC193" t="s">
        <v>30</v>
      </c>
      <c r="AD193" s="136" t="e">
        <f t="shared" si="151"/>
        <v>#REF!</v>
      </c>
      <c r="AE193" t="s">
        <v>55</v>
      </c>
      <c r="AF193" s="125"/>
      <c r="AG193" s="125"/>
      <c r="AH193" s="125"/>
      <c r="AI193" s="129"/>
    </row>
    <row r="194" spans="1:35" x14ac:dyDescent="0.25">
      <c r="A194" t="s">
        <v>31</v>
      </c>
      <c r="B194" t="s">
        <v>54</v>
      </c>
      <c r="C194" s="55" t="e">
        <f t="shared" si="153"/>
        <v>#REF!</v>
      </c>
      <c r="D194" s="56" t="e">
        <f t="shared" si="153"/>
        <v>#REF!</v>
      </c>
      <c r="E194" s="60"/>
      <c r="F194" s="55"/>
      <c r="G194" s="34"/>
      <c r="H194" s="38"/>
      <c r="I194" s="55"/>
      <c r="J194" s="34"/>
      <c r="K194" s="38"/>
      <c r="L194" s="5"/>
      <c r="M194" s="34"/>
      <c r="O194" s="76"/>
      <c r="P194" s="34"/>
      <c r="R194" s="5"/>
      <c r="S194" s="34"/>
      <c r="U194" s="55" t="e">
        <f t="shared" si="144"/>
        <v>#REF!</v>
      </c>
      <c r="V194" s="128" t="e">
        <f t="shared" si="144"/>
        <v>#REF!</v>
      </c>
      <c r="X194" s="81" t="e">
        <f t="shared" ref="X194" si="154">U194</f>
        <v>#REF!</v>
      </c>
      <c r="Y194" s="86">
        <v>20.89</v>
      </c>
      <c r="Z194" s="34" t="e">
        <f t="shared" si="145"/>
        <v>#REF!</v>
      </c>
      <c r="AA194" s="134" t="e">
        <f t="shared" si="146"/>
        <v>#REF!</v>
      </c>
      <c r="AB194" s="109" t="e">
        <f t="shared" si="147"/>
        <v>#REF!</v>
      </c>
      <c r="AC194" t="s">
        <v>31</v>
      </c>
      <c r="AD194" s="136" t="e">
        <f t="shared" si="151"/>
        <v>#REF!</v>
      </c>
      <c r="AE194" t="s">
        <v>54</v>
      </c>
      <c r="AF194" s="125"/>
      <c r="AG194" s="125"/>
      <c r="AH194" s="125"/>
      <c r="AI194" s="129"/>
    </row>
    <row r="195" spans="1:35" x14ac:dyDescent="0.25">
      <c r="C195" s="34"/>
      <c r="D195" s="57" t="e">
        <f>SUM(D168:D194)</f>
        <v>#REF!</v>
      </c>
      <c r="E195" s="61"/>
      <c r="F195" s="68"/>
      <c r="G195" s="57">
        <f>SUM(G168:G194)</f>
        <v>691.2</v>
      </c>
      <c r="H195" s="27"/>
      <c r="I195" s="68"/>
      <c r="J195" s="57">
        <f>SUM(J167:J194)</f>
        <v>159.19999999999999</v>
      </c>
      <c r="K195" s="61"/>
      <c r="L195" s="34"/>
      <c r="M195" s="69">
        <f>SUM(M167:M194)</f>
        <v>48203.740000000005</v>
      </c>
      <c r="N195" s="38"/>
      <c r="O195" s="76"/>
      <c r="P195" s="57">
        <f>SUM(P168:P194)</f>
        <v>12198</v>
      </c>
      <c r="R195" s="5"/>
      <c r="S195" s="57">
        <f>SUM(S168:S194)</f>
        <v>-76.44</v>
      </c>
      <c r="U195" s="5"/>
      <c r="V195" s="57" t="e">
        <f>SUM(V167:V194)</f>
        <v>#REF!</v>
      </c>
      <c r="X195" s="3"/>
      <c r="Y195" s="83"/>
      <c r="Z195" s="33" t="e">
        <f>SUM(Z168:Z194)</f>
        <v>#REF!</v>
      </c>
      <c r="AA195" s="137" t="e">
        <f>SUM(AA168:AA194)</f>
        <v>#REF!</v>
      </c>
      <c r="AB195" s="109" t="e">
        <f t="shared" si="147"/>
        <v>#REF!</v>
      </c>
      <c r="AC195" s="135"/>
      <c r="AD195" s="136" t="e">
        <f t="shared" si="151"/>
        <v>#REF!</v>
      </c>
      <c r="AF195" s="125"/>
      <c r="AG195" s="125"/>
      <c r="AH195" s="125"/>
      <c r="AI195" s="129"/>
    </row>
    <row r="196" spans="1:35" x14ac:dyDescent="0.25">
      <c r="C196" s="63" t="s">
        <v>176</v>
      </c>
      <c r="D196" s="64" t="e">
        <f>D195</f>
        <v>#REF!</v>
      </c>
      <c r="F196" s="63" t="s">
        <v>176</v>
      </c>
      <c r="G196" s="64">
        <f>G195</f>
        <v>691.2</v>
      </c>
      <c r="I196" s="63" t="s">
        <v>176</v>
      </c>
      <c r="J196" s="67">
        <f>J195</f>
        <v>159.19999999999999</v>
      </c>
      <c r="K196" s="72"/>
      <c r="L196" s="63" t="s">
        <v>176</v>
      </c>
      <c r="M196" s="67">
        <f>M195</f>
        <v>48203.740000000005</v>
      </c>
      <c r="N196" s="70"/>
      <c r="O196" s="63" t="s">
        <v>176</v>
      </c>
      <c r="P196" s="67">
        <f>P195</f>
        <v>12198</v>
      </c>
      <c r="R196" s="63" t="s">
        <v>176</v>
      </c>
      <c r="S196" s="67">
        <f>S195</f>
        <v>-76.44</v>
      </c>
      <c r="V196" s="2" t="e">
        <f>V195</f>
        <v>#REF!</v>
      </c>
      <c r="Z196" s="85" t="s">
        <v>176</v>
      </c>
      <c r="AA196" s="73"/>
      <c r="AB196" s="108"/>
      <c r="AC196" s="132"/>
      <c r="AD196" s="132"/>
      <c r="AF196" s="125"/>
      <c r="AG196" s="125"/>
      <c r="AH196" s="125"/>
      <c r="AI196" s="129"/>
    </row>
    <row r="197" spans="1:35" x14ac:dyDescent="0.25">
      <c r="B197" s="29"/>
      <c r="AE197" s="29"/>
      <c r="AF197" s="125"/>
      <c r="AG197" s="125"/>
      <c r="AH197" s="125"/>
      <c r="AI197" s="129"/>
    </row>
    <row r="198" spans="1:35" x14ac:dyDescent="0.25">
      <c r="B198" s="29"/>
      <c r="AE198" s="29"/>
      <c r="AF198" s="125"/>
      <c r="AG198" s="125"/>
      <c r="AH198" s="125"/>
      <c r="AI198" s="129"/>
    </row>
    <row r="199" spans="1:35" x14ac:dyDescent="0.25">
      <c r="B199" s="29"/>
      <c r="AE199" s="29"/>
      <c r="AF199" s="125"/>
      <c r="AG199" s="125"/>
      <c r="AH199" s="125"/>
      <c r="AI199" s="129"/>
    </row>
    <row r="200" spans="1:35" x14ac:dyDescent="0.25">
      <c r="A200" t="s">
        <v>170</v>
      </c>
      <c r="C200" s="51">
        <v>41820</v>
      </c>
      <c r="D200" s="51">
        <v>41820</v>
      </c>
      <c r="E200" s="48"/>
      <c r="F200" s="3" t="s">
        <v>174</v>
      </c>
      <c r="G200" s="3"/>
      <c r="H200" s="20"/>
      <c r="I200" s="32" t="s">
        <v>174</v>
      </c>
      <c r="J200" s="3"/>
      <c r="K200" s="20"/>
      <c r="L200" s="32" t="s">
        <v>317</v>
      </c>
      <c r="M200" s="3"/>
      <c r="O200" s="74" t="s">
        <v>349</v>
      </c>
      <c r="P200" s="71"/>
      <c r="R200" s="74" t="s">
        <v>352</v>
      </c>
      <c r="S200" s="75"/>
      <c r="U200" s="77">
        <v>42185</v>
      </c>
      <c r="V200" s="71"/>
      <c r="X200" s="77">
        <v>42185</v>
      </c>
      <c r="Y200" s="80"/>
      <c r="Z200" s="71"/>
      <c r="AA200" s="51">
        <v>42185</v>
      </c>
      <c r="AB200" s="3"/>
      <c r="AC200" s="4" t="s">
        <v>170</v>
      </c>
      <c r="AD200" s="4" t="s">
        <v>296</v>
      </c>
      <c r="AF200" s="125"/>
      <c r="AG200" s="125"/>
      <c r="AH200" s="125"/>
      <c r="AI200" s="129"/>
    </row>
    <row r="201" spans="1:35" ht="30" x14ac:dyDescent="0.25">
      <c r="A201" s="1" t="s">
        <v>171</v>
      </c>
      <c r="B201" s="39" t="s">
        <v>42</v>
      </c>
      <c r="C201" s="52" t="s">
        <v>172</v>
      </c>
      <c r="D201" s="4" t="s">
        <v>173</v>
      </c>
      <c r="E201" s="58"/>
      <c r="F201" s="4" t="s">
        <v>175</v>
      </c>
      <c r="G201" s="4" t="s">
        <v>173</v>
      </c>
      <c r="H201" s="58"/>
      <c r="I201" s="52" t="s">
        <v>172</v>
      </c>
      <c r="J201" s="4" t="s">
        <v>173</v>
      </c>
      <c r="K201" s="58"/>
      <c r="L201" s="52" t="s">
        <v>172</v>
      </c>
      <c r="M201" s="4" t="s">
        <v>173</v>
      </c>
      <c r="O201" s="52" t="s">
        <v>172</v>
      </c>
      <c r="P201" s="4" t="s">
        <v>173</v>
      </c>
      <c r="R201" s="52" t="s">
        <v>172</v>
      </c>
      <c r="S201" s="4" t="s">
        <v>173</v>
      </c>
      <c r="U201" s="52" t="s">
        <v>172</v>
      </c>
      <c r="V201" s="4" t="s">
        <v>173</v>
      </c>
      <c r="X201" s="78" t="s">
        <v>172</v>
      </c>
      <c r="Y201" s="79" t="s">
        <v>203</v>
      </c>
      <c r="Z201" s="3" t="s">
        <v>93</v>
      </c>
      <c r="AA201" s="3" t="s">
        <v>294</v>
      </c>
      <c r="AB201" s="3" t="s">
        <v>295</v>
      </c>
      <c r="AC201" s="133" t="s">
        <v>171</v>
      </c>
      <c r="AD201" s="133" t="s">
        <v>297</v>
      </c>
      <c r="AE201" s="39" t="s">
        <v>42</v>
      </c>
      <c r="AF201" s="125"/>
      <c r="AG201" s="125"/>
      <c r="AH201" s="125"/>
      <c r="AI201" s="129"/>
    </row>
    <row r="202" spans="1:35" x14ac:dyDescent="0.25">
      <c r="C202" s="53"/>
      <c r="D202" s="54"/>
      <c r="E202" s="59"/>
      <c r="F202" s="54"/>
      <c r="G202" s="54"/>
      <c r="H202" s="59"/>
      <c r="I202" s="54"/>
      <c r="J202" s="3"/>
      <c r="K202" s="20"/>
      <c r="L202" s="54"/>
      <c r="M202" s="3"/>
      <c r="N202" s="28"/>
      <c r="O202" s="3"/>
      <c r="P202" s="34"/>
      <c r="R202" s="5"/>
      <c r="S202" s="34"/>
      <c r="U202" s="5"/>
      <c r="V202" s="34"/>
      <c r="X202" s="3"/>
      <c r="Y202" s="3"/>
      <c r="Z202" s="3"/>
      <c r="AC202" s="132"/>
      <c r="AD202" s="132"/>
      <c r="AF202" s="125"/>
      <c r="AG202" s="125"/>
      <c r="AH202" s="125"/>
      <c r="AI202" s="129"/>
    </row>
    <row r="203" spans="1:35" x14ac:dyDescent="0.25">
      <c r="A203" t="s">
        <v>16</v>
      </c>
      <c r="B203" t="s">
        <v>43</v>
      </c>
      <c r="C203" s="55" t="e">
        <f>X236</f>
        <v>#REF!</v>
      </c>
      <c r="D203" s="56" t="e">
        <f>V236</f>
        <v>#REF!</v>
      </c>
      <c r="E203" s="60"/>
      <c r="F203" s="68"/>
      <c r="G203" s="34"/>
      <c r="H203" s="38"/>
      <c r="I203" s="55"/>
      <c r="J203" s="34"/>
      <c r="K203" s="38"/>
      <c r="L203" s="5"/>
      <c r="M203" s="34"/>
      <c r="O203" s="76"/>
      <c r="P203" s="34" t="e">
        <f>-D203*0.071</f>
        <v>#REF!</v>
      </c>
      <c r="R203" s="5"/>
      <c r="S203" s="34"/>
      <c r="U203" s="55" t="e">
        <f>+C203+F203+I203+L203+O203+R203</f>
        <v>#REF!</v>
      </c>
      <c r="V203" s="128" t="e">
        <f>+D203+G203+J203+M203+P203+S203</f>
        <v>#REF!</v>
      </c>
      <c r="X203" s="81" t="e">
        <f>U203</f>
        <v>#REF!</v>
      </c>
      <c r="Y203" s="82">
        <v>27.05</v>
      </c>
      <c r="Z203" s="34" t="e">
        <f>X203*Y203</f>
        <v>#REF!</v>
      </c>
      <c r="AA203" s="134" t="e">
        <f>Z203</f>
        <v>#REF!</v>
      </c>
      <c r="AB203" s="109" t="e">
        <f>AA203-V203</f>
        <v>#REF!</v>
      </c>
      <c r="AC203" t="s">
        <v>16</v>
      </c>
      <c r="AD203" s="136" t="e">
        <f>AB203/V203</f>
        <v>#REF!</v>
      </c>
      <c r="AE203" t="s">
        <v>43</v>
      </c>
      <c r="AF203" s="125"/>
      <c r="AG203" s="125"/>
      <c r="AH203" s="125"/>
      <c r="AI203" s="129"/>
    </row>
    <row r="204" spans="1:35" x14ac:dyDescent="0.25">
      <c r="A204" t="s">
        <v>347</v>
      </c>
      <c r="B204" t="s">
        <v>343</v>
      </c>
      <c r="C204" s="55">
        <v>0</v>
      </c>
      <c r="D204" s="56">
        <v>0</v>
      </c>
      <c r="E204" s="60"/>
      <c r="F204" s="68"/>
      <c r="G204" s="34"/>
      <c r="H204" s="38"/>
      <c r="I204" s="55"/>
      <c r="J204" s="34"/>
      <c r="K204" s="38"/>
      <c r="L204" s="5">
        <v>810</v>
      </c>
      <c r="M204" s="34">
        <v>10049.65</v>
      </c>
      <c r="O204" s="76"/>
      <c r="P204" s="34"/>
      <c r="R204" s="5"/>
      <c r="S204" s="34"/>
      <c r="U204" s="55">
        <f t="shared" ref="U204:V228" si="155">+C204+F204+I204+L204+O204+R204</f>
        <v>810</v>
      </c>
      <c r="V204" s="128">
        <f t="shared" si="155"/>
        <v>10049.65</v>
      </c>
      <c r="X204" s="81">
        <f>U204</f>
        <v>810</v>
      </c>
      <c r="Y204" s="86">
        <v>12.77</v>
      </c>
      <c r="Z204" s="34">
        <f t="shared" ref="Z204:Z228" si="156">X204*Y204</f>
        <v>10343.699999999999</v>
      </c>
      <c r="AA204" s="134">
        <f t="shared" ref="AA204:AA228" si="157">Z204</f>
        <v>10343.699999999999</v>
      </c>
      <c r="AB204" s="109">
        <f t="shared" ref="AB204:AB229" si="158">AA204-V204</f>
        <v>294.04999999999927</v>
      </c>
      <c r="AC204" t="s">
        <v>347</v>
      </c>
      <c r="AD204" s="136">
        <v>0</v>
      </c>
      <c r="AE204" t="s">
        <v>343</v>
      </c>
      <c r="AF204" s="125"/>
      <c r="AG204" s="125"/>
      <c r="AH204" s="125"/>
      <c r="AI204" s="129"/>
    </row>
    <row r="205" spans="1:35" x14ac:dyDescent="0.25">
      <c r="A205" t="s">
        <v>18</v>
      </c>
      <c r="B205" t="s">
        <v>60</v>
      </c>
      <c r="C205" s="55" t="e">
        <f t="shared" ref="C205:D207" si="159">U238</f>
        <v>#REF!</v>
      </c>
      <c r="D205" s="56" t="e">
        <f t="shared" si="159"/>
        <v>#REF!</v>
      </c>
      <c r="E205" s="60"/>
      <c r="F205" s="55"/>
      <c r="G205" s="34"/>
      <c r="H205" s="38"/>
      <c r="I205" s="55"/>
      <c r="J205" s="34"/>
      <c r="K205" s="38"/>
      <c r="L205" s="5"/>
      <c r="M205" s="34"/>
      <c r="O205" s="76"/>
      <c r="P205" s="34"/>
      <c r="R205" s="5"/>
      <c r="S205" s="34"/>
      <c r="U205" s="55" t="e">
        <f t="shared" si="155"/>
        <v>#REF!</v>
      </c>
      <c r="V205" s="128" t="e">
        <f t="shared" si="155"/>
        <v>#REF!</v>
      </c>
      <c r="X205" s="81" t="e">
        <f t="shared" ref="X205:X228" si="160">U205</f>
        <v>#REF!</v>
      </c>
      <c r="Y205" s="86">
        <v>85.13</v>
      </c>
      <c r="Z205" s="34" t="e">
        <f t="shared" si="156"/>
        <v>#REF!</v>
      </c>
      <c r="AA205" s="134" t="e">
        <f t="shared" si="157"/>
        <v>#REF!</v>
      </c>
      <c r="AB205" s="109" t="e">
        <f t="shared" si="158"/>
        <v>#REF!</v>
      </c>
      <c r="AC205" t="s">
        <v>18</v>
      </c>
      <c r="AD205" s="136" t="e">
        <f t="shared" ref="AD205:AD210" si="161">AB205/V205</f>
        <v>#REF!</v>
      </c>
      <c r="AE205" t="s">
        <v>60</v>
      </c>
      <c r="AF205" s="125"/>
      <c r="AG205" s="125"/>
      <c r="AH205" s="125"/>
      <c r="AI205" s="129"/>
    </row>
    <row r="206" spans="1:35" x14ac:dyDescent="0.25">
      <c r="A206" t="s">
        <v>189</v>
      </c>
      <c r="B206" t="s">
        <v>45</v>
      </c>
      <c r="C206" s="55" t="e">
        <f t="shared" si="159"/>
        <v>#REF!</v>
      </c>
      <c r="D206" s="56" t="e">
        <f t="shared" si="159"/>
        <v>#REF!</v>
      </c>
      <c r="E206" s="60"/>
      <c r="F206" s="55">
        <v>66</v>
      </c>
      <c r="G206" s="34">
        <v>599.28</v>
      </c>
      <c r="H206" s="38"/>
      <c r="I206" s="55">
        <v>64</v>
      </c>
      <c r="J206" s="34">
        <v>670.08</v>
      </c>
      <c r="K206" s="38"/>
      <c r="L206" s="5"/>
      <c r="M206" s="34"/>
      <c r="O206" s="76"/>
      <c r="P206" s="34"/>
      <c r="R206" s="5"/>
      <c r="S206" s="34"/>
      <c r="U206" s="55" t="e">
        <f t="shared" si="155"/>
        <v>#REF!</v>
      </c>
      <c r="V206" s="128" t="e">
        <f t="shared" si="155"/>
        <v>#REF!</v>
      </c>
      <c r="X206" s="81" t="e">
        <f t="shared" si="160"/>
        <v>#REF!</v>
      </c>
      <c r="Y206" s="86">
        <v>9.15</v>
      </c>
      <c r="Z206" s="34" t="e">
        <f t="shared" si="156"/>
        <v>#REF!</v>
      </c>
      <c r="AA206" s="134" t="e">
        <f t="shared" si="157"/>
        <v>#REF!</v>
      </c>
      <c r="AB206" s="109" t="e">
        <f t="shared" si="158"/>
        <v>#REF!</v>
      </c>
      <c r="AC206" t="s">
        <v>189</v>
      </c>
      <c r="AD206" s="136" t="e">
        <f t="shared" si="161"/>
        <v>#REF!</v>
      </c>
      <c r="AE206" t="s">
        <v>45</v>
      </c>
      <c r="AF206" s="125"/>
      <c r="AG206" s="125"/>
      <c r="AH206" s="125"/>
      <c r="AI206" s="129"/>
    </row>
    <row r="207" spans="1:35" x14ac:dyDescent="0.25">
      <c r="A207" t="s">
        <v>230</v>
      </c>
      <c r="B207" t="s">
        <v>228</v>
      </c>
      <c r="C207" s="55">
        <f t="shared" si="159"/>
        <v>300</v>
      </c>
      <c r="D207" s="56">
        <f t="shared" si="159"/>
        <v>9075.34</v>
      </c>
      <c r="E207" s="60"/>
      <c r="F207" s="55"/>
      <c r="G207" s="34"/>
      <c r="H207" s="38"/>
      <c r="I207" s="55"/>
      <c r="J207" s="34"/>
      <c r="K207" s="38"/>
      <c r="L207" s="5"/>
      <c r="M207" s="34"/>
      <c r="O207" s="76"/>
      <c r="P207" s="34"/>
      <c r="R207" s="5"/>
      <c r="S207" s="34"/>
      <c r="U207" s="55">
        <f t="shared" si="155"/>
        <v>300</v>
      </c>
      <c r="V207" s="128">
        <f t="shared" si="155"/>
        <v>9075.34</v>
      </c>
      <c r="X207" s="81">
        <f t="shared" si="160"/>
        <v>300</v>
      </c>
      <c r="Y207" s="86">
        <v>86.47</v>
      </c>
      <c r="Z207" s="34">
        <f t="shared" si="156"/>
        <v>25941</v>
      </c>
      <c r="AA207" s="134">
        <f t="shared" si="157"/>
        <v>25941</v>
      </c>
      <c r="AB207" s="109">
        <f t="shared" si="158"/>
        <v>16865.66</v>
      </c>
      <c r="AC207" t="s">
        <v>230</v>
      </c>
      <c r="AD207" s="136">
        <f t="shared" si="161"/>
        <v>1.8584053049252149</v>
      </c>
      <c r="AE207" t="s">
        <v>228</v>
      </c>
      <c r="AF207" s="125"/>
      <c r="AG207" s="125"/>
      <c r="AH207" s="125"/>
      <c r="AI207" s="129"/>
    </row>
    <row r="208" spans="1:35" x14ac:dyDescent="0.25">
      <c r="A208" t="s">
        <v>355</v>
      </c>
      <c r="B208" t="s">
        <v>351</v>
      </c>
      <c r="C208" s="55"/>
      <c r="D208" s="56"/>
      <c r="E208" s="60"/>
      <c r="F208" s="55"/>
      <c r="G208" s="34"/>
      <c r="H208" s="38"/>
      <c r="I208" s="55"/>
      <c r="J208" s="34"/>
      <c r="K208" s="38"/>
      <c r="L208" s="5">
        <v>750</v>
      </c>
      <c r="M208" s="34">
        <v>10657.45</v>
      </c>
      <c r="O208" s="76"/>
      <c r="P208" s="34"/>
      <c r="R208" s="5"/>
      <c r="S208" s="34"/>
      <c r="U208" s="55">
        <f t="shared" si="155"/>
        <v>750</v>
      </c>
      <c r="V208" s="128">
        <f t="shared" si="155"/>
        <v>10657.45</v>
      </c>
      <c r="X208" s="81">
        <f t="shared" si="160"/>
        <v>750</v>
      </c>
      <c r="Y208" s="86">
        <v>12.2</v>
      </c>
      <c r="Z208" s="34">
        <f t="shared" si="156"/>
        <v>9150</v>
      </c>
      <c r="AA208" s="134">
        <f t="shared" si="157"/>
        <v>9150</v>
      </c>
      <c r="AB208" s="109">
        <f t="shared" si="158"/>
        <v>-1507.4500000000007</v>
      </c>
      <c r="AC208" t="s">
        <v>355</v>
      </c>
      <c r="AD208" s="136">
        <f t="shared" si="161"/>
        <v>-0.14144565538660755</v>
      </c>
      <c r="AE208" t="s">
        <v>351</v>
      </c>
      <c r="AF208" s="125"/>
      <c r="AG208" s="125"/>
      <c r="AH208" s="125"/>
      <c r="AI208" s="129"/>
    </row>
    <row r="209" spans="1:35" x14ac:dyDescent="0.25">
      <c r="A209" t="s">
        <v>314</v>
      </c>
      <c r="B209" t="s">
        <v>315</v>
      </c>
      <c r="C209" s="55">
        <f>U241</f>
        <v>3750</v>
      </c>
      <c r="D209" s="56">
        <f>V241</f>
        <v>10904.95</v>
      </c>
      <c r="E209" s="60"/>
      <c r="F209" s="55"/>
      <c r="G209" s="34"/>
      <c r="H209" s="38"/>
      <c r="I209" s="55"/>
      <c r="J209" s="34"/>
      <c r="K209" s="38"/>
      <c r="L209" s="5"/>
      <c r="M209" s="34"/>
      <c r="O209" s="76"/>
      <c r="P209" s="34"/>
      <c r="R209" s="5">
        <v>-3750</v>
      </c>
      <c r="S209" s="34">
        <v>-10904.95</v>
      </c>
      <c r="U209" s="55">
        <f t="shared" si="155"/>
        <v>0</v>
      </c>
      <c r="V209" s="128">
        <f t="shared" si="155"/>
        <v>0</v>
      </c>
      <c r="X209" s="81">
        <f t="shared" si="160"/>
        <v>0</v>
      </c>
      <c r="Y209" s="86">
        <v>0</v>
      </c>
      <c r="Z209" s="34">
        <f t="shared" si="156"/>
        <v>0</v>
      </c>
      <c r="AA209" s="134">
        <f t="shared" si="157"/>
        <v>0</v>
      </c>
      <c r="AB209" s="109">
        <f t="shared" si="158"/>
        <v>0</v>
      </c>
      <c r="AC209" t="s">
        <v>314</v>
      </c>
      <c r="AD209" s="136"/>
      <c r="AE209" t="s">
        <v>315</v>
      </c>
      <c r="AF209" s="125"/>
      <c r="AG209" s="125"/>
      <c r="AH209" s="125"/>
      <c r="AI209" s="129"/>
    </row>
    <row r="210" spans="1:35" x14ac:dyDescent="0.25">
      <c r="A210" t="s">
        <v>20</v>
      </c>
      <c r="B210" t="s">
        <v>46</v>
      </c>
      <c r="C210" s="55" t="e">
        <f>U242</f>
        <v>#REF!</v>
      </c>
      <c r="D210" s="56" t="e">
        <f>V242</f>
        <v>#REF!</v>
      </c>
      <c r="E210" s="60"/>
      <c r="F210" s="55"/>
      <c r="G210" s="34"/>
      <c r="H210" s="38"/>
      <c r="I210" s="55"/>
      <c r="J210" s="34"/>
      <c r="K210" s="38"/>
      <c r="L210" s="5"/>
      <c r="M210" s="34"/>
      <c r="O210" s="76"/>
      <c r="P210" s="34"/>
      <c r="R210" s="5"/>
      <c r="S210" s="34"/>
      <c r="U210" s="55" t="e">
        <f t="shared" si="155"/>
        <v>#REF!</v>
      </c>
      <c r="V210" s="128" t="e">
        <f t="shared" si="155"/>
        <v>#REF!</v>
      </c>
      <c r="X210" s="81" t="e">
        <f t="shared" si="160"/>
        <v>#REF!</v>
      </c>
      <c r="Y210" s="86">
        <v>5.72</v>
      </c>
      <c r="Z210" s="34" t="e">
        <f t="shared" si="156"/>
        <v>#REF!</v>
      </c>
      <c r="AA210" s="134" t="e">
        <f t="shared" si="157"/>
        <v>#REF!</v>
      </c>
      <c r="AB210" s="109" t="e">
        <f t="shared" si="158"/>
        <v>#REF!</v>
      </c>
      <c r="AC210" t="s">
        <v>20</v>
      </c>
      <c r="AD210" s="136" t="e">
        <f t="shared" si="161"/>
        <v>#REF!</v>
      </c>
      <c r="AE210" t="s">
        <v>46</v>
      </c>
      <c r="AF210" s="125"/>
      <c r="AG210" s="125"/>
      <c r="AH210" s="125"/>
      <c r="AI210" s="129"/>
    </row>
    <row r="211" spans="1:35" x14ac:dyDescent="0.25">
      <c r="A211" t="s">
        <v>22</v>
      </c>
      <c r="B211" t="s">
        <v>56</v>
      </c>
      <c r="C211" s="55" t="e">
        <f>U245</f>
        <v>#REF!</v>
      </c>
      <c r="D211" s="56" t="e">
        <f>V245</f>
        <v>#REF!</v>
      </c>
      <c r="E211" s="60"/>
      <c r="F211" s="55"/>
      <c r="G211" s="34"/>
      <c r="H211" s="38"/>
      <c r="I211" s="55"/>
      <c r="J211" s="34"/>
      <c r="K211" s="38"/>
      <c r="L211" s="5">
        <v>-556111</v>
      </c>
      <c r="M211" s="34">
        <v>-25751.61</v>
      </c>
      <c r="O211" s="76"/>
      <c r="P211" s="34"/>
      <c r="R211" s="55"/>
      <c r="S211" s="34"/>
      <c r="U211" s="55" t="e">
        <f t="shared" si="155"/>
        <v>#REF!</v>
      </c>
      <c r="V211" s="128" t="e">
        <f t="shared" si="155"/>
        <v>#REF!</v>
      </c>
      <c r="X211" s="81" t="e">
        <f t="shared" si="160"/>
        <v>#REF!</v>
      </c>
      <c r="Y211" s="86">
        <v>0</v>
      </c>
      <c r="Z211" s="34" t="e">
        <f t="shared" si="156"/>
        <v>#REF!</v>
      </c>
      <c r="AA211" s="134" t="e">
        <f t="shared" si="157"/>
        <v>#REF!</v>
      </c>
      <c r="AB211" s="109" t="e">
        <f t="shared" si="158"/>
        <v>#REF!</v>
      </c>
      <c r="AC211" t="s">
        <v>22</v>
      </c>
      <c r="AD211" s="136"/>
      <c r="AE211" t="s">
        <v>56</v>
      </c>
      <c r="AF211" s="125"/>
      <c r="AG211" s="125"/>
      <c r="AH211" s="125"/>
      <c r="AI211" s="129"/>
    </row>
    <row r="212" spans="1:35" x14ac:dyDescent="0.25">
      <c r="A212" t="s">
        <v>23</v>
      </c>
      <c r="B212" t="s">
        <v>48</v>
      </c>
      <c r="C212" s="55" t="e">
        <f>U246</f>
        <v>#REF!</v>
      </c>
      <c r="D212" s="56" t="e">
        <f>V246</f>
        <v>#REF!</v>
      </c>
      <c r="E212" s="60"/>
      <c r="F212" s="55"/>
      <c r="G212" s="34"/>
      <c r="H212" s="38"/>
      <c r="I212" s="55"/>
      <c r="J212" s="34"/>
      <c r="K212" s="38"/>
      <c r="L212" s="5"/>
      <c r="M212" s="34"/>
      <c r="O212" s="76"/>
      <c r="P212" s="34"/>
      <c r="R212" s="5"/>
      <c r="S212" s="34"/>
      <c r="U212" s="55" t="e">
        <f t="shared" si="155"/>
        <v>#REF!</v>
      </c>
      <c r="V212" s="128" t="e">
        <f t="shared" si="155"/>
        <v>#REF!</v>
      </c>
      <c r="X212" s="81" t="e">
        <f t="shared" si="160"/>
        <v>#REF!</v>
      </c>
      <c r="Y212" s="86">
        <v>5.58</v>
      </c>
      <c r="Z212" s="34" t="e">
        <f t="shared" si="156"/>
        <v>#REF!</v>
      </c>
      <c r="AA212" s="134" t="e">
        <f t="shared" si="157"/>
        <v>#REF!</v>
      </c>
      <c r="AB212" s="109" t="e">
        <f t="shared" si="158"/>
        <v>#REF!</v>
      </c>
      <c r="AC212" t="s">
        <v>23</v>
      </c>
      <c r="AD212" s="136" t="e">
        <f t="shared" ref="AD212:AD229" si="162">AB212/V212</f>
        <v>#REF!</v>
      </c>
      <c r="AE212" t="s">
        <v>48</v>
      </c>
      <c r="AF212" s="125"/>
      <c r="AG212" s="125"/>
      <c r="AH212" s="125"/>
      <c r="AI212" s="129"/>
    </row>
    <row r="213" spans="1:35" x14ac:dyDescent="0.25">
      <c r="A213" t="s">
        <v>353</v>
      </c>
      <c r="B213" t="s">
        <v>354</v>
      </c>
      <c r="C213" s="55"/>
      <c r="D213" s="56"/>
      <c r="E213" s="60"/>
      <c r="F213" s="55"/>
      <c r="G213" s="34"/>
      <c r="H213" s="38"/>
      <c r="I213" s="55"/>
      <c r="J213" s="34"/>
      <c r="K213" s="38"/>
      <c r="L213" s="5">
        <v>1500</v>
      </c>
      <c r="M213" s="34">
        <v>9739.36</v>
      </c>
      <c r="O213" s="76"/>
      <c r="P213" s="34"/>
      <c r="R213" s="5"/>
      <c r="S213" s="34"/>
      <c r="U213" s="55">
        <f t="shared" si="155"/>
        <v>1500</v>
      </c>
      <c r="V213" s="128">
        <f t="shared" si="155"/>
        <v>9739.36</v>
      </c>
      <c r="X213" s="81">
        <f t="shared" si="160"/>
        <v>1500</v>
      </c>
      <c r="Y213" s="86">
        <v>7.48</v>
      </c>
      <c r="Z213" s="34">
        <f t="shared" si="156"/>
        <v>11220</v>
      </c>
      <c r="AA213" s="134">
        <f t="shared" si="157"/>
        <v>11220</v>
      </c>
      <c r="AB213" s="109">
        <f t="shared" si="158"/>
        <v>1480.6399999999994</v>
      </c>
      <c r="AC213" t="s">
        <v>353</v>
      </c>
      <c r="AD213" s="136">
        <f t="shared" si="162"/>
        <v>0.15202641652018195</v>
      </c>
      <c r="AE213" t="s">
        <v>354</v>
      </c>
      <c r="AF213" s="125"/>
      <c r="AG213" s="125"/>
      <c r="AH213" s="125"/>
      <c r="AI213" s="129"/>
    </row>
    <row r="214" spans="1:35" x14ac:dyDescent="0.25">
      <c r="A214" t="s">
        <v>356</v>
      </c>
      <c r="B214" t="s">
        <v>350</v>
      </c>
      <c r="C214" s="55"/>
      <c r="D214" s="56"/>
      <c r="E214" s="60"/>
      <c r="F214" s="55"/>
      <c r="G214" s="34"/>
      <c r="H214" s="38"/>
      <c r="I214" s="55">
        <v>4010</v>
      </c>
      <c r="J214" s="34">
        <f>16082.5-8082.45</f>
        <v>8000.05</v>
      </c>
      <c r="K214" s="38"/>
      <c r="L214" s="5">
        <v>3750</v>
      </c>
      <c r="M214" s="34">
        <v>8082.45</v>
      </c>
      <c r="O214" s="76"/>
      <c r="P214" s="34"/>
      <c r="R214" s="5"/>
      <c r="S214" s="34"/>
      <c r="U214" s="55">
        <f t="shared" si="155"/>
        <v>7760</v>
      </c>
      <c r="V214" s="128">
        <f t="shared" si="155"/>
        <v>16082.5</v>
      </c>
      <c r="X214" s="81">
        <f t="shared" si="160"/>
        <v>7760</v>
      </c>
      <c r="Y214" s="86">
        <v>2.0099999999999998</v>
      </c>
      <c r="Z214" s="34">
        <f t="shared" si="156"/>
        <v>15597.599999999999</v>
      </c>
      <c r="AA214" s="134">
        <f t="shared" si="157"/>
        <v>15597.599999999999</v>
      </c>
      <c r="AB214" s="109">
        <f t="shared" si="158"/>
        <v>-484.90000000000146</v>
      </c>
      <c r="AC214" t="s">
        <v>356</v>
      </c>
      <c r="AD214" s="136">
        <f t="shared" si="162"/>
        <v>-3.0150785014767693E-2</v>
      </c>
      <c r="AE214" t="s">
        <v>350</v>
      </c>
      <c r="AF214" s="125"/>
      <c r="AG214" s="125"/>
      <c r="AH214" s="125"/>
      <c r="AI214" s="129"/>
    </row>
    <row r="215" spans="1:35" x14ac:dyDescent="0.25">
      <c r="A215" t="s">
        <v>24</v>
      </c>
      <c r="B215" t="s">
        <v>49</v>
      </c>
      <c r="C215" s="55" t="e">
        <f t="shared" ref="C215:D220" si="163">U247</f>
        <v>#REF!</v>
      </c>
      <c r="D215" s="56" t="e">
        <f t="shared" si="163"/>
        <v>#REF!</v>
      </c>
      <c r="E215" s="60"/>
      <c r="F215" s="55"/>
      <c r="G215" s="34"/>
      <c r="H215" s="38"/>
      <c r="I215" s="55"/>
      <c r="J215" s="34"/>
      <c r="K215" s="38"/>
      <c r="L215" s="5"/>
      <c r="M215" s="34"/>
      <c r="O215" s="76"/>
      <c r="P215" s="34"/>
      <c r="R215" s="5"/>
      <c r="S215" s="34"/>
      <c r="U215" s="55" t="e">
        <f t="shared" si="155"/>
        <v>#REF!</v>
      </c>
      <c r="V215" s="128" t="e">
        <f t="shared" si="155"/>
        <v>#REF!</v>
      </c>
      <c r="X215" s="81" t="e">
        <f t="shared" si="160"/>
        <v>#REF!</v>
      </c>
      <c r="Y215" s="86">
        <v>0.53500000000000003</v>
      </c>
      <c r="Z215" s="34" t="e">
        <f t="shared" si="156"/>
        <v>#REF!</v>
      </c>
      <c r="AA215" s="134" t="e">
        <f t="shared" si="157"/>
        <v>#REF!</v>
      </c>
      <c r="AB215" s="109" t="e">
        <f t="shared" si="158"/>
        <v>#REF!</v>
      </c>
      <c r="AC215" t="s">
        <v>24</v>
      </c>
      <c r="AD215" s="136" t="e">
        <f t="shared" si="162"/>
        <v>#REF!</v>
      </c>
      <c r="AE215" t="s">
        <v>49</v>
      </c>
      <c r="AF215" s="125"/>
      <c r="AG215" s="125"/>
      <c r="AH215" s="125"/>
      <c r="AI215" s="129"/>
    </row>
    <row r="216" spans="1:35" x14ac:dyDescent="0.25">
      <c r="A216" t="s">
        <v>25</v>
      </c>
      <c r="B216" t="s">
        <v>75</v>
      </c>
      <c r="C216" s="55" t="e">
        <f t="shared" si="163"/>
        <v>#REF!</v>
      </c>
      <c r="D216" s="56" t="e">
        <f t="shared" si="163"/>
        <v>#REF!</v>
      </c>
      <c r="E216" s="60"/>
      <c r="F216" s="55"/>
      <c r="G216" s="34"/>
      <c r="H216" s="38"/>
      <c r="I216" s="55"/>
      <c r="J216" s="34"/>
      <c r="K216" s="38"/>
      <c r="L216" s="5"/>
      <c r="M216" s="34"/>
      <c r="O216" s="76"/>
      <c r="P216" s="34"/>
      <c r="R216" s="5">
        <v>52</v>
      </c>
      <c r="S216" s="34">
        <v>1482</v>
      </c>
      <c r="U216" s="55" t="e">
        <f t="shared" si="155"/>
        <v>#REF!</v>
      </c>
      <c r="V216" s="128" t="e">
        <f t="shared" si="155"/>
        <v>#REF!</v>
      </c>
      <c r="X216" s="81" t="e">
        <f t="shared" si="160"/>
        <v>#REF!</v>
      </c>
      <c r="Y216" s="86">
        <v>33.31</v>
      </c>
      <c r="Z216" s="34" t="e">
        <f t="shared" si="156"/>
        <v>#REF!</v>
      </c>
      <c r="AA216" s="134" t="e">
        <f t="shared" si="157"/>
        <v>#REF!</v>
      </c>
      <c r="AB216" s="109" t="e">
        <f t="shared" si="158"/>
        <v>#REF!</v>
      </c>
      <c r="AC216" t="s">
        <v>25</v>
      </c>
      <c r="AD216" s="136" t="e">
        <f t="shared" si="162"/>
        <v>#REF!</v>
      </c>
      <c r="AE216" t="s">
        <v>75</v>
      </c>
      <c r="AF216" s="125"/>
      <c r="AG216" s="125"/>
      <c r="AH216" s="125"/>
      <c r="AI216" s="129"/>
    </row>
    <row r="217" spans="1:35" x14ac:dyDescent="0.25">
      <c r="A217" t="s">
        <v>26</v>
      </c>
      <c r="B217" t="s">
        <v>50</v>
      </c>
      <c r="C217" s="55" t="e">
        <f t="shared" si="163"/>
        <v>#REF!</v>
      </c>
      <c r="D217" s="56" t="e">
        <f t="shared" si="163"/>
        <v>#REF!</v>
      </c>
      <c r="E217" s="60"/>
      <c r="F217" s="55"/>
      <c r="G217" s="34"/>
      <c r="H217" s="38"/>
      <c r="I217" s="55"/>
      <c r="J217" s="34"/>
      <c r="K217" s="38"/>
      <c r="L217" s="5"/>
      <c r="M217" s="34"/>
      <c r="O217" s="76"/>
      <c r="P217" s="34"/>
      <c r="R217" s="5"/>
      <c r="S217" s="34"/>
      <c r="U217" s="55" t="e">
        <f t="shared" si="155"/>
        <v>#REF!</v>
      </c>
      <c r="V217" s="128" t="e">
        <f t="shared" si="155"/>
        <v>#REF!</v>
      </c>
      <c r="X217" s="81" t="e">
        <f t="shared" si="160"/>
        <v>#REF!</v>
      </c>
      <c r="Y217" s="86">
        <v>21.28</v>
      </c>
      <c r="Z217" s="34" t="e">
        <f t="shared" si="156"/>
        <v>#REF!</v>
      </c>
      <c r="AA217" s="134" t="e">
        <f t="shared" si="157"/>
        <v>#REF!</v>
      </c>
      <c r="AB217" s="109" t="e">
        <f t="shared" si="158"/>
        <v>#REF!</v>
      </c>
      <c r="AC217" t="s">
        <v>26</v>
      </c>
      <c r="AD217" s="136" t="e">
        <f t="shared" si="162"/>
        <v>#REF!</v>
      </c>
      <c r="AE217" t="s">
        <v>50</v>
      </c>
      <c r="AF217" s="125"/>
      <c r="AG217" s="125"/>
      <c r="AH217" s="125"/>
      <c r="AI217" s="129"/>
    </row>
    <row r="218" spans="1:35" x14ac:dyDescent="0.25">
      <c r="A218" t="s">
        <v>232</v>
      </c>
      <c r="B218" t="s">
        <v>232</v>
      </c>
      <c r="C218" s="55">
        <f t="shared" si="163"/>
        <v>773</v>
      </c>
      <c r="D218" s="56">
        <f t="shared" si="163"/>
        <v>10209.89</v>
      </c>
      <c r="E218" s="60"/>
      <c r="F218" s="55">
        <v>10</v>
      </c>
      <c r="G218" s="34">
        <v>115.2</v>
      </c>
      <c r="H218" s="38"/>
      <c r="I218" s="55">
        <v>13</v>
      </c>
      <c r="J218" s="34">
        <v>172.26</v>
      </c>
      <c r="K218" s="38"/>
      <c r="L218" s="5"/>
      <c r="M218" s="34"/>
      <c r="O218" s="76"/>
      <c r="P218" s="34"/>
      <c r="R218" s="5"/>
      <c r="S218" s="34"/>
      <c r="U218" s="55">
        <f t="shared" si="155"/>
        <v>796</v>
      </c>
      <c r="V218" s="128">
        <f t="shared" si="155"/>
        <v>10497.35</v>
      </c>
      <c r="X218" s="81">
        <f t="shared" si="160"/>
        <v>796</v>
      </c>
      <c r="Y218" s="86">
        <v>13.67</v>
      </c>
      <c r="Z218" s="34">
        <f t="shared" si="156"/>
        <v>10881.32</v>
      </c>
      <c r="AA218" s="134">
        <f t="shared" si="157"/>
        <v>10881.32</v>
      </c>
      <c r="AB218" s="109">
        <f t="shared" si="158"/>
        <v>383.96999999999935</v>
      </c>
      <c r="AC218" t="s">
        <v>232</v>
      </c>
      <c r="AD218" s="136">
        <f t="shared" si="162"/>
        <v>3.6577802969320762E-2</v>
      </c>
      <c r="AE218" t="s">
        <v>232</v>
      </c>
      <c r="AF218" s="125"/>
      <c r="AG218" s="125"/>
      <c r="AH218" s="125"/>
      <c r="AI218" s="129"/>
    </row>
    <row r="219" spans="1:35" x14ac:dyDescent="0.25">
      <c r="A219" t="s">
        <v>316</v>
      </c>
      <c r="C219" s="55">
        <f t="shared" si="163"/>
        <v>2000</v>
      </c>
      <c r="D219" s="56">
        <f t="shared" si="163"/>
        <v>10589.95</v>
      </c>
      <c r="E219" s="60"/>
      <c r="F219" s="55"/>
      <c r="G219" s="34"/>
      <c r="H219" s="38"/>
      <c r="I219" s="55"/>
      <c r="J219" s="34"/>
      <c r="K219" s="38"/>
      <c r="L219" s="5"/>
      <c r="M219" s="34"/>
      <c r="O219" s="76"/>
      <c r="P219" s="34"/>
      <c r="R219" s="5"/>
      <c r="S219" s="34"/>
      <c r="U219" s="55">
        <f t="shared" si="155"/>
        <v>2000</v>
      </c>
      <c r="V219" s="128">
        <f t="shared" si="155"/>
        <v>10589.95</v>
      </c>
      <c r="X219" s="81">
        <f t="shared" si="160"/>
        <v>2000</v>
      </c>
      <c r="Y219" s="86">
        <v>7.27</v>
      </c>
      <c r="Z219" s="34">
        <f t="shared" si="156"/>
        <v>14540</v>
      </c>
      <c r="AA219" s="134">
        <f t="shared" si="157"/>
        <v>14540</v>
      </c>
      <c r="AB219" s="109">
        <f t="shared" si="158"/>
        <v>3950.0499999999993</v>
      </c>
      <c r="AC219" t="s">
        <v>316</v>
      </c>
      <c r="AD219" s="136">
        <f t="shared" si="162"/>
        <v>0.37299987252064448</v>
      </c>
      <c r="AF219" s="125"/>
      <c r="AG219" s="125"/>
      <c r="AH219" s="125"/>
      <c r="AI219" s="129"/>
    </row>
    <row r="220" spans="1:35" x14ac:dyDescent="0.25">
      <c r="A220" t="s">
        <v>27</v>
      </c>
      <c r="B220" t="s">
        <v>51</v>
      </c>
      <c r="C220" s="55" t="e">
        <f t="shared" si="163"/>
        <v>#REF!</v>
      </c>
      <c r="D220" s="56" t="e">
        <f t="shared" si="163"/>
        <v>#REF!</v>
      </c>
      <c r="E220" s="60"/>
      <c r="F220" s="55"/>
      <c r="G220" s="34"/>
      <c r="H220" s="38"/>
      <c r="I220" s="55"/>
      <c r="J220" s="34"/>
      <c r="K220" s="38"/>
      <c r="L220" s="5"/>
      <c r="M220" s="34"/>
      <c r="O220" s="76"/>
      <c r="P220" s="34"/>
      <c r="R220" s="5"/>
      <c r="S220" s="34"/>
      <c r="U220" s="55" t="e">
        <f t="shared" si="155"/>
        <v>#REF!</v>
      </c>
      <c r="V220" s="128" t="e">
        <f t="shared" si="155"/>
        <v>#REF!</v>
      </c>
      <c r="X220" s="81" t="e">
        <f t="shared" si="160"/>
        <v>#REF!</v>
      </c>
      <c r="Y220" s="86">
        <v>53.75</v>
      </c>
      <c r="Z220" s="34" t="e">
        <f t="shared" si="156"/>
        <v>#REF!</v>
      </c>
      <c r="AA220" s="134" t="e">
        <f t="shared" si="157"/>
        <v>#REF!</v>
      </c>
      <c r="AB220" s="109" t="e">
        <f t="shared" si="158"/>
        <v>#REF!</v>
      </c>
      <c r="AC220" t="s">
        <v>27</v>
      </c>
      <c r="AD220" s="136" t="e">
        <f t="shared" si="162"/>
        <v>#REF!</v>
      </c>
      <c r="AE220" t="s">
        <v>51</v>
      </c>
      <c r="AF220" s="125"/>
      <c r="AG220" s="125"/>
      <c r="AH220" s="125"/>
      <c r="AI220" s="129"/>
    </row>
    <row r="221" spans="1:35" x14ac:dyDescent="0.25">
      <c r="A221" t="s">
        <v>283</v>
      </c>
      <c r="B221" t="s">
        <v>348</v>
      </c>
      <c r="C221" s="55">
        <f>U243</f>
        <v>0</v>
      </c>
      <c r="D221" s="56">
        <f>V243</f>
        <v>0</v>
      </c>
      <c r="E221" s="60"/>
      <c r="F221" s="55"/>
      <c r="G221" s="34"/>
      <c r="H221" s="38"/>
      <c r="I221" s="55"/>
      <c r="J221" s="34"/>
      <c r="K221" s="38"/>
      <c r="L221" s="5"/>
      <c r="M221" s="34"/>
      <c r="O221" s="76">
        <v>3110</v>
      </c>
      <c r="P221" s="34" t="e">
        <f>-P203</f>
        <v>#REF!</v>
      </c>
      <c r="R221" s="5"/>
      <c r="S221" s="34"/>
      <c r="U221" s="55">
        <f t="shared" si="155"/>
        <v>3110</v>
      </c>
      <c r="V221" s="128" t="e">
        <f t="shared" si="155"/>
        <v>#REF!</v>
      </c>
      <c r="X221" s="81">
        <f t="shared" si="160"/>
        <v>3110</v>
      </c>
      <c r="Y221" s="86">
        <v>1.79</v>
      </c>
      <c r="Z221" s="34">
        <f t="shared" si="156"/>
        <v>5566.9000000000005</v>
      </c>
      <c r="AA221" s="134">
        <f t="shared" si="157"/>
        <v>5566.9000000000005</v>
      </c>
      <c r="AB221" s="109" t="e">
        <f t="shared" si="158"/>
        <v>#REF!</v>
      </c>
      <c r="AC221" t="s">
        <v>283</v>
      </c>
      <c r="AD221" s="136" t="e">
        <f t="shared" si="162"/>
        <v>#REF!</v>
      </c>
      <c r="AE221" t="s">
        <v>348</v>
      </c>
      <c r="AF221" s="125"/>
      <c r="AG221" s="125"/>
      <c r="AH221" s="125"/>
      <c r="AI221" s="129"/>
    </row>
    <row r="222" spans="1:35" x14ac:dyDescent="0.25">
      <c r="A222" t="s">
        <v>284</v>
      </c>
      <c r="B222" t="s">
        <v>292</v>
      </c>
      <c r="C222" s="55">
        <f t="shared" ref="C222:D225" si="164">U254</f>
        <v>2120</v>
      </c>
      <c r="D222" s="56">
        <f t="shared" si="164"/>
        <v>6210.35</v>
      </c>
      <c r="E222" s="60"/>
      <c r="F222" s="55"/>
      <c r="G222" s="34"/>
      <c r="H222" s="38"/>
      <c r="I222" s="55"/>
      <c r="J222" s="34"/>
      <c r="K222" s="38"/>
      <c r="L222" s="5"/>
      <c r="M222" s="34"/>
      <c r="O222" s="76"/>
      <c r="P222" s="34"/>
      <c r="R222" s="5">
        <v>176</v>
      </c>
      <c r="S222" s="34">
        <v>651.20000000000005</v>
      </c>
      <c r="U222" s="55">
        <f t="shared" si="155"/>
        <v>2296</v>
      </c>
      <c r="V222" s="128">
        <f t="shared" si="155"/>
        <v>6861.55</v>
      </c>
      <c r="X222" s="81">
        <f t="shared" si="160"/>
        <v>2296</v>
      </c>
      <c r="Y222" s="86">
        <v>4.55</v>
      </c>
      <c r="Z222" s="34">
        <f t="shared" si="156"/>
        <v>10446.799999999999</v>
      </c>
      <c r="AA222" s="134">
        <f t="shared" si="157"/>
        <v>10446.799999999999</v>
      </c>
      <c r="AB222" s="109">
        <f t="shared" si="158"/>
        <v>3585.2499999999991</v>
      </c>
      <c r="AC222" t="s">
        <v>284</v>
      </c>
      <c r="AD222" s="136">
        <f t="shared" si="162"/>
        <v>0.52251313478732919</v>
      </c>
      <c r="AE222" t="s">
        <v>292</v>
      </c>
      <c r="AF222" s="125"/>
      <c r="AG222" s="125"/>
      <c r="AH222" s="125"/>
      <c r="AI222" s="129"/>
    </row>
    <row r="223" spans="1:35" x14ac:dyDescent="0.25">
      <c r="A223" t="s">
        <v>28</v>
      </c>
      <c r="B223" t="s">
        <v>52</v>
      </c>
      <c r="C223" s="55" t="e">
        <f t="shared" si="164"/>
        <v>#REF!</v>
      </c>
      <c r="D223" s="56" t="e">
        <f t="shared" si="164"/>
        <v>#REF!</v>
      </c>
      <c r="E223" s="60"/>
      <c r="F223" s="55"/>
      <c r="G223" s="34"/>
      <c r="H223" s="38"/>
      <c r="I223" s="55"/>
      <c r="J223" s="34"/>
      <c r="K223" s="38"/>
      <c r="L223" s="5"/>
      <c r="M223" s="34"/>
      <c r="O223" s="76"/>
      <c r="P223" s="34"/>
      <c r="R223" s="5"/>
      <c r="S223" s="34"/>
      <c r="U223" s="55" t="e">
        <f t="shared" si="155"/>
        <v>#REF!</v>
      </c>
      <c r="V223" s="128" t="e">
        <f t="shared" si="155"/>
        <v>#REF!</v>
      </c>
      <c r="X223" s="81" t="e">
        <f t="shared" si="160"/>
        <v>#REF!</v>
      </c>
      <c r="Y223" s="86">
        <v>6.14</v>
      </c>
      <c r="Z223" s="34" t="e">
        <f t="shared" si="156"/>
        <v>#REF!</v>
      </c>
      <c r="AA223" s="134" t="e">
        <f t="shared" si="157"/>
        <v>#REF!</v>
      </c>
      <c r="AB223" s="109" t="e">
        <f t="shared" si="158"/>
        <v>#REF!</v>
      </c>
      <c r="AC223" t="s">
        <v>28</v>
      </c>
      <c r="AD223" s="136" t="e">
        <f t="shared" si="162"/>
        <v>#REF!</v>
      </c>
      <c r="AE223" t="s">
        <v>52</v>
      </c>
      <c r="AF223" s="125"/>
      <c r="AG223" s="125"/>
      <c r="AH223" s="125"/>
      <c r="AI223" s="129"/>
    </row>
    <row r="224" spans="1:35" x14ac:dyDescent="0.25">
      <c r="A224" t="s">
        <v>29</v>
      </c>
      <c r="B224" t="s">
        <v>76</v>
      </c>
      <c r="C224" s="55" t="e">
        <f t="shared" si="164"/>
        <v>#REF!</v>
      </c>
      <c r="D224" s="56" t="e">
        <f t="shared" si="164"/>
        <v>#REF!</v>
      </c>
      <c r="E224" s="60"/>
      <c r="F224" s="55"/>
      <c r="G224" s="34"/>
      <c r="H224" s="38"/>
      <c r="I224" s="55"/>
      <c r="J224" s="34"/>
      <c r="K224" s="38"/>
      <c r="L224" s="5"/>
      <c r="M224" s="34"/>
      <c r="O224" s="76"/>
      <c r="P224" s="34"/>
      <c r="R224" s="5"/>
      <c r="S224" s="34"/>
      <c r="U224" s="55" t="e">
        <f t="shared" si="155"/>
        <v>#REF!</v>
      </c>
      <c r="V224" s="128" t="e">
        <f t="shared" si="155"/>
        <v>#REF!</v>
      </c>
      <c r="X224" s="81" t="e">
        <f t="shared" si="160"/>
        <v>#REF!</v>
      </c>
      <c r="Y224" s="86">
        <v>4.99</v>
      </c>
      <c r="Z224" s="34" t="e">
        <f t="shared" si="156"/>
        <v>#REF!</v>
      </c>
      <c r="AA224" s="134" t="e">
        <f t="shared" si="157"/>
        <v>#REF!</v>
      </c>
      <c r="AB224" s="109" t="e">
        <f t="shared" si="158"/>
        <v>#REF!</v>
      </c>
      <c r="AC224" t="s">
        <v>29</v>
      </c>
      <c r="AD224" s="136" t="e">
        <f t="shared" si="162"/>
        <v>#REF!</v>
      </c>
      <c r="AE224" t="s">
        <v>76</v>
      </c>
      <c r="AF224" s="125"/>
      <c r="AG224" s="125"/>
      <c r="AH224" s="125"/>
      <c r="AI224" s="129"/>
    </row>
    <row r="225" spans="1:35" x14ac:dyDescent="0.25">
      <c r="A225" t="s">
        <v>32</v>
      </c>
      <c r="B225" t="s">
        <v>53</v>
      </c>
      <c r="C225" s="55" t="e">
        <f t="shared" si="164"/>
        <v>#REF!</v>
      </c>
      <c r="D225" s="56" t="e">
        <f t="shared" si="164"/>
        <v>#REF!</v>
      </c>
      <c r="E225" s="60"/>
      <c r="F225" s="55">
        <v>47</v>
      </c>
      <c r="G225" s="34">
        <v>1616.33</v>
      </c>
      <c r="H225" s="38"/>
      <c r="I225" s="55">
        <v>52</v>
      </c>
      <c r="J225" s="34">
        <v>1699.36</v>
      </c>
      <c r="K225" s="38"/>
      <c r="L225" s="5"/>
      <c r="M225" s="34"/>
      <c r="O225" s="76"/>
      <c r="P225" s="34"/>
      <c r="R225" s="5"/>
      <c r="S225" s="34"/>
      <c r="U225" s="55" t="e">
        <f t="shared" si="155"/>
        <v>#REF!</v>
      </c>
      <c r="V225" s="128" t="e">
        <f t="shared" si="155"/>
        <v>#REF!</v>
      </c>
      <c r="X225" s="81">
        <v>1901</v>
      </c>
      <c r="Y225" s="86">
        <v>32.15</v>
      </c>
      <c r="Z225" s="34">
        <f t="shared" si="156"/>
        <v>61117.149999999994</v>
      </c>
      <c r="AA225" s="134">
        <f t="shared" si="157"/>
        <v>61117.149999999994</v>
      </c>
      <c r="AB225" s="109" t="e">
        <f t="shared" si="158"/>
        <v>#REF!</v>
      </c>
      <c r="AC225" t="s">
        <v>32</v>
      </c>
      <c r="AD225" s="136" t="e">
        <f t="shared" si="162"/>
        <v>#REF!</v>
      </c>
      <c r="AE225" t="s">
        <v>53</v>
      </c>
      <c r="AF225" s="125"/>
      <c r="AG225" s="125"/>
      <c r="AH225" s="125"/>
      <c r="AI225" s="129"/>
    </row>
    <row r="226" spans="1:35" x14ac:dyDescent="0.25">
      <c r="A226" t="s">
        <v>231</v>
      </c>
      <c r="B226" t="s">
        <v>229</v>
      </c>
      <c r="C226" s="55">
        <f t="shared" ref="C226:D228" si="165">U259</f>
        <v>353</v>
      </c>
      <c r="D226" s="56">
        <f t="shared" si="165"/>
        <v>11097.41</v>
      </c>
      <c r="E226" s="60"/>
      <c r="F226" s="55"/>
      <c r="G226" s="34"/>
      <c r="H226" s="38"/>
      <c r="I226" s="55"/>
      <c r="J226" s="34"/>
      <c r="K226" s="38"/>
      <c r="L226" s="5"/>
      <c r="M226" s="34"/>
      <c r="O226" s="76"/>
      <c r="P226" s="34"/>
      <c r="R226" s="5">
        <v>-6</v>
      </c>
      <c r="S226" s="34">
        <v>-264.75</v>
      </c>
      <c r="U226" s="55">
        <f t="shared" si="155"/>
        <v>347</v>
      </c>
      <c r="V226" s="128">
        <f t="shared" si="155"/>
        <v>10832.66</v>
      </c>
      <c r="X226" s="81">
        <f t="shared" si="160"/>
        <v>347</v>
      </c>
      <c r="Y226" s="86">
        <v>39.03</v>
      </c>
      <c r="Z226" s="34">
        <f t="shared" si="156"/>
        <v>13543.41</v>
      </c>
      <c r="AA226" s="134">
        <f t="shared" si="157"/>
        <v>13543.41</v>
      </c>
      <c r="AB226" s="109">
        <f t="shared" si="158"/>
        <v>2710.75</v>
      </c>
      <c r="AC226" t="s">
        <v>231</v>
      </c>
      <c r="AD226" s="136">
        <f t="shared" si="162"/>
        <v>0.25023863021640114</v>
      </c>
      <c r="AE226" t="s">
        <v>229</v>
      </c>
      <c r="AF226" s="125"/>
      <c r="AG226" s="125"/>
      <c r="AH226" s="125"/>
      <c r="AI226" s="129"/>
    </row>
    <row r="227" spans="1:35" x14ac:dyDescent="0.25">
      <c r="A227" t="s">
        <v>30</v>
      </c>
      <c r="B227" t="s">
        <v>55</v>
      </c>
      <c r="C227" s="55" t="e">
        <f t="shared" si="165"/>
        <v>#REF!</v>
      </c>
      <c r="D227" s="56" t="e">
        <f t="shared" si="165"/>
        <v>#REF!</v>
      </c>
      <c r="E227" s="60"/>
      <c r="F227" s="55"/>
      <c r="G227" s="34"/>
      <c r="H227" s="38"/>
      <c r="I227" s="55"/>
      <c r="J227" s="34"/>
      <c r="K227" s="38"/>
      <c r="L227" s="5"/>
      <c r="M227" s="34"/>
      <c r="O227" s="76"/>
      <c r="P227" s="34"/>
      <c r="R227" s="5"/>
      <c r="S227" s="34"/>
      <c r="U227" s="55" t="e">
        <f t="shared" si="155"/>
        <v>#REF!</v>
      </c>
      <c r="V227" s="128" t="e">
        <f t="shared" si="155"/>
        <v>#REF!</v>
      </c>
      <c r="X227" s="81" t="e">
        <f t="shared" si="160"/>
        <v>#REF!</v>
      </c>
      <c r="Y227" s="86">
        <v>34.229999999999997</v>
      </c>
      <c r="Z227" s="34" t="e">
        <f t="shared" si="156"/>
        <v>#REF!</v>
      </c>
      <c r="AA227" s="134" t="e">
        <f t="shared" si="157"/>
        <v>#REF!</v>
      </c>
      <c r="AB227" s="109" t="e">
        <f t="shared" si="158"/>
        <v>#REF!</v>
      </c>
      <c r="AC227" t="s">
        <v>30</v>
      </c>
      <c r="AD227" s="136" t="e">
        <f t="shared" si="162"/>
        <v>#REF!</v>
      </c>
      <c r="AE227" t="s">
        <v>55</v>
      </c>
      <c r="AF227" s="125"/>
      <c r="AG227" s="125"/>
      <c r="AH227" s="125"/>
      <c r="AI227" s="129"/>
    </row>
    <row r="228" spans="1:35" x14ac:dyDescent="0.25">
      <c r="A228" t="s">
        <v>31</v>
      </c>
      <c r="B228" t="s">
        <v>54</v>
      </c>
      <c r="C228" s="55" t="e">
        <f t="shared" si="165"/>
        <v>#REF!</v>
      </c>
      <c r="D228" s="56" t="e">
        <f t="shared" si="165"/>
        <v>#REF!</v>
      </c>
      <c r="E228" s="60"/>
      <c r="F228" s="55"/>
      <c r="G228" s="34"/>
      <c r="H228" s="38"/>
      <c r="I228" s="55"/>
      <c r="J228" s="34"/>
      <c r="K228" s="38"/>
      <c r="L228" s="5"/>
      <c r="M228" s="34"/>
      <c r="O228" s="76"/>
      <c r="P228" s="34"/>
      <c r="R228" s="5"/>
      <c r="S228" s="34"/>
      <c r="U228" s="55" t="e">
        <f t="shared" si="155"/>
        <v>#REF!</v>
      </c>
      <c r="V228" s="128" t="e">
        <f t="shared" si="155"/>
        <v>#REF!</v>
      </c>
      <c r="X228" s="81" t="e">
        <f t="shared" si="160"/>
        <v>#REF!</v>
      </c>
      <c r="Y228" s="86">
        <v>26.96</v>
      </c>
      <c r="Z228" s="34" t="e">
        <f t="shared" si="156"/>
        <v>#REF!</v>
      </c>
      <c r="AA228" s="134" t="e">
        <f t="shared" si="157"/>
        <v>#REF!</v>
      </c>
      <c r="AB228" s="109" t="e">
        <f t="shared" si="158"/>
        <v>#REF!</v>
      </c>
      <c r="AC228" t="s">
        <v>31</v>
      </c>
      <c r="AD228" s="136" t="e">
        <f t="shared" si="162"/>
        <v>#REF!</v>
      </c>
      <c r="AE228" t="s">
        <v>54</v>
      </c>
      <c r="AF228" s="125"/>
      <c r="AG228" s="125"/>
      <c r="AH228" s="125"/>
      <c r="AI228" s="129"/>
    </row>
    <row r="229" spans="1:35" x14ac:dyDescent="0.25">
      <c r="C229" s="34"/>
      <c r="D229" s="57" t="e">
        <f>SUM(D203:D228)</f>
        <v>#REF!</v>
      </c>
      <c r="E229" s="61"/>
      <c r="F229" s="68"/>
      <c r="G229" s="57">
        <f>SUM(G203:G228)</f>
        <v>2330.81</v>
      </c>
      <c r="H229" s="27"/>
      <c r="I229" s="68"/>
      <c r="J229" s="57">
        <f>SUM(J202:J228)</f>
        <v>10541.750000000002</v>
      </c>
      <c r="K229" s="61"/>
      <c r="L229" s="34"/>
      <c r="M229" s="69">
        <f>SUM(M202:M228)</f>
        <v>12777.3</v>
      </c>
      <c r="N229" s="38"/>
      <c r="O229" s="76"/>
      <c r="P229" s="57" t="e">
        <f>SUM(P203:P228)</f>
        <v>#REF!</v>
      </c>
      <c r="R229" s="5"/>
      <c r="S229" s="57">
        <f>SUM(S203:S228)</f>
        <v>-9036.5</v>
      </c>
      <c r="U229" s="5"/>
      <c r="V229" s="57" t="e">
        <f>SUM(V202:V228)</f>
        <v>#REF!</v>
      </c>
      <c r="X229" s="3"/>
      <c r="Y229" s="83"/>
      <c r="Z229" s="33" t="e">
        <f>SUM(Z203:Z228)</f>
        <v>#REF!</v>
      </c>
      <c r="AA229" s="137" t="e">
        <f>SUM(AA203:AA228)</f>
        <v>#REF!</v>
      </c>
      <c r="AB229" s="109" t="e">
        <f t="shared" si="158"/>
        <v>#REF!</v>
      </c>
      <c r="AC229" s="135"/>
      <c r="AD229" s="136" t="e">
        <f t="shared" si="162"/>
        <v>#REF!</v>
      </c>
      <c r="AF229" s="125"/>
      <c r="AG229" s="125"/>
      <c r="AH229" s="125"/>
      <c r="AI229" s="129"/>
    </row>
    <row r="230" spans="1:35" x14ac:dyDescent="0.25">
      <c r="C230" s="63" t="s">
        <v>176</v>
      </c>
      <c r="D230" s="64" t="e">
        <f>D229</f>
        <v>#REF!</v>
      </c>
      <c r="F230" s="63" t="s">
        <v>176</v>
      </c>
      <c r="G230" s="64">
        <f>G229</f>
        <v>2330.81</v>
      </c>
      <c r="I230" s="63" t="s">
        <v>176</v>
      </c>
      <c r="J230" s="67">
        <f>J229</f>
        <v>10541.750000000002</v>
      </c>
      <c r="K230" s="72"/>
      <c r="L230" s="63" t="s">
        <v>176</v>
      </c>
      <c r="M230" s="67">
        <f>M229</f>
        <v>12777.3</v>
      </c>
      <c r="N230" s="70"/>
      <c r="O230" s="63" t="s">
        <v>176</v>
      </c>
      <c r="P230" s="67" t="e">
        <f>P229</f>
        <v>#REF!</v>
      </c>
      <c r="R230" s="63" t="s">
        <v>176</v>
      </c>
      <c r="S230" s="67">
        <f>S229</f>
        <v>-9036.5</v>
      </c>
      <c r="V230" s="2" t="e">
        <f>V229</f>
        <v>#REF!</v>
      </c>
      <c r="Z230" s="85" t="s">
        <v>176</v>
      </c>
      <c r="AA230" s="73"/>
      <c r="AB230" s="108"/>
      <c r="AC230" s="132"/>
      <c r="AD230" s="132"/>
      <c r="AF230" s="125"/>
      <c r="AG230" s="125"/>
      <c r="AH230" s="125"/>
      <c r="AI230" s="129"/>
    </row>
    <row r="231" spans="1:35" x14ac:dyDescent="0.25">
      <c r="B231" s="29"/>
      <c r="AE231" s="29"/>
      <c r="AF231" s="125"/>
      <c r="AG231" s="125"/>
      <c r="AH231" s="125"/>
      <c r="AI231" s="129"/>
    </row>
    <row r="232" spans="1:35" x14ac:dyDescent="0.25">
      <c r="B232" s="29"/>
      <c r="AE232" s="29"/>
      <c r="AF232" s="125"/>
      <c r="AG232" s="125"/>
      <c r="AH232" s="125"/>
      <c r="AI232" s="129"/>
    </row>
    <row r="233" spans="1:35" ht="15.75" thickBot="1" x14ac:dyDescent="0.3">
      <c r="A233" t="s">
        <v>170</v>
      </c>
      <c r="C233" s="51">
        <v>41455</v>
      </c>
      <c r="D233" s="51">
        <v>41455</v>
      </c>
      <c r="E233" s="48"/>
      <c r="F233" s="3" t="s">
        <v>174</v>
      </c>
      <c r="G233" s="3"/>
      <c r="H233" s="20"/>
      <c r="I233" s="32" t="s">
        <v>177</v>
      </c>
      <c r="J233" s="3"/>
      <c r="K233" s="20"/>
      <c r="L233" s="32" t="s">
        <v>317</v>
      </c>
      <c r="M233" s="3"/>
      <c r="O233" s="74" t="s">
        <v>313</v>
      </c>
      <c r="P233" s="71"/>
      <c r="R233" s="74" t="s">
        <v>185</v>
      </c>
      <c r="S233" s="75"/>
      <c r="U233" s="77">
        <v>41820</v>
      </c>
      <c r="V233" s="71"/>
      <c r="X233" s="77">
        <v>41820</v>
      </c>
      <c r="Y233" s="80"/>
      <c r="Z233" s="71"/>
      <c r="AA233" s="3" t="s">
        <v>312</v>
      </c>
      <c r="AB233" s="3"/>
      <c r="AC233" s="4" t="s">
        <v>170</v>
      </c>
      <c r="AD233" s="4" t="s">
        <v>296</v>
      </c>
      <c r="AF233" s="125"/>
      <c r="AG233" s="125" t="s">
        <v>188</v>
      </c>
      <c r="AH233" s="125"/>
      <c r="AI233" s="130">
        <v>25141.89</v>
      </c>
    </row>
    <row r="234" spans="1:35" ht="30" x14ac:dyDescent="0.25">
      <c r="A234" s="1" t="s">
        <v>171</v>
      </c>
      <c r="B234" s="39" t="s">
        <v>42</v>
      </c>
      <c r="C234" s="52" t="s">
        <v>172</v>
      </c>
      <c r="D234" s="4" t="s">
        <v>173</v>
      </c>
      <c r="E234" s="58"/>
      <c r="F234" s="4" t="s">
        <v>175</v>
      </c>
      <c r="G234" s="4" t="s">
        <v>173</v>
      </c>
      <c r="H234" s="58"/>
      <c r="I234" s="52" t="s">
        <v>172</v>
      </c>
      <c r="J234" s="4" t="s">
        <v>173</v>
      </c>
      <c r="K234" s="58"/>
      <c r="L234" s="52" t="s">
        <v>172</v>
      </c>
      <c r="M234" s="4" t="s">
        <v>173</v>
      </c>
      <c r="O234" s="52" t="s">
        <v>172</v>
      </c>
      <c r="P234" s="4" t="s">
        <v>173</v>
      </c>
      <c r="R234" s="52" t="s">
        <v>172</v>
      </c>
      <c r="S234" s="4" t="s">
        <v>173</v>
      </c>
      <c r="U234" s="52" t="s">
        <v>172</v>
      </c>
      <c r="V234" s="4" t="s">
        <v>173</v>
      </c>
      <c r="X234" s="78" t="s">
        <v>172</v>
      </c>
      <c r="Y234" s="79" t="s">
        <v>203</v>
      </c>
      <c r="Z234" s="3" t="s">
        <v>93</v>
      </c>
      <c r="AA234" s="3" t="s">
        <v>294</v>
      </c>
      <c r="AB234" s="3" t="s">
        <v>295</v>
      </c>
      <c r="AC234" s="133" t="s">
        <v>171</v>
      </c>
      <c r="AD234" s="133" t="s">
        <v>297</v>
      </c>
      <c r="AE234" s="39" t="s">
        <v>42</v>
      </c>
      <c r="AF234" s="125"/>
      <c r="AG234" s="125"/>
      <c r="AH234" s="125"/>
      <c r="AI234" s="146"/>
    </row>
    <row r="235" spans="1:35" x14ac:dyDescent="0.25">
      <c r="C235" s="53"/>
      <c r="D235" s="54"/>
      <c r="E235" s="59"/>
      <c r="F235" s="54"/>
      <c r="G235" s="54"/>
      <c r="H235" s="59"/>
      <c r="I235" s="54"/>
      <c r="J235" s="3"/>
      <c r="K235" s="20"/>
      <c r="L235" s="54"/>
      <c r="M235" s="3"/>
      <c r="N235" s="28"/>
      <c r="O235" s="3"/>
      <c r="P235" s="34"/>
      <c r="R235" s="5"/>
      <c r="S235" s="34"/>
      <c r="U235" s="5"/>
      <c r="V235" s="34"/>
      <c r="X235" s="3"/>
      <c r="Y235" s="3"/>
      <c r="Z235" s="3"/>
      <c r="AC235" s="132"/>
      <c r="AD235" s="132"/>
      <c r="AF235" s="125"/>
      <c r="AG235" s="125"/>
      <c r="AH235" s="125"/>
      <c r="AI235" s="146"/>
    </row>
    <row r="236" spans="1:35" x14ac:dyDescent="0.25">
      <c r="A236" t="s">
        <v>16</v>
      </c>
      <c r="B236" t="s">
        <v>43</v>
      </c>
      <c r="C236" s="55" t="e">
        <f t="shared" ref="C236:D240" si="166">U271</f>
        <v>#REF!</v>
      </c>
      <c r="D236" s="56" t="e">
        <f t="shared" si="166"/>
        <v>#REF!</v>
      </c>
      <c r="E236" s="60"/>
      <c r="F236" s="68">
        <v>0</v>
      </c>
      <c r="G236" s="34">
        <v>0</v>
      </c>
      <c r="H236" s="38"/>
      <c r="I236" s="55"/>
      <c r="J236" s="34"/>
      <c r="K236" s="38"/>
      <c r="L236" s="5"/>
      <c r="M236" s="34"/>
      <c r="O236" s="76"/>
      <c r="P236" s="34"/>
      <c r="R236" s="5"/>
      <c r="S236" s="34"/>
      <c r="U236" s="55" t="e">
        <f>+C236+F236+I236+L236+O236+R236</f>
        <v>#REF!</v>
      </c>
      <c r="V236" s="128" t="e">
        <f>+D236+G236+J236+M236+P236+S236</f>
        <v>#REF!</v>
      </c>
      <c r="X236" s="81" t="e">
        <f>U236</f>
        <v>#REF!</v>
      </c>
      <c r="Y236" s="82">
        <v>35.9</v>
      </c>
      <c r="Z236" s="34" t="e">
        <f>X236*Y236</f>
        <v>#REF!</v>
      </c>
      <c r="AA236" s="134" t="e">
        <f>Z236</f>
        <v>#REF!</v>
      </c>
      <c r="AB236" s="109" t="e">
        <f>AA236-V236</f>
        <v>#REF!</v>
      </c>
      <c r="AC236" s="135" t="s">
        <v>16</v>
      </c>
      <c r="AD236" s="136" t="e">
        <f>AB236/V236</f>
        <v>#REF!</v>
      </c>
      <c r="AE236" t="s">
        <v>43</v>
      </c>
      <c r="AF236" s="125"/>
      <c r="AG236" s="125"/>
      <c r="AH236" s="125"/>
      <c r="AI236" s="146"/>
    </row>
    <row r="237" spans="1:35" x14ac:dyDescent="0.25">
      <c r="A237" t="s">
        <v>188</v>
      </c>
      <c r="B237" t="s">
        <v>44</v>
      </c>
      <c r="C237" s="55">
        <f t="shared" si="166"/>
        <v>1500</v>
      </c>
      <c r="D237" s="56">
        <f t="shared" si="166"/>
        <v>25141.89</v>
      </c>
      <c r="E237" s="60"/>
      <c r="F237" s="68">
        <v>0</v>
      </c>
      <c r="G237" s="34">
        <v>0</v>
      </c>
      <c r="H237" s="38"/>
      <c r="I237" s="55"/>
      <c r="J237" s="34"/>
      <c r="K237" s="38"/>
      <c r="L237" s="5">
        <v>-1500</v>
      </c>
      <c r="M237" s="34">
        <v>-25141.89</v>
      </c>
      <c r="O237" s="76"/>
      <c r="P237" s="34"/>
      <c r="R237" s="5"/>
      <c r="S237" s="34"/>
      <c r="U237" s="55">
        <f t="shared" ref="U237:V261" si="167">+C237+F237+I237+L237+O237+R237</f>
        <v>0</v>
      </c>
      <c r="V237" s="128">
        <f t="shared" si="167"/>
        <v>0</v>
      </c>
      <c r="X237" s="81">
        <f>U237</f>
        <v>0</v>
      </c>
      <c r="Y237" s="86">
        <v>4.67</v>
      </c>
      <c r="Z237" s="34">
        <f t="shared" ref="Z237:Z261" si="168">X237*Y237</f>
        <v>0</v>
      </c>
      <c r="AA237" s="134">
        <f t="shared" ref="AA237:AA261" si="169">Z237</f>
        <v>0</v>
      </c>
      <c r="AB237" s="109">
        <f t="shared" ref="AB237:AB262" si="170">AA237-V237</f>
        <v>0</v>
      </c>
      <c r="AC237" s="135" t="s">
        <v>188</v>
      </c>
      <c r="AD237" s="136">
        <v>0</v>
      </c>
      <c r="AE237" t="s">
        <v>44</v>
      </c>
      <c r="AF237" s="125"/>
      <c r="AG237" s="125"/>
      <c r="AH237" s="125"/>
      <c r="AI237" s="146"/>
    </row>
    <row r="238" spans="1:35" x14ac:dyDescent="0.25">
      <c r="A238" t="s">
        <v>18</v>
      </c>
      <c r="B238" t="s">
        <v>60</v>
      </c>
      <c r="C238" s="55" t="e">
        <f t="shared" si="166"/>
        <v>#REF!</v>
      </c>
      <c r="D238" s="56" t="e">
        <f t="shared" si="166"/>
        <v>#REF!</v>
      </c>
      <c r="E238" s="60"/>
      <c r="F238" s="55">
        <v>86</v>
      </c>
      <c r="G238" s="34">
        <v>6314.12</v>
      </c>
      <c r="H238" s="38"/>
      <c r="I238" s="55"/>
      <c r="J238" s="34"/>
      <c r="K238" s="38"/>
      <c r="L238" s="5"/>
      <c r="M238" s="34"/>
      <c r="O238" s="76"/>
      <c r="P238" s="34"/>
      <c r="R238" s="5"/>
      <c r="S238" s="34"/>
      <c r="U238" s="55" t="e">
        <f t="shared" si="167"/>
        <v>#REF!</v>
      </c>
      <c r="V238" s="128" t="e">
        <f t="shared" si="167"/>
        <v>#REF!</v>
      </c>
      <c r="X238" s="81" t="e">
        <f t="shared" ref="X238:X261" si="171">U238</f>
        <v>#REF!</v>
      </c>
      <c r="Y238" s="86">
        <v>80.88</v>
      </c>
      <c r="Z238" s="34" t="e">
        <f t="shared" si="168"/>
        <v>#REF!</v>
      </c>
      <c r="AA238" s="134" t="e">
        <f t="shared" si="169"/>
        <v>#REF!</v>
      </c>
      <c r="AB238" s="109" t="e">
        <f t="shared" si="170"/>
        <v>#REF!</v>
      </c>
      <c r="AC238" s="135" t="s">
        <v>18</v>
      </c>
      <c r="AD238" s="136" t="e">
        <f t="shared" ref="AD238:AD242" si="172">AB238/V238</f>
        <v>#REF!</v>
      </c>
      <c r="AE238" t="s">
        <v>60</v>
      </c>
      <c r="AF238" s="125"/>
      <c r="AG238" s="125"/>
      <c r="AH238" s="125"/>
      <c r="AI238" s="146"/>
    </row>
    <row r="239" spans="1:35" x14ac:dyDescent="0.25">
      <c r="A239" t="s">
        <v>189</v>
      </c>
      <c r="B239" t="s">
        <v>45</v>
      </c>
      <c r="C239" s="55" t="e">
        <f t="shared" si="166"/>
        <v>#REF!</v>
      </c>
      <c r="D239" s="56" t="e">
        <f t="shared" si="166"/>
        <v>#REF!</v>
      </c>
      <c r="E239" s="60"/>
      <c r="F239" s="55">
        <f>62+82</f>
        <v>144</v>
      </c>
      <c r="G239" s="34">
        <f>924.96+757.02</f>
        <v>1681.98</v>
      </c>
      <c r="H239" s="38"/>
      <c r="I239" s="55"/>
      <c r="J239" s="34"/>
      <c r="K239" s="38"/>
      <c r="L239" s="5"/>
      <c r="M239" s="34"/>
      <c r="O239" s="76"/>
      <c r="P239" s="34"/>
      <c r="R239" s="5"/>
      <c r="S239" s="34"/>
      <c r="U239" s="55" t="e">
        <f t="shared" si="167"/>
        <v>#REF!</v>
      </c>
      <c r="V239" s="128" t="e">
        <f t="shared" si="167"/>
        <v>#REF!</v>
      </c>
      <c r="X239" s="81" t="e">
        <f t="shared" si="171"/>
        <v>#REF!</v>
      </c>
      <c r="Y239" s="86">
        <v>9.4600000000000009</v>
      </c>
      <c r="Z239" s="34" t="e">
        <f t="shared" si="168"/>
        <v>#REF!</v>
      </c>
      <c r="AA239" s="134" t="e">
        <f t="shared" si="169"/>
        <v>#REF!</v>
      </c>
      <c r="AB239" s="109" t="e">
        <f t="shared" si="170"/>
        <v>#REF!</v>
      </c>
      <c r="AC239" s="135" t="s">
        <v>189</v>
      </c>
      <c r="AD239" s="136" t="e">
        <f t="shared" si="172"/>
        <v>#REF!</v>
      </c>
      <c r="AE239" t="s">
        <v>45</v>
      </c>
      <c r="AF239" s="125"/>
      <c r="AG239" s="125"/>
      <c r="AH239" s="125"/>
      <c r="AI239" s="146"/>
    </row>
    <row r="240" spans="1:35" x14ac:dyDescent="0.25">
      <c r="A240" t="s">
        <v>230</v>
      </c>
      <c r="B240" t="s">
        <v>228</v>
      </c>
      <c r="C240" s="55">
        <f t="shared" si="166"/>
        <v>300</v>
      </c>
      <c r="D240" s="56">
        <f t="shared" si="166"/>
        <v>9075.34</v>
      </c>
      <c r="E240" s="60"/>
      <c r="F240" s="55"/>
      <c r="G240" s="34"/>
      <c r="H240" s="38"/>
      <c r="I240" s="55"/>
      <c r="J240" s="34"/>
      <c r="K240" s="38"/>
      <c r="L240" s="5"/>
      <c r="M240" s="34"/>
      <c r="O240" s="76"/>
      <c r="P240" s="34"/>
      <c r="R240" s="5"/>
      <c r="S240" s="34"/>
      <c r="U240" s="55">
        <f t="shared" si="167"/>
        <v>300</v>
      </c>
      <c r="V240" s="128">
        <f t="shared" si="167"/>
        <v>9075.34</v>
      </c>
      <c r="X240" s="81">
        <f t="shared" si="171"/>
        <v>300</v>
      </c>
      <c r="Y240" s="86">
        <v>66.55</v>
      </c>
      <c r="Z240" s="34">
        <f t="shared" si="168"/>
        <v>19965</v>
      </c>
      <c r="AA240" s="134">
        <f t="shared" si="169"/>
        <v>19965</v>
      </c>
      <c r="AB240" s="109">
        <f t="shared" si="170"/>
        <v>10889.66</v>
      </c>
      <c r="AC240" s="135" t="s">
        <v>230</v>
      </c>
      <c r="AD240" s="136">
        <f t="shared" si="172"/>
        <v>1.1999175788455307</v>
      </c>
      <c r="AF240" s="125"/>
      <c r="AG240" s="125"/>
      <c r="AH240" s="125"/>
      <c r="AI240" s="146"/>
    </row>
    <row r="241" spans="1:35" x14ac:dyDescent="0.25">
      <c r="A241" t="s">
        <v>314</v>
      </c>
      <c r="B241" t="s">
        <v>315</v>
      </c>
      <c r="C241" s="55"/>
      <c r="D241" s="56"/>
      <c r="E241" s="60"/>
      <c r="F241" s="55"/>
      <c r="G241" s="34"/>
      <c r="H241" s="38"/>
      <c r="I241" s="55">
        <v>3750</v>
      </c>
      <c r="J241" s="34">
        <v>10904.95</v>
      </c>
      <c r="K241" s="38"/>
      <c r="L241" s="5"/>
      <c r="M241" s="34"/>
      <c r="O241" s="76"/>
      <c r="P241" s="34"/>
      <c r="R241" s="5"/>
      <c r="S241" s="34"/>
      <c r="U241" s="55">
        <f t="shared" si="167"/>
        <v>3750</v>
      </c>
      <c r="V241" s="128">
        <f t="shared" si="167"/>
        <v>10904.95</v>
      </c>
      <c r="X241" s="81">
        <f t="shared" si="171"/>
        <v>3750</v>
      </c>
      <c r="Y241" s="86">
        <v>3.94</v>
      </c>
      <c r="Z241" s="34">
        <f t="shared" si="168"/>
        <v>14775</v>
      </c>
      <c r="AA241" s="134">
        <f t="shared" si="169"/>
        <v>14775</v>
      </c>
      <c r="AB241" s="109">
        <f t="shared" si="170"/>
        <v>3870.0499999999993</v>
      </c>
      <c r="AC241" s="135" t="s">
        <v>314</v>
      </c>
      <c r="AD241" s="136">
        <f t="shared" si="172"/>
        <v>0.35488929339428416</v>
      </c>
      <c r="AF241" s="125"/>
      <c r="AG241" s="125"/>
      <c r="AH241" s="125"/>
      <c r="AI241" s="146"/>
    </row>
    <row r="242" spans="1:35" x14ac:dyDescent="0.25">
      <c r="A242" t="s">
        <v>20</v>
      </c>
      <c r="B242" t="s">
        <v>46</v>
      </c>
      <c r="C242" s="55" t="e">
        <f>U276</f>
        <v>#REF!</v>
      </c>
      <c r="D242" s="56" t="e">
        <f>V276</f>
        <v>#REF!</v>
      </c>
      <c r="E242" s="60"/>
      <c r="F242" s="55"/>
      <c r="G242" s="34"/>
      <c r="H242" s="38"/>
      <c r="I242" s="55"/>
      <c r="J242" s="34"/>
      <c r="K242" s="38"/>
      <c r="L242" s="5"/>
      <c r="M242" s="34"/>
      <c r="O242" s="76"/>
      <c r="P242" s="34"/>
      <c r="R242" s="5"/>
      <c r="S242" s="34"/>
      <c r="U242" s="55" t="e">
        <f t="shared" si="167"/>
        <v>#REF!</v>
      </c>
      <c r="V242" s="128" t="e">
        <f t="shared" si="167"/>
        <v>#REF!</v>
      </c>
      <c r="X242" s="81" t="e">
        <f t="shared" si="171"/>
        <v>#REF!</v>
      </c>
      <c r="Y242" s="86">
        <v>5.66</v>
      </c>
      <c r="Z242" s="34" t="e">
        <f t="shared" si="168"/>
        <v>#REF!</v>
      </c>
      <c r="AA242" s="134" t="e">
        <f t="shared" si="169"/>
        <v>#REF!</v>
      </c>
      <c r="AB242" s="109" t="e">
        <f t="shared" si="170"/>
        <v>#REF!</v>
      </c>
      <c r="AC242" s="135" t="s">
        <v>20</v>
      </c>
      <c r="AD242" s="136" t="e">
        <f t="shared" si="172"/>
        <v>#REF!</v>
      </c>
      <c r="AE242" t="s">
        <v>46</v>
      </c>
      <c r="AF242" s="125"/>
      <c r="AG242" s="125"/>
      <c r="AH242" s="125"/>
      <c r="AI242" s="146"/>
    </row>
    <row r="243" spans="1:35" x14ac:dyDescent="0.25">
      <c r="A243" t="s">
        <v>21</v>
      </c>
      <c r="B243" t="s">
        <v>47</v>
      </c>
      <c r="C243" s="55">
        <v>0</v>
      </c>
      <c r="D243" s="56">
        <v>0</v>
      </c>
      <c r="E243" s="60"/>
      <c r="F243" s="55"/>
      <c r="G243" s="34"/>
      <c r="H243" s="38"/>
      <c r="I243" s="55"/>
      <c r="J243" s="34"/>
      <c r="K243" s="38"/>
      <c r="L243" s="5"/>
      <c r="M243" s="34"/>
      <c r="O243" s="76"/>
      <c r="P243" s="34"/>
      <c r="R243" s="5"/>
      <c r="S243" s="34"/>
      <c r="U243" s="55">
        <f t="shared" si="167"/>
        <v>0</v>
      </c>
      <c r="V243" s="34">
        <f t="shared" si="167"/>
        <v>0</v>
      </c>
      <c r="X243" s="81">
        <f t="shared" si="171"/>
        <v>0</v>
      </c>
      <c r="Y243" s="86"/>
      <c r="Z243" s="34">
        <f t="shared" si="168"/>
        <v>0</v>
      </c>
      <c r="AA243" s="134">
        <f t="shared" si="169"/>
        <v>0</v>
      </c>
      <c r="AB243" s="109">
        <f t="shared" si="170"/>
        <v>0</v>
      </c>
      <c r="AC243" s="135" t="s">
        <v>21</v>
      </c>
      <c r="AD243" s="136"/>
      <c r="AE243" t="s">
        <v>47</v>
      </c>
      <c r="AF243" s="125"/>
      <c r="AG243" s="125"/>
      <c r="AH243" s="125"/>
      <c r="AI243" s="146"/>
    </row>
    <row r="244" spans="1:35" x14ac:dyDescent="0.25">
      <c r="A244" t="s">
        <v>318</v>
      </c>
      <c r="C244" s="55"/>
      <c r="D244" s="56"/>
      <c r="E244" s="60"/>
      <c r="F244" s="55"/>
      <c r="G244" s="34"/>
      <c r="H244" s="38"/>
      <c r="I244" s="55">
        <v>275</v>
      </c>
      <c r="J244" s="34">
        <v>9892.4500000000007</v>
      </c>
      <c r="K244" s="38"/>
      <c r="L244" s="5">
        <v>-275</v>
      </c>
      <c r="M244" s="34">
        <v>-9892.4500000000007</v>
      </c>
      <c r="O244" s="76"/>
      <c r="P244" s="34"/>
      <c r="R244" s="5"/>
      <c r="S244" s="34"/>
      <c r="U244" s="55">
        <f t="shared" si="167"/>
        <v>0</v>
      </c>
      <c r="V244" s="128">
        <f t="shared" si="167"/>
        <v>0</v>
      </c>
      <c r="X244" s="81"/>
      <c r="Y244" s="86"/>
      <c r="Z244" s="34"/>
      <c r="AA244" s="134"/>
      <c r="AB244" s="109"/>
      <c r="AC244" s="135" t="s">
        <v>318</v>
      </c>
      <c r="AD244" s="136"/>
      <c r="AF244" s="125"/>
      <c r="AG244" s="125"/>
      <c r="AH244" s="125"/>
      <c r="AI244" s="146"/>
    </row>
    <row r="245" spans="1:35" x14ac:dyDescent="0.25">
      <c r="A245" t="s">
        <v>22</v>
      </c>
      <c r="B245" t="s">
        <v>56</v>
      </c>
      <c r="C245" s="55" t="e">
        <f t="shared" ref="C245:D250" si="173">U278</f>
        <v>#REF!</v>
      </c>
      <c r="D245" s="56" t="e">
        <f t="shared" si="173"/>
        <v>#REF!</v>
      </c>
      <c r="E245" s="60"/>
      <c r="F245" s="55"/>
      <c r="G245" s="34"/>
      <c r="H245" s="38"/>
      <c r="I245" s="55"/>
      <c r="J245" s="34"/>
      <c r="K245" s="38"/>
      <c r="L245" s="5"/>
      <c r="M245" s="34"/>
      <c r="O245" s="76"/>
      <c r="P245" s="34"/>
      <c r="R245" s="55"/>
      <c r="S245" s="34"/>
      <c r="U245" s="55" t="e">
        <f t="shared" si="167"/>
        <v>#REF!</v>
      </c>
      <c r="V245" s="128" t="e">
        <f t="shared" si="167"/>
        <v>#REF!</v>
      </c>
      <c r="X245" s="81" t="e">
        <f t="shared" si="171"/>
        <v>#REF!</v>
      </c>
      <c r="Y245" s="86">
        <v>1E-3</v>
      </c>
      <c r="Z245" s="34" t="e">
        <f t="shared" si="168"/>
        <v>#REF!</v>
      </c>
      <c r="AA245" s="134" t="e">
        <f t="shared" si="169"/>
        <v>#REF!</v>
      </c>
      <c r="AB245" s="109" t="e">
        <f t="shared" si="170"/>
        <v>#REF!</v>
      </c>
      <c r="AC245" s="135" t="s">
        <v>22</v>
      </c>
      <c r="AD245" s="136" t="e">
        <f t="shared" ref="AD245:AD262" si="174">AB245/V245</f>
        <v>#REF!</v>
      </c>
      <c r="AE245" t="s">
        <v>56</v>
      </c>
      <c r="AF245" s="125"/>
      <c r="AG245" s="125"/>
      <c r="AH245" s="125"/>
      <c r="AI245" s="146"/>
    </row>
    <row r="246" spans="1:35" x14ac:dyDescent="0.25">
      <c r="A246" t="s">
        <v>23</v>
      </c>
      <c r="B246" t="s">
        <v>48</v>
      </c>
      <c r="C246" s="55" t="e">
        <f t="shared" si="173"/>
        <v>#REF!</v>
      </c>
      <c r="D246" s="56" t="e">
        <f t="shared" si="173"/>
        <v>#REF!</v>
      </c>
      <c r="E246" s="60"/>
      <c r="F246" s="55"/>
      <c r="G246" s="34"/>
      <c r="H246" s="38"/>
      <c r="I246" s="55"/>
      <c r="J246" s="34"/>
      <c r="K246" s="38"/>
      <c r="L246" s="5"/>
      <c r="M246" s="34"/>
      <c r="O246" s="76"/>
      <c r="P246" s="34"/>
      <c r="R246" s="5">
        <v>2742</v>
      </c>
      <c r="S246" s="34">
        <v>15000</v>
      </c>
      <c r="U246" s="55" t="e">
        <f t="shared" si="167"/>
        <v>#REF!</v>
      </c>
      <c r="V246" s="128" t="e">
        <f t="shared" si="167"/>
        <v>#REF!</v>
      </c>
      <c r="X246" s="81" t="e">
        <f t="shared" si="171"/>
        <v>#REF!</v>
      </c>
      <c r="Y246" s="86">
        <v>5.84</v>
      </c>
      <c r="Z246" s="34" t="e">
        <f t="shared" si="168"/>
        <v>#REF!</v>
      </c>
      <c r="AA246" s="134" t="e">
        <f t="shared" si="169"/>
        <v>#REF!</v>
      </c>
      <c r="AB246" s="109" t="e">
        <f t="shared" si="170"/>
        <v>#REF!</v>
      </c>
      <c r="AC246" s="135" t="s">
        <v>23</v>
      </c>
      <c r="AD246" s="136" t="e">
        <f t="shared" si="174"/>
        <v>#REF!</v>
      </c>
      <c r="AE246" t="s">
        <v>48</v>
      </c>
      <c r="AF246" s="125"/>
      <c r="AG246" s="125"/>
      <c r="AH246" s="125"/>
      <c r="AI246" s="146"/>
    </row>
    <row r="247" spans="1:35" x14ac:dyDescent="0.25">
      <c r="A247" t="s">
        <v>24</v>
      </c>
      <c r="B247" t="s">
        <v>49</v>
      </c>
      <c r="C247" s="55" t="e">
        <f t="shared" si="173"/>
        <v>#REF!</v>
      </c>
      <c r="D247" s="56" t="e">
        <f t="shared" si="173"/>
        <v>#REF!</v>
      </c>
      <c r="E247" s="60"/>
      <c r="F247" s="55"/>
      <c r="G247" s="34"/>
      <c r="H247" s="38"/>
      <c r="I247" s="55"/>
      <c r="J247" s="34"/>
      <c r="K247" s="38"/>
      <c r="L247" s="5"/>
      <c r="M247" s="34"/>
      <c r="O247" s="76"/>
      <c r="P247" s="34"/>
      <c r="R247" s="5"/>
      <c r="S247" s="34"/>
      <c r="U247" s="55" t="e">
        <f t="shared" si="167"/>
        <v>#REF!</v>
      </c>
      <c r="V247" s="128" t="e">
        <f t="shared" si="167"/>
        <v>#REF!</v>
      </c>
      <c r="X247" s="81" t="e">
        <f t="shared" si="171"/>
        <v>#REF!</v>
      </c>
      <c r="Y247" s="86">
        <v>2.06</v>
      </c>
      <c r="Z247" s="34" t="e">
        <f t="shared" si="168"/>
        <v>#REF!</v>
      </c>
      <c r="AA247" s="134" t="e">
        <f t="shared" si="169"/>
        <v>#REF!</v>
      </c>
      <c r="AB247" s="109" t="e">
        <f t="shared" si="170"/>
        <v>#REF!</v>
      </c>
      <c r="AC247" s="135" t="s">
        <v>24</v>
      </c>
      <c r="AD247" s="136" t="e">
        <f t="shared" si="174"/>
        <v>#REF!</v>
      </c>
      <c r="AE247" t="s">
        <v>49</v>
      </c>
      <c r="AF247" s="125"/>
      <c r="AG247" s="125"/>
      <c r="AH247" s="125"/>
      <c r="AI247" s="146"/>
    </row>
    <row r="248" spans="1:35" x14ac:dyDescent="0.25">
      <c r="A248" t="s">
        <v>25</v>
      </c>
      <c r="B248" t="s">
        <v>75</v>
      </c>
      <c r="C248" s="55" t="e">
        <f t="shared" si="173"/>
        <v>#REF!</v>
      </c>
      <c r="D248" s="56" t="e">
        <f t="shared" si="173"/>
        <v>#REF!</v>
      </c>
      <c r="E248" s="60"/>
      <c r="F248" s="55"/>
      <c r="G248" s="34"/>
      <c r="H248" s="38"/>
      <c r="I248" s="55"/>
      <c r="J248" s="34"/>
      <c r="K248" s="38"/>
      <c r="L248" s="5"/>
      <c r="M248" s="34"/>
      <c r="O248" s="76"/>
      <c r="P248" s="34"/>
      <c r="R248" s="5"/>
      <c r="S248" s="34"/>
      <c r="U248" s="55" t="e">
        <f t="shared" si="167"/>
        <v>#REF!</v>
      </c>
      <c r="V248" s="128" t="e">
        <f t="shared" si="167"/>
        <v>#REF!</v>
      </c>
      <c r="X248" s="81" t="e">
        <f t="shared" si="171"/>
        <v>#REF!</v>
      </c>
      <c r="Y248" s="86">
        <v>32.78</v>
      </c>
      <c r="Z248" s="34" t="e">
        <f t="shared" si="168"/>
        <v>#REF!</v>
      </c>
      <c r="AA248" s="134" t="e">
        <f t="shared" si="169"/>
        <v>#REF!</v>
      </c>
      <c r="AB248" s="109" t="e">
        <f t="shared" si="170"/>
        <v>#REF!</v>
      </c>
      <c r="AC248" s="135" t="s">
        <v>25</v>
      </c>
      <c r="AD248" s="136" t="e">
        <f t="shared" si="174"/>
        <v>#REF!</v>
      </c>
      <c r="AE248" t="s">
        <v>75</v>
      </c>
      <c r="AF248" s="125"/>
      <c r="AG248" s="125"/>
      <c r="AH248" s="125"/>
      <c r="AI248" s="146"/>
    </row>
    <row r="249" spans="1:35" x14ac:dyDescent="0.25">
      <c r="A249" t="s">
        <v>26</v>
      </c>
      <c r="B249" t="s">
        <v>50</v>
      </c>
      <c r="C249" s="55" t="e">
        <f t="shared" si="173"/>
        <v>#REF!</v>
      </c>
      <c r="D249" s="56" t="e">
        <f t="shared" si="173"/>
        <v>#REF!</v>
      </c>
      <c r="E249" s="60"/>
      <c r="F249" s="55"/>
      <c r="G249" s="34"/>
      <c r="H249" s="38"/>
      <c r="I249" s="55"/>
      <c r="J249" s="34"/>
      <c r="K249" s="38"/>
      <c r="L249" s="5"/>
      <c r="M249" s="34"/>
      <c r="O249" s="76"/>
      <c r="P249" s="34"/>
      <c r="R249" s="5"/>
      <c r="S249" s="34"/>
      <c r="U249" s="55" t="e">
        <f t="shared" si="167"/>
        <v>#REF!</v>
      </c>
      <c r="V249" s="128" t="e">
        <f t="shared" si="167"/>
        <v>#REF!</v>
      </c>
      <c r="X249" s="81" t="e">
        <f t="shared" si="171"/>
        <v>#REF!</v>
      </c>
      <c r="Y249" s="86">
        <v>19.48</v>
      </c>
      <c r="Z249" s="34" t="e">
        <f t="shared" si="168"/>
        <v>#REF!</v>
      </c>
      <c r="AA249" s="134" t="e">
        <f t="shared" si="169"/>
        <v>#REF!</v>
      </c>
      <c r="AB249" s="109" t="e">
        <f t="shared" si="170"/>
        <v>#REF!</v>
      </c>
      <c r="AC249" s="135" t="s">
        <v>26</v>
      </c>
      <c r="AD249" s="136" t="e">
        <f t="shared" si="174"/>
        <v>#REF!</v>
      </c>
      <c r="AE249" t="s">
        <v>50</v>
      </c>
      <c r="AF249" s="125"/>
      <c r="AG249" s="125"/>
      <c r="AH249" s="125"/>
      <c r="AI249" s="146"/>
    </row>
    <row r="250" spans="1:35" x14ac:dyDescent="0.25">
      <c r="A250" t="s">
        <v>232</v>
      </c>
      <c r="B250" t="s">
        <v>232</v>
      </c>
      <c r="C250" s="55">
        <f t="shared" si="173"/>
        <v>756</v>
      </c>
      <c r="D250" s="56">
        <f t="shared" si="173"/>
        <v>9971.25</v>
      </c>
      <c r="E250" s="60"/>
      <c r="F250" s="55">
        <v>17</v>
      </c>
      <c r="G250" s="34">
        <f>87.64+151</f>
        <v>238.64</v>
      </c>
      <c r="H250" s="38"/>
      <c r="I250" s="55"/>
      <c r="J250" s="34"/>
      <c r="K250" s="38"/>
      <c r="L250" s="5"/>
      <c r="M250" s="34"/>
      <c r="O250" s="76"/>
      <c r="P250" s="34"/>
      <c r="R250" s="5"/>
      <c r="S250" s="34"/>
      <c r="U250" s="55">
        <f t="shared" si="167"/>
        <v>773</v>
      </c>
      <c r="V250" s="128">
        <f t="shared" si="167"/>
        <v>10209.89</v>
      </c>
      <c r="X250" s="81">
        <f t="shared" si="171"/>
        <v>773</v>
      </c>
      <c r="Y250" s="86">
        <v>10.87</v>
      </c>
      <c r="Z250" s="34">
        <f t="shared" si="168"/>
        <v>8402.51</v>
      </c>
      <c r="AA250" s="134">
        <f t="shared" si="169"/>
        <v>8402.51</v>
      </c>
      <c r="AB250" s="109">
        <f t="shared" si="170"/>
        <v>-1807.3799999999992</v>
      </c>
      <c r="AC250" s="135" t="s">
        <v>232</v>
      </c>
      <c r="AD250" s="136">
        <f t="shared" si="174"/>
        <v>-0.17702247526662865</v>
      </c>
      <c r="AF250" s="125"/>
      <c r="AG250" s="125"/>
      <c r="AH250" s="125"/>
      <c r="AI250" s="146"/>
    </row>
    <row r="251" spans="1:35" x14ac:dyDescent="0.25">
      <c r="A251" t="s">
        <v>316</v>
      </c>
      <c r="C251" s="55"/>
      <c r="D251" s="56"/>
      <c r="E251" s="60"/>
      <c r="F251" s="55"/>
      <c r="G251" s="34"/>
      <c r="H251" s="38"/>
      <c r="I251" s="55">
        <v>2000</v>
      </c>
      <c r="J251" s="34">
        <v>10589.95</v>
      </c>
      <c r="K251" s="38"/>
      <c r="L251" s="5"/>
      <c r="M251" s="34"/>
      <c r="O251" s="76"/>
      <c r="P251" s="34"/>
      <c r="R251" s="5"/>
      <c r="S251" s="34"/>
      <c r="U251" s="55">
        <f t="shared" si="167"/>
        <v>2000</v>
      </c>
      <c r="V251" s="128">
        <f t="shared" si="167"/>
        <v>10589.95</v>
      </c>
      <c r="X251" s="81">
        <f t="shared" si="171"/>
        <v>2000</v>
      </c>
      <c r="Y251" s="86">
        <v>5.48</v>
      </c>
      <c r="Z251" s="34">
        <f t="shared" si="168"/>
        <v>10960</v>
      </c>
      <c r="AA251" s="134">
        <f t="shared" si="169"/>
        <v>10960</v>
      </c>
      <c r="AB251" s="109">
        <f t="shared" si="170"/>
        <v>370.04999999999927</v>
      </c>
      <c r="AC251" s="135" t="s">
        <v>316</v>
      </c>
      <c r="AD251" s="136">
        <f t="shared" si="174"/>
        <v>3.4943507759715511E-2</v>
      </c>
      <c r="AF251" s="125"/>
      <c r="AG251" s="125"/>
      <c r="AH251" s="125"/>
      <c r="AI251" s="146"/>
    </row>
    <row r="252" spans="1:35" x14ac:dyDescent="0.25">
      <c r="A252" t="s">
        <v>27</v>
      </c>
      <c r="B252" t="s">
        <v>51</v>
      </c>
      <c r="C252" s="55" t="e">
        <f t="shared" ref="C252:D261" si="175">U284</f>
        <v>#REF!</v>
      </c>
      <c r="D252" s="56" t="e">
        <f t="shared" si="175"/>
        <v>#REF!</v>
      </c>
      <c r="E252" s="60"/>
      <c r="F252" s="55"/>
      <c r="G252" s="34"/>
      <c r="H252" s="38"/>
      <c r="I252" s="55"/>
      <c r="J252" s="34"/>
      <c r="K252" s="38"/>
      <c r="L252" s="5"/>
      <c r="M252" s="34"/>
      <c r="O252" s="76"/>
      <c r="P252" s="34"/>
      <c r="R252" s="5"/>
      <c r="S252" s="34"/>
      <c r="U252" s="55" t="e">
        <f t="shared" si="167"/>
        <v>#REF!</v>
      </c>
      <c r="V252" s="128" t="e">
        <f t="shared" si="167"/>
        <v>#REF!</v>
      </c>
      <c r="X252" s="81" t="e">
        <f t="shared" si="171"/>
        <v>#REF!</v>
      </c>
      <c r="Y252" s="86">
        <v>59.31</v>
      </c>
      <c r="Z252" s="34" t="e">
        <f t="shared" si="168"/>
        <v>#REF!</v>
      </c>
      <c r="AA252" s="134" t="e">
        <f t="shared" si="169"/>
        <v>#REF!</v>
      </c>
      <c r="AB252" s="109" t="e">
        <f t="shared" si="170"/>
        <v>#REF!</v>
      </c>
      <c r="AC252" s="135" t="s">
        <v>27</v>
      </c>
      <c r="AD252" s="136" t="e">
        <f t="shared" si="174"/>
        <v>#REF!</v>
      </c>
      <c r="AE252" t="s">
        <v>51</v>
      </c>
      <c r="AF252" s="125"/>
      <c r="AG252" s="125"/>
      <c r="AH252" s="125"/>
      <c r="AI252" s="146"/>
    </row>
    <row r="253" spans="1:35" x14ac:dyDescent="0.25">
      <c r="A253" t="s">
        <v>283</v>
      </c>
      <c r="B253" t="s">
        <v>291</v>
      </c>
      <c r="C253" s="55">
        <f t="shared" si="175"/>
        <v>740</v>
      </c>
      <c r="D253" s="56">
        <f t="shared" si="175"/>
        <v>1170.4680000000001</v>
      </c>
      <c r="E253" s="60"/>
      <c r="F253" s="55"/>
      <c r="G253" s="34"/>
      <c r="H253" s="38"/>
      <c r="I253" s="55"/>
      <c r="J253" s="34"/>
      <c r="K253" s="38"/>
      <c r="L253" s="5">
        <v>-740</v>
      </c>
      <c r="M253" s="34">
        <v>-1170.47</v>
      </c>
      <c r="O253" s="76"/>
      <c r="P253" s="34"/>
      <c r="R253" s="5"/>
      <c r="S253" s="34"/>
      <c r="U253" s="55">
        <f t="shared" si="167"/>
        <v>0</v>
      </c>
      <c r="V253" s="128">
        <f t="shared" si="167"/>
        <v>-1.9999999999527063E-3</v>
      </c>
      <c r="X253" s="81">
        <f t="shared" si="171"/>
        <v>0</v>
      </c>
      <c r="Y253" s="86">
        <v>1.59</v>
      </c>
      <c r="Z253" s="34">
        <f t="shared" si="168"/>
        <v>0</v>
      </c>
      <c r="AA253" s="134">
        <f t="shared" si="169"/>
        <v>0</v>
      </c>
      <c r="AB253" s="109">
        <f t="shared" si="170"/>
        <v>1.9999999999527063E-3</v>
      </c>
      <c r="AC253" s="135" t="s">
        <v>283</v>
      </c>
      <c r="AD253" s="136">
        <f t="shared" si="174"/>
        <v>-1</v>
      </c>
      <c r="AF253" s="125"/>
      <c r="AG253" s="125"/>
      <c r="AH253" s="125"/>
      <c r="AI253" s="146"/>
    </row>
    <row r="254" spans="1:35" x14ac:dyDescent="0.25">
      <c r="A254" t="s">
        <v>284</v>
      </c>
      <c r="B254" t="s">
        <v>292</v>
      </c>
      <c r="C254" s="55">
        <f t="shared" si="175"/>
        <v>2120</v>
      </c>
      <c r="D254" s="56">
        <f t="shared" si="175"/>
        <v>6210.35</v>
      </c>
      <c r="E254" s="60"/>
      <c r="F254" s="55"/>
      <c r="G254" s="34"/>
      <c r="H254" s="38"/>
      <c r="I254" s="55"/>
      <c r="J254" s="34"/>
      <c r="K254" s="38"/>
      <c r="L254" s="5"/>
      <c r="M254" s="34"/>
      <c r="O254" s="76"/>
      <c r="P254" s="34"/>
      <c r="R254" s="5"/>
      <c r="S254" s="34"/>
      <c r="U254" s="55">
        <f t="shared" si="167"/>
        <v>2120</v>
      </c>
      <c r="V254" s="128">
        <f t="shared" si="167"/>
        <v>6210.35</v>
      </c>
      <c r="X254" s="81">
        <f t="shared" si="171"/>
        <v>2120</v>
      </c>
      <c r="Y254" s="86">
        <v>3.36</v>
      </c>
      <c r="Z254" s="34">
        <f t="shared" si="168"/>
        <v>7123.2</v>
      </c>
      <c r="AA254" s="134">
        <f t="shared" si="169"/>
        <v>7123.2</v>
      </c>
      <c r="AB254" s="109">
        <f t="shared" si="170"/>
        <v>912.84999999999945</v>
      </c>
      <c r="AC254" s="135" t="s">
        <v>284</v>
      </c>
      <c r="AD254" s="136">
        <f t="shared" si="174"/>
        <v>0.14698849501235831</v>
      </c>
      <c r="AF254" s="125"/>
      <c r="AG254" s="125"/>
      <c r="AH254" s="125"/>
      <c r="AI254" s="146"/>
    </row>
    <row r="255" spans="1:35" x14ac:dyDescent="0.25">
      <c r="A255" t="s">
        <v>28</v>
      </c>
      <c r="B255" t="s">
        <v>52</v>
      </c>
      <c r="C255" s="55" t="e">
        <f t="shared" si="175"/>
        <v>#REF!</v>
      </c>
      <c r="D255" s="56" t="e">
        <f t="shared" si="175"/>
        <v>#REF!</v>
      </c>
      <c r="E255" s="60"/>
      <c r="F255" s="55"/>
      <c r="G255" s="34"/>
      <c r="H255" s="38"/>
      <c r="I255" s="55">
        <v>2000</v>
      </c>
      <c r="J255" s="34">
        <v>9899.9500000000007</v>
      </c>
      <c r="K255" s="38"/>
      <c r="L255" s="5"/>
      <c r="M255" s="34"/>
      <c r="O255" s="76"/>
      <c r="P255" s="34"/>
      <c r="R255" s="5"/>
      <c r="S255" s="34"/>
      <c r="U255" s="55" t="e">
        <f t="shared" si="167"/>
        <v>#REF!</v>
      </c>
      <c r="V255" s="128" t="e">
        <f t="shared" si="167"/>
        <v>#REF!</v>
      </c>
      <c r="X255" s="81" t="e">
        <f t="shared" si="171"/>
        <v>#REF!</v>
      </c>
      <c r="Y255" s="86">
        <v>5.21</v>
      </c>
      <c r="Z255" s="34" t="e">
        <f t="shared" si="168"/>
        <v>#REF!</v>
      </c>
      <c r="AA255" s="134" t="e">
        <f t="shared" si="169"/>
        <v>#REF!</v>
      </c>
      <c r="AB255" s="109" t="e">
        <f t="shared" si="170"/>
        <v>#REF!</v>
      </c>
      <c r="AC255" s="135" t="s">
        <v>28</v>
      </c>
      <c r="AD255" s="136" t="e">
        <f t="shared" si="174"/>
        <v>#REF!</v>
      </c>
      <c r="AE255" t="s">
        <v>52</v>
      </c>
      <c r="AF255" s="125"/>
      <c r="AG255" s="125"/>
      <c r="AH255" s="125"/>
      <c r="AI255" s="146"/>
    </row>
    <row r="256" spans="1:35" x14ac:dyDescent="0.25">
      <c r="A256" t="s">
        <v>29</v>
      </c>
      <c r="B256" t="s">
        <v>76</v>
      </c>
      <c r="C256" s="55" t="e">
        <f t="shared" si="175"/>
        <v>#REF!</v>
      </c>
      <c r="D256" s="56" t="e">
        <f t="shared" si="175"/>
        <v>#REF!</v>
      </c>
      <c r="E256" s="60"/>
      <c r="F256" s="55"/>
      <c r="G256" s="34"/>
      <c r="H256" s="38"/>
      <c r="I256" s="55"/>
      <c r="J256" s="34"/>
      <c r="K256" s="38"/>
      <c r="L256" s="5"/>
      <c r="M256" s="34"/>
      <c r="O256" s="76"/>
      <c r="P256" s="34"/>
      <c r="R256" s="5"/>
      <c r="S256" s="34"/>
      <c r="U256" s="55" t="e">
        <f t="shared" si="167"/>
        <v>#REF!</v>
      </c>
      <c r="V256" s="128" t="e">
        <f t="shared" si="167"/>
        <v>#REF!</v>
      </c>
      <c r="X256" s="81" t="e">
        <f t="shared" si="171"/>
        <v>#REF!</v>
      </c>
      <c r="Y256" s="86">
        <v>5.01</v>
      </c>
      <c r="Z256" s="34" t="e">
        <f t="shared" si="168"/>
        <v>#REF!</v>
      </c>
      <c r="AA256" s="134" t="e">
        <f t="shared" si="169"/>
        <v>#REF!</v>
      </c>
      <c r="AB256" s="109" t="e">
        <f t="shared" si="170"/>
        <v>#REF!</v>
      </c>
      <c r="AC256" s="135" t="s">
        <v>29</v>
      </c>
      <c r="AD256" s="136" t="e">
        <f t="shared" si="174"/>
        <v>#REF!</v>
      </c>
      <c r="AE256" t="s">
        <v>76</v>
      </c>
      <c r="AF256" s="125"/>
      <c r="AG256" s="125"/>
      <c r="AH256" s="125"/>
      <c r="AI256" s="146"/>
    </row>
    <row r="257" spans="1:35" x14ac:dyDescent="0.25">
      <c r="A257" t="s">
        <v>32</v>
      </c>
      <c r="B257" t="s">
        <v>53</v>
      </c>
      <c r="C257" s="55" t="e">
        <f t="shared" si="175"/>
        <v>#REF!</v>
      </c>
      <c r="D257" s="56" t="e">
        <f t="shared" si="175"/>
        <v>#REF!</v>
      </c>
      <c r="E257" s="60"/>
      <c r="F257" s="55">
        <v>78</v>
      </c>
      <c r="G257" s="34">
        <f>1462.5+955.02</f>
        <v>2417.52</v>
      </c>
      <c r="H257" s="38"/>
      <c r="I257" s="55">
        <v>475</v>
      </c>
      <c r="J257" s="34">
        <v>15638.45</v>
      </c>
      <c r="K257" s="38"/>
      <c r="L257" s="5">
        <v>265</v>
      </c>
      <c r="M257" s="34">
        <v>9469.85</v>
      </c>
      <c r="O257" s="76"/>
      <c r="P257" s="34"/>
      <c r="R257" s="5"/>
      <c r="S257" s="34"/>
      <c r="U257" s="55" t="e">
        <f t="shared" si="167"/>
        <v>#REF!</v>
      </c>
      <c r="V257" s="128" t="e">
        <f t="shared" si="167"/>
        <v>#REF!</v>
      </c>
      <c r="X257" s="81" t="e">
        <f t="shared" si="171"/>
        <v>#REF!</v>
      </c>
      <c r="Y257" s="86">
        <v>33.880000000000003</v>
      </c>
      <c r="Z257" s="34" t="e">
        <f t="shared" si="168"/>
        <v>#REF!</v>
      </c>
      <c r="AA257" s="134" t="e">
        <f t="shared" si="169"/>
        <v>#REF!</v>
      </c>
      <c r="AB257" s="109" t="e">
        <f t="shared" si="170"/>
        <v>#REF!</v>
      </c>
      <c r="AC257" s="135" t="s">
        <v>32</v>
      </c>
      <c r="AD257" s="136" t="e">
        <f t="shared" si="174"/>
        <v>#REF!</v>
      </c>
      <c r="AE257" t="s">
        <v>53</v>
      </c>
      <c r="AF257" s="125"/>
      <c r="AG257" s="125"/>
      <c r="AH257" s="125"/>
      <c r="AI257" s="146"/>
    </row>
    <row r="258" spans="1:35" x14ac:dyDescent="0.25">
      <c r="A258" t="s">
        <v>233</v>
      </c>
      <c r="C258" s="55">
        <f t="shared" si="175"/>
        <v>300</v>
      </c>
      <c r="D258" s="56">
        <f t="shared" si="175"/>
        <v>30000</v>
      </c>
      <c r="E258" s="60"/>
      <c r="F258" s="55"/>
      <c r="G258" s="34"/>
      <c r="H258" s="38"/>
      <c r="I258" s="55"/>
      <c r="J258" s="34"/>
      <c r="K258" s="38"/>
      <c r="L258" s="5">
        <v>-300</v>
      </c>
      <c r="M258" s="34">
        <v>-30000</v>
      </c>
      <c r="O258" s="76"/>
      <c r="P258" s="34"/>
      <c r="R258" s="5"/>
      <c r="S258" s="34"/>
      <c r="U258" s="55">
        <f t="shared" si="167"/>
        <v>0</v>
      </c>
      <c r="V258" s="128">
        <f t="shared" si="167"/>
        <v>0</v>
      </c>
      <c r="X258" s="81">
        <f t="shared" si="171"/>
        <v>0</v>
      </c>
      <c r="Y258" s="86">
        <v>0</v>
      </c>
      <c r="Z258" s="34">
        <f t="shared" si="168"/>
        <v>0</v>
      </c>
      <c r="AA258" s="134">
        <f t="shared" si="169"/>
        <v>0</v>
      </c>
      <c r="AB258" s="109">
        <f t="shared" si="170"/>
        <v>0</v>
      </c>
      <c r="AC258" s="135" t="s">
        <v>233</v>
      </c>
      <c r="AD258" s="136">
        <v>0</v>
      </c>
      <c r="AF258" s="125"/>
      <c r="AG258" s="125"/>
      <c r="AH258" s="125"/>
      <c r="AI258" s="146"/>
    </row>
    <row r="259" spans="1:35" x14ac:dyDescent="0.25">
      <c r="A259" t="s">
        <v>231</v>
      </c>
      <c r="B259" t="s">
        <v>229</v>
      </c>
      <c r="C259" s="55">
        <f t="shared" si="175"/>
        <v>357</v>
      </c>
      <c r="D259" s="56">
        <f t="shared" si="175"/>
        <v>11275.91</v>
      </c>
      <c r="E259" s="60"/>
      <c r="F259" s="55"/>
      <c r="G259" s="34"/>
      <c r="H259" s="38"/>
      <c r="I259" s="55"/>
      <c r="J259" s="34"/>
      <c r="K259" s="38"/>
      <c r="L259" s="5"/>
      <c r="M259" s="34"/>
      <c r="O259" s="76">
        <v>-4</v>
      </c>
      <c r="P259" s="34">
        <v>-178.5</v>
      </c>
      <c r="R259" s="5"/>
      <c r="S259" s="34"/>
      <c r="U259" s="55">
        <f t="shared" si="167"/>
        <v>353</v>
      </c>
      <c r="V259" s="128">
        <f t="shared" si="167"/>
        <v>11097.41</v>
      </c>
      <c r="X259" s="81">
        <f t="shared" si="171"/>
        <v>353</v>
      </c>
      <c r="Y259" s="86">
        <v>41.84</v>
      </c>
      <c r="Z259" s="34">
        <f t="shared" si="168"/>
        <v>14769.52</v>
      </c>
      <c r="AA259" s="134">
        <f t="shared" si="169"/>
        <v>14769.52</v>
      </c>
      <c r="AB259" s="109">
        <f t="shared" si="170"/>
        <v>3672.1100000000006</v>
      </c>
      <c r="AC259" s="135" t="s">
        <v>231</v>
      </c>
      <c r="AD259" s="136">
        <f t="shared" si="174"/>
        <v>0.33089793023777625</v>
      </c>
      <c r="AF259" s="125"/>
      <c r="AG259" s="125"/>
      <c r="AH259" s="125"/>
      <c r="AI259" s="146"/>
    </row>
    <row r="260" spans="1:35" x14ac:dyDescent="0.25">
      <c r="A260" t="s">
        <v>30</v>
      </c>
      <c r="B260" t="s">
        <v>55</v>
      </c>
      <c r="C260" s="55" t="e">
        <f t="shared" si="175"/>
        <v>#REF!</v>
      </c>
      <c r="D260" s="56" t="e">
        <f t="shared" si="175"/>
        <v>#REF!</v>
      </c>
      <c r="E260" s="60"/>
      <c r="F260" s="55"/>
      <c r="G260" s="34"/>
      <c r="H260" s="38"/>
      <c r="I260" s="55"/>
      <c r="J260" s="34"/>
      <c r="K260" s="38"/>
      <c r="L260" s="5"/>
      <c r="M260" s="34"/>
      <c r="O260" s="76"/>
      <c r="P260" s="34"/>
      <c r="R260" s="5"/>
      <c r="S260" s="34"/>
      <c r="U260" s="55" t="e">
        <f t="shared" si="167"/>
        <v>#REF!</v>
      </c>
      <c r="V260" s="128" t="e">
        <f t="shared" si="167"/>
        <v>#REF!</v>
      </c>
      <c r="X260" s="81" t="e">
        <f t="shared" si="171"/>
        <v>#REF!</v>
      </c>
      <c r="Y260" s="86">
        <v>41.07</v>
      </c>
      <c r="Z260" s="34" t="e">
        <f t="shared" si="168"/>
        <v>#REF!</v>
      </c>
      <c r="AA260" s="134" t="e">
        <f t="shared" si="169"/>
        <v>#REF!</v>
      </c>
      <c r="AB260" s="109" t="e">
        <f t="shared" si="170"/>
        <v>#REF!</v>
      </c>
      <c r="AC260" s="135" t="s">
        <v>30</v>
      </c>
      <c r="AD260" s="136" t="e">
        <f t="shared" si="174"/>
        <v>#REF!</v>
      </c>
      <c r="AE260" t="s">
        <v>55</v>
      </c>
      <c r="AF260" s="125"/>
      <c r="AG260" s="125"/>
      <c r="AH260" s="125"/>
      <c r="AI260" s="146"/>
    </row>
    <row r="261" spans="1:35" x14ac:dyDescent="0.25">
      <c r="A261" t="s">
        <v>31</v>
      </c>
      <c r="B261" t="s">
        <v>54</v>
      </c>
      <c r="C261" s="55" t="e">
        <f t="shared" si="175"/>
        <v>#REF!</v>
      </c>
      <c r="D261" s="56" t="e">
        <f t="shared" si="175"/>
        <v>#REF!</v>
      </c>
      <c r="E261" s="60"/>
      <c r="F261" s="55"/>
      <c r="G261" s="34"/>
      <c r="H261" s="38"/>
      <c r="I261" s="55"/>
      <c r="J261" s="34"/>
      <c r="K261" s="38"/>
      <c r="L261" s="5"/>
      <c r="M261" s="34"/>
      <c r="O261" s="76"/>
      <c r="P261" s="34"/>
      <c r="R261" s="5"/>
      <c r="S261" s="34"/>
      <c r="U261" s="55" t="e">
        <f t="shared" si="167"/>
        <v>#REF!</v>
      </c>
      <c r="V261" s="128" t="e">
        <f t="shared" si="167"/>
        <v>#REF!</v>
      </c>
      <c r="X261" s="81" t="e">
        <f t="shared" si="171"/>
        <v>#REF!</v>
      </c>
      <c r="Y261" s="86">
        <v>35.22</v>
      </c>
      <c r="Z261" s="34" t="e">
        <f t="shared" si="168"/>
        <v>#REF!</v>
      </c>
      <c r="AA261" s="134" t="e">
        <f t="shared" si="169"/>
        <v>#REF!</v>
      </c>
      <c r="AB261" s="109" t="e">
        <f t="shared" si="170"/>
        <v>#REF!</v>
      </c>
      <c r="AC261" s="135" t="s">
        <v>31</v>
      </c>
      <c r="AD261" s="136" t="e">
        <f t="shared" si="174"/>
        <v>#REF!</v>
      </c>
      <c r="AE261" t="s">
        <v>54</v>
      </c>
      <c r="AF261" s="125"/>
      <c r="AG261" s="125"/>
      <c r="AH261" s="125"/>
      <c r="AI261" s="146"/>
    </row>
    <row r="262" spans="1:35" x14ac:dyDescent="0.25">
      <c r="C262" s="34"/>
      <c r="D262" s="57" t="e">
        <f>SUM(D236:D261)</f>
        <v>#REF!</v>
      </c>
      <c r="E262" s="61"/>
      <c r="F262" s="68"/>
      <c r="G262" s="57">
        <f>SUM(G236:G261)</f>
        <v>10652.26</v>
      </c>
      <c r="H262" s="27"/>
      <c r="I262" s="68"/>
      <c r="J262" s="57">
        <f>SUM(J235:J261)</f>
        <v>56925.75</v>
      </c>
      <c r="K262" s="61"/>
      <c r="L262" s="34"/>
      <c r="M262" s="69">
        <f>SUM(M235:M261)</f>
        <v>-56734.96</v>
      </c>
      <c r="N262" s="38"/>
      <c r="O262" s="76"/>
      <c r="P262" s="57">
        <f>SUM(P236:P261)</f>
        <v>-178.5</v>
      </c>
      <c r="R262" s="5"/>
      <c r="S262" s="57">
        <f>SUM(S236:S261)</f>
        <v>15000</v>
      </c>
      <c r="U262" s="5"/>
      <c r="V262" s="57" t="e">
        <f>SUM(V235:V261)</f>
        <v>#REF!</v>
      </c>
      <c r="X262" s="3"/>
      <c r="Y262" s="83"/>
      <c r="Z262" s="33" t="e">
        <f>SUM(Z236:Z261)</f>
        <v>#REF!</v>
      </c>
      <c r="AA262" s="137" t="e">
        <f>SUM(AA236:AA261)</f>
        <v>#REF!</v>
      </c>
      <c r="AB262" s="109" t="e">
        <f t="shared" si="170"/>
        <v>#REF!</v>
      </c>
      <c r="AC262" s="135"/>
      <c r="AD262" s="136" t="e">
        <f t="shared" si="174"/>
        <v>#REF!</v>
      </c>
      <c r="AF262" s="125"/>
      <c r="AG262" s="125"/>
      <c r="AH262" s="125"/>
      <c r="AI262" s="146"/>
    </row>
    <row r="263" spans="1:35" x14ac:dyDescent="0.25">
      <c r="C263" s="63" t="s">
        <v>176</v>
      </c>
      <c r="D263" s="64" t="e">
        <f>D262</f>
        <v>#REF!</v>
      </c>
      <c r="F263" s="63" t="s">
        <v>176</v>
      </c>
      <c r="G263" s="64">
        <f>G262</f>
        <v>10652.26</v>
      </c>
      <c r="I263" s="63" t="s">
        <v>176</v>
      </c>
      <c r="J263" s="67">
        <f>J262</f>
        <v>56925.75</v>
      </c>
      <c r="K263" s="72"/>
      <c r="L263" s="63" t="s">
        <v>176</v>
      </c>
      <c r="M263" s="67">
        <f>M262</f>
        <v>-56734.96</v>
      </c>
      <c r="N263" s="70"/>
      <c r="O263" s="63" t="s">
        <v>176</v>
      </c>
      <c r="P263" s="67">
        <f>P262</f>
        <v>-178.5</v>
      </c>
      <c r="R263" s="63" t="s">
        <v>176</v>
      </c>
      <c r="S263" s="67">
        <f>S262</f>
        <v>15000</v>
      </c>
      <c r="V263" s="2" t="e">
        <f>V262</f>
        <v>#REF!</v>
      </c>
      <c r="Z263" s="85" t="s">
        <v>176</v>
      </c>
      <c r="AA263" s="73"/>
      <c r="AB263" s="108"/>
      <c r="AC263" s="132"/>
      <c r="AD263" s="132"/>
      <c r="AF263" s="125"/>
      <c r="AG263" s="125"/>
      <c r="AH263" s="125"/>
      <c r="AI263" s="146"/>
    </row>
    <row r="264" spans="1:35" x14ac:dyDescent="0.25">
      <c r="B264" s="29"/>
      <c r="AE264" s="29"/>
      <c r="AF264" s="125"/>
      <c r="AG264" s="125"/>
      <c r="AH264" s="125"/>
      <c r="AI264" s="146"/>
    </row>
    <row r="265" spans="1:35" x14ac:dyDescent="0.25">
      <c r="B265" s="29"/>
      <c r="AE265" s="29"/>
      <c r="AF265" s="125"/>
      <c r="AG265" s="125"/>
      <c r="AH265" s="125"/>
      <c r="AI265" s="146"/>
    </row>
    <row r="266" spans="1:35" x14ac:dyDescent="0.25">
      <c r="B266" s="29"/>
      <c r="AE266" s="29"/>
      <c r="AF266" s="125"/>
      <c r="AG266" s="125"/>
      <c r="AH266" s="125"/>
      <c r="AI266" s="146"/>
    </row>
    <row r="267" spans="1:35" x14ac:dyDescent="0.25">
      <c r="B267" s="29"/>
      <c r="AE267" s="29"/>
      <c r="AF267" s="125"/>
      <c r="AG267" s="125"/>
      <c r="AH267" s="125"/>
      <c r="AI267" s="146"/>
    </row>
    <row r="268" spans="1:35" x14ac:dyDescent="0.25">
      <c r="A268" t="s">
        <v>170</v>
      </c>
      <c r="C268" s="51">
        <v>41090</v>
      </c>
      <c r="D268" s="51">
        <v>41090</v>
      </c>
      <c r="E268" s="48"/>
      <c r="F268" s="3" t="s">
        <v>174</v>
      </c>
      <c r="G268" s="3"/>
      <c r="H268" s="20"/>
      <c r="I268" s="32" t="s">
        <v>177</v>
      </c>
      <c r="J268" s="3"/>
      <c r="K268" s="20"/>
      <c r="L268" s="32" t="s">
        <v>293</v>
      </c>
      <c r="M268" s="3"/>
      <c r="O268" s="74" t="s">
        <v>290</v>
      </c>
      <c r="P268" s="71"/>
      <c r="R268" s="74" t="s">
        <v>185</v>
      </c>
      <c r="S268" s="75"/>
      <c r="U268" s="77">
        <v>41455</v>
      </c>
      <c r="V268" s="71"/>
      <c r="X268" s="77">
        <v>41455</v>
      </c>
      <c r="Y268" s="80"/>
      <c r="Z268" s="71"/>
      <c r="AA268" s="3" t="s">
        <v>298</v>
      </c>
      <c r="AB268" s="3"/>
      <c r="AC268" s="4" t="s">
        <v>170</v>
      </c>
      <c r="AD268" s="4" t="s">
        <v>296</v>
      </c>
      <c r="AF268" s="125"/>
      <c r="AG268" s="125" t="s">
        <v>18</v>
      </c>
      <c r="AH268" s="125"/>
      <c r="AI268" s="129">
        <v>130884.61</v>
      </c>
    </row>
    <row r="269" spans="1:35" ht="30" x14ac:dyDescent="0.25">
      <c r="A269" s="1" t="s">
        <v>171</v>
      </c>
      <c r="B269" s="39" t="s">
        <v>42</v>
      </c>
      <c r="C269" s="52" t="s">
        <v>172</v>
      </c>
      <c r="D269" s="4" t="s">
        <v>173</v>
      </c>
      <c r="E269" s="58"/>
      <c r="F269" s="4" t="s">
        <v>175</v>
      </c>
      <c r="G269" s="4" t="s">
        <v>173</v>
      </c>
      <c r="H269" s="58"/>
      <c r="I269" s="52" t="s">
        <v>172</v>
      </c>
      <c r="J269" s="4" t="s">
        <v>173</v>
      </c>
      <c r="K269" s="58"/>
      <c r="L269" s="52" t="s">
        <v>172</v>
      </c>
      <c r="M269" s="4" t="s">
        <v>173</v>
      </c>
      <c r="O269" s="52" t="s">
        <v>172</v>
      </c>
      <c r="P269" s="4" t="s">
        <v>173</v>
      </c>
      <c r="R269" s="52" t="s">
        <v>172</v>
      </c>
      <c r="S269" s="4" t="s">
        <v>173</v>
      </c>
      <c r="U269" s="52" t="s">
        <v>172</v>
      </c>
      <c r="V269" s="4" t="s">
        <v>173</v>
      </c>
      <c r="X269" s="78" t="s">
        <v>172</v>
      </c>
      <c r="Y269" s="79" t="s">
        <v>203</v>
      </c>
      <c r="Z269" s="3" t="s">
        <v>93</v>
      </c>
      <c r="AA269" s="3" t="s">
        <v>294</v>
      </c>
      <c r="AB269" s="3" t="s">
        <v>295</v>
      </c>
      <c r="AC269" s="133" t="s">
        <v>171</v>
      </c>
      <c r="AD269" s="133" t="s">
        <v>297</v>
      </c>
      <c r="AE269" s="39" t="s">
        <v>42</v>
      </c>
      <c r="AF269" s="125"/>
      <c r="AG269" s="125" t="s">
        <v>272</v>
      </c>
      <c r="AH269" s="125"/>
      <c r="AI269" s="129">
        <v>25637.63</v>
      </c>
    </row>
    <row r="270" spans="1:35" x14ac:dyDescent="0.25">
      <c r="C270" s="53"/>
      <c r="D270" s="54"/>
      <c r="E270" s="59"/>
      <c r="F270" s="54"/>
      <c r="G270" s="54"/>
      <c r="H270" s="59"/>
      <c r="I270" s="54"/>
      <c r="J270" s="3"/>
      <c r="K270" s="20"/>
      <c r="L270" s="54"/>
      <c r="M270" s="3"/>
      <c r="N270" s="28"/>
      <c r="O270" s="3"/>
      <c r="P270" s="34"/>
      <c r="R270" s="5"/>
      <c r="S270" s="34"/>
      <c r="U270" s="5"/>
      <c r="V270" s="34"/>
      <c r="X270" s="3"/>
      <c r="Y270" s="3"/>
      <c r="Z270" s="3"/>
      <c r="AC270" s="132"/>
      <c r="AD270" s="132"/>
      <c r="AF270" s="125"/>
      <c r="AG270" s="125" t="s">
        <v>230</v>
      </c>
      <c r="AH270" s="125"/>
      <c r="AI270" s="129">
        <v>9075.34</v>
      </c>
    </row>
    <row r="271" spans="1:35" x14ac:dyDescent="0.25">
      <c r="A271" t="s">
        <v>16</v>
      </c>
      <c r="B271" t="s">
        <v>43</v>
      </c>
      <c r="C271" s="55" t="e">
        <f>U301</f>
        <v>#REF!</v>
      </c>
      <c r="D271" s="56" t="e">
        <f>V301</f>
        <v>#REF!</v>
      </c>
      <c r="E271" s="60"/>
      <c r="F271" s="68">
        <v>0</v>
      </c>
      <c r="G271" s="34">
        <v>0</v>
      </c>
      <c r="H271" s="38"/>
      <c r="I271" s="55"/>
      <c r="J271" s="34"/>
      <c r="K271" s="38"/>
      <c r="L271" s="5"/>
      <c r="M271" s="34"/>
      <c r="O271" s="76"/>
      <c r="P271" s="34"/>
      <c r="R271" s="5"/>
      <c r="S271" s="34"/>
      <c r="U271" s="55" t="e">
        <f>+C271+F271+I271+L271+O271+R271</f>
        <v>#REF!</v>
      </c>
      <c r="V271" s="128" t="e">
        <f>+D271+G271+J271+M271+P271+S271</f>
        <v>#REF!</v>
      </c>
      <c r="X271" s="81" t="e">
        <f>U271</f>
        <v>#REF!</v>
      </c>
      <c r="Y271" s="82">
        <v>31.4</v>
      </c>
      <c r="Z271" s="34" t="e">
        <f>X271*Y271</f>
        <v>#REF!</v>
      </c>
      <c r="AA271" s="134" t="e">
        <f>Z271</f>
        <v>#REF!</v>
      </c>
      <c r="AB271" s="109" t="e">
        <f>AA271-V271</f>
        <v>#REF!</v>
      </c>
      <c r="AC271" s="135" t="s">
        <v>16</v>
      </c>
      <c r="AD271" s="136" t="e">
        <f>AB271/V271</f>
        <v>#REF!</v>
      </c>
      <c r="AE271" t="s">
        <v>43</v>
      </c>
      <c r="AF271" s="125"/>
      <c r="AG271" s="125" t="s">
        <v>273</v>
      </c>
      <c r="AH271" s="125"/>
      <c r="AI271" s="129">
        <v>1582.55</v>
      </c>
    </row>
    <row r="272" spans="1:35" x14ac:dyDescent="0.25">
      <c r="A272" t="s">
        <v>188</v>
      </c>
      <c r="B272" t="s">
        <v>44</v>
      </c>
      <c r="C272" s="55">
        <f t="shared" ref="C272:D284" si="176">U302</f>
        <v>9000</v>
      </c>
      <c r="D272" s="56">
        <f t="shared" si="176"/>
        <v>25141.89</v>
      </c>
      <c r="E272" s="60"/>
      <c r="F272" s="68">
        <v>0</v>
      </c>
      <c r="G272" s="34">
        <v>0</v>
      </c>
      <c r="H272" s="38"/>
      <c r="I272" s="55"/>
      <c r="J272" s="34"/>
      <c r="K272" s="38"/>
      <c r="L272" s="5">
        <v>-7500</v>
      </c>
      <c r="M272" s="34"/>
      <c r="O272" s="76"/>
      <c r="P272" s="34"/>
      <c r="R272" s="5"/>
      <c r="S272" s="34"/>
      <c r="U272" s="55">
        <f t="shared" ref="U272:V293" si="177">+C272+F272+I272+L272+O272+R272</f>
        <v>1500</v>
      </c>
      <c r="V272" s="128">
        <f t="shared" si="177"/>
        <v>25141.89</v>
      </c>
      <c r="X272" s="81">
        <f>U272</f>
        <v>1500</v>
      </c>
      <c r="Y272" s="86">
        <v>4.67</v>
      </c>
      <c r="Z272" s="34">
        <f t="shared" ref="Z272:Z293" si="178">X272*Y272</f>
        <v>7005</v>
      </c>
      <c r="AA272" s="134">
        <f t="shared" ref="AA272:AA293" si="179">Z272</f>
        <v>7005</v>
      </c>
      <c r="AB272" s="109">
        <f t="shared" ref="AB272:AB294" si="180">AA272-V272</f>
        <v>-18136.89</v>
      </c>
      <c r="AC272" s="135" t="s">
        <v>188</v>
      </c>
      <c r="AD272" s="136">
        <f t="shared" ref="AD272:AD294" si="181">AB272/V272</f>
        <v>-0.72138132813404243</v>
      </c>
      <c r="AE272" t="s">
        <v>44</v>
      </c>
      <c r="AF272" s="125"/>
      <c r="AG272" s="125" t="s">
        <v>21</v>
      </c>
      <c r="AH272" s="125"/>
      <c r="AI272" s="129"/>
    </row>
    <row r="273" spans="1:35" x14ac:dyDescent="0.25">
      <c r="A273" t="s">
        <v>18</v>
      </c>
      <c r="B273" t="s">
        <v>60</v>
      </c>
      <c r="C273" s="55" t="e">
        <f t="shared" si="176"/>
        <v>#REF!</v>
      </c>
      <c r="D273" s="56" t="e">
        <f t="shared" si="176"/>
        <v>#REF!</v>
      </c>
      <c r="E273" s="60"/>
      <c r="F273" s="55">
        <f>107+74</f>
        <v>181</v>
      </c>
      <c r="G273" s="34">
        <f>5088.24+5835.78</f>
        <v>10924.02</v>
      </c>
      <c r="H273" s="38"/>
      <c r="I273" s="55"/>
      <c r="J273" s="34"/>
      <c r="K273" s="38"/>
      <c r="L273" s="5"/>
      <c r="M273" s="34"/>
      <c r="O273" s="76"/>
      <c r="P273" s="34"/>
      <c r="R273" s="5"/>
      <c r="S273" s="34"/>
      <c r="U273" s="55" t="e">
        <f t="shared" si="177"/>
        <v>#REF!</v>
      </c>
      <c r="V273" s="128" t="e">
        <f t="shared" si="177"/>
        <v>#REF!</v>
      </c>
      <c r="X273" s="81" t="e">
        <f t="shared" ref="X273:X293" si="182">U273</f>
        <v>#REF!</v>
      </c>
      <c r="Y273" s="86">
        <v>69.36</v>
      </c>
      <c r="Z273" s="34" t="e">
        <f t="shared" si="178"/>
        <v>#REF!</v>
      </c>
      <c r="AA273" s="134" t="e">
        <f t="shared" si="179"/>
        <v>#REF!</v>
      </c>
      <c r="AB273" s="109" t="e">
        <f t="shared" si="180"/>
        <v>#REF!</v>
      </c>
      <c r="AC273" s="135" t="s">
        <v>18</v>
      </c>
      <c r="AD273" s="136" t="e">
        <f t="shared" si="181"/>
        <v>#REF!</v>
      </c>
      <c r="AE273" t="s">
        <v>60</v>
      </c>
      <c r="AF273" s="125"/>
      <c r="AG273" s="125"/>
      <c r="AH273" s="125" t="s">
        <v>274</v>
      </c>
      <c r="AI273" s="129">
        <v>-5091.2</v>
      </c>
    </row>
    <row r="274" spans="1:35" ht="15.75" thickBot="1" x14ac:dyDescent="0.3">
      <c r="A274" t="s">
        <v>189</v>
      </c>
      <c r="B274" t="s">
        <v>45</v>
      </c>
      <c r="C274" s="55" t="e">
        <f t="shared" si="176"/>
        <v>#REF!</v>
      </c>
      <c r="D274" s="56" t="e">
        <f t="shared" si="176"/>
        <v>#REF!</v>
      </c>
      <c r="E274" s="60"/>
      <c r="F274" s="55">
        <f>66+48</f>
        <v>114</v>
      </c>
      <c r="G274" s="34">
        <f>983.4+653.76</f>
        <v>1637.1599999999999</v>
      </c>
      <c r="H274" s="38"/>
      <c r="I274" s="55"/>
      <c r="J274" s="34"/>
      <c r="K274" s="38"/>
      <c r="L274" s="5"/>
      <c r="M274" s="34"/>
      <c r="O274" s="76"/>
      <c r="P274" s="34"/>
      <c r="R274" s="5"/>
      <c r="S274" s="34"/>
      <c r="U274" s="55" t="e">
        <f t="shared" si="177"/>
        <v>#REF!</v>
      </c>
      <c r="V274" s="128" t="e">
        <f t="shared" si="177"/>
        <v>#REF!</v>
      </c>
      <c r="X274" s="81" t="e">
        <f t="shared" si="182"/>
        <v>#REF!</v>
      </c>
      <c r="Y274" s="86">
        <v>12.73</v>
      </c>
      <c r="Z274" s="34" t="e">
        <f t="shared" si="178"/>
        <v>#REF!</v>
      </c>
      <c r="AA274" s="134" t="e">
        <f t="shared" si="179"/>
        <v>#REF!</v>
      </c>
      <c r="AB274" s="109" t="e">
        <f t="shared" si="180"/>
        <v>#REF!</v>
      </c>
      <c r="AC274" s="135" t="s">
        <v>189</v>
      </c>
      <c r="AD274" s="136" t="e">
        <f t="shared" si="181"/>
        <v>#REF!</v>
      </c>
      <c r="AE274" t="s">
        <v>45</v>
      </c>
      <c r="AF274" s="125"/>
      <c r="AG274" s="125"/>
      <c r="AH274" s="125" t="s">
        <v>275</v>
      </c>
      <c r="AI274" s="130">
        <v>5091.2</v>
      </c>
    </row>
    <row r="275" spans="1:35" x14ac:dyDescent="0.25">
      <c r="A275" t="s">
        <v>230</v>
      </c>
      <c r="B275" t="s">
        <v>228</v>
      </c>
      <c r="C275" s="55">
        <f t="shared" si="176"/>
        <v>300</v>
      </c>
      <c r="D275" s="56">
        <f t="shared" si="176"/>
        <v>9075.34</v>
      </c>
      <c r="E275" s="60"/>
      <c r="F275" s="55"/>
      <c r="G275" s="34"/>
      <c r="H275" s="38"/>
      <c r="I275" s="55"/>
      <c r="J275" s="34"/>
      <c r="K275" s="38"/>
      <c r="L275" s="5"/>
      <c r="M275" s="34"/>
      <c r="O275" s="76"/>
      <c r="P275" s="34"/>
      <c r="R275" s="5"/>
      <c r="S275" s="34"/>
      <c r="U275" s="55">
        <f t="shared" si="177"/>
        <v>300</v>
      </c>
      <c r="V275" s="128">
        <f t="shared" si="177"/>
        <v>9075.34</v>
      </c>
      <c r="X275" s="81">
        <f t="shared" si="182"/>
        <v>300</v>
      </c>
      <c r="Y275" s="86">
        <v>61.79</v>
      </c>
      <c r="Z275" s="34">
        <f t="shared" si="178"/>
        <v>18537</v>
      </c>
      <c r="AA275" s="134">
        <f t="shared" si="179"/>
        <v>18537</v>
      </c>
      <c r="AB275" s="109">
        <f t="shared" si="180"/>
        <v>9461.66</v>
      </c>
      <c r="AC275" s="135" t="s">
        <v>230</v>
      </c>
      <c r="AD275" s="136">
        <f t="shared" si="181"/>
        <v>1.0425681021317108</v>
      </c>
      <c r="AF275" s="125"/>
      <c r="AG275" s="125" t="s">
        <v>276</v>
      </c>
      <c r="AH275" s="125"/>
      <c r="AI275" s="129" t="e">
        <f>ROUND(SUM([1]Sheet1!AG10:'[1]Sheet1'!AG12),5)</f>
        <v>#REF!</v>
      </c>
    </row>
    <row r="276" spans="1:35" x14ac:dyDescent="0.25">
      <c r="A276" t="s">
        <v>20</v>
      </c>
      <c r="B276" t="s">
        <v>46</v>
      </c>
      <c r="C276" s="55" t="e">
        <f t="shared" si="176"/>
        <v>#REF!</v>
      </c>
      <c r="D276" s="56" t="e">
        <f t="shared" si="176"/>
        <v>#REF!</v>
      </c>
      <c r="E276" s="60"/>
      <c r="F276" s="55">
        <v>16</v>
      </c>
      <c r="G276" s="34">
        <v>55.68</v>
      </c>
      <c r="H276" s="38"/>
      <c r="I276" s="55"/>
      <c r="J276" s="34"/>
      <c r="K276" s="38"/>
      <c r="L276" s="5"/>
      <c r="M276" s="34"/>
      <c r="O276" s="76"/>
      <c r="P276" s="34"/>
      <c r="R276" s="5"/>
      <c r="S276" s="34"/>
      <c r="U276" s="55" t="e">
        <f t="shared" si="177"/>
        <v>#REF!</v>
      </c>
      <c r="V276" s="128" t="e">
        <f t="shared" si="177"/>
        <v>#REF!</v>
      </c>
      <c r="X276" s="81" t="e">
        <f t="shared" si="182"/>
        <v>#REF!</v>
      </c>
      <c r="Y276" s="86">
        <v>4.2149999999999999</v>
      </c>
      <c r="Z276" s="34" t="e">
        <f t="shared" si="178"/>
        <v>#REF!</v>
      </c>
      <c r="AA276" s="134" t="e">
        <f t="shared" si="179"/>
        <v>#REF!</v>
      </c>
      <c r="AB276" s="109" t="e">
        <f t="shared" si="180"/>
        <v>#REF!</v>
      </c>
      <c r="AC276" s="135" t="s">
        <v>20</v>
      </c>
      <c r="AD276" s="136" t="e">
        <f t="shared" si="181"/>
        <v>#REF!</v>
      </c>
      <c r="AE276" t="s">
        <v>46</v>
      </c>
      <c r="AF276" s="125"/>
      <c r="AG276" s="125" t="s">
        <v>277</v>
      </c>
      <c r="AH276" s="125"/>
      <c r="AI276" s="129">
        <v>25751.61</v>
      </c>
    </row>
    <row r="277" spans="1:35" x14ac:dyDescent="0.25">
      <c r="A277" t="s">
        <v>21</v>
      </c>
      <c r="B277" t="s">
        <v>47</v>
      </c>
      <c r="C277" s="55" t="e">
        <f t="shared" si="176"/>
        <v>#REF!</v>
      </c>
      <c r="D277" s="56" t="e">
        <f t="shared" si="176"/>
        <v>#REF!</v>
      </c>
      <c r="E277" s="60"/>
      <c r="F277" s="55"/>
      <c r="G277" s="34"/>
      <c r="H277" s="38"/>
      <c r="I277" s="55"/>
      <c r="J277" s="34"/>
      <c r="K277" s="38"/>
      <c r="L277" s="5"/>
      <c r="M277" s="34"/>
      <c r="O277" s="76"/>
      <c r="P277" s="34"/>
      <c r="R277" s="5"/>
      <c r="S277" s="34"/>
      <c r="U277" s="55" t="e">
        <f t="shared" si="177"/>
        <v>#REF!</v>
      </c>
      <c r="V277" s="34" t="e">
        <f t="shared" si="177"/>
        <v>#REF!</v>
      </c>
      <c r="X277" s="81" t="e">
        <f t="shared" si="182"/>
        <v>#REF!</v>
      </c>
      <c r="Y277" s="86"/>
      <c r="Z277" s="34" t="e">
        <f t="shared" si="178"/>
        <v>#REF!</v>
      </c>
      <c r="AA277" s="134" t="e">
        <f t="shared" si="179"/>
        <v>#REF!</v>
      </c>
      <c r="AB277" s="109" t="e">
        <f t="shared" si="180"/>
        <v>#REF!</v>
      </c>
      <c r="AC277" s="135" t="s">
        <v>21</v>
      </c>
      <c r="AD277" s="136"/>
      <c r="AE277" t="s">
        <v>47</v>
      </c>
      <c r="AF277" s="125"/>
      <c r="AG277" s="125" t="s">
        <v>23</v>
      </c>
      <c r="AH277" s="125"/>
      <c r="AI277" s="129">
        <v>7855.73</v>
      </c>
    </row>
    <row r="278" spans="1:35" x14ac:dyDescent="0.25">
      <c r="A278" t="s">
        <v>22</v>
      </c>
      <c r="B278" t="s">
        <v>56</v>
      </c>
      <c r="C278" s="55" t="e">
        <f t="shared" si="176"/>
        <v>#REF!</v>
      </c>
      <c r="D278" s="56" t="e">
        <f t="shared" si="176"/>
        <v>#REF!</v>
      </c>
      <c r="E278" s="60"/>
      <c r="F278" s="55"/>
      <c r="G278" s="34"/>
      <c r="H278" s="38"/>
      <c r="I278" s="55"/>
      <c r="J278" s="34"/>
      <c r="K278" s="38"/>
      <c r="L278" s="5"/>
      <c r="M278" s="34"/>
      <c r="O278" s="76"/>
      <c r="P278" s="34"/>
      <c r="R278" s="55"/>
      <c r="S278" s="34"/>
      <c r="U278" s="55" t="e">
        <f t="shared" si="177"/>
        <v>#REF!</v>
      </c>
      <c r="V278" s="128" t="e">
        <f t="shared" si="177"/>
        <v>#REF!</v>
      </c>
      <c r="X278" s="81" t="e">
        <f t="shared" si="182"/>
        <v>#REF!</v>
      </c>
      <c r="Y278" s="86">
        <v>1E-3</v>
      </c>
      <c r="Z278" s="34" t="e">
        <f t="shared" si="178"/>
        <v>#REF!</v>
      </c>
      <c r="AA278" s="134" t="e">
        <f t="shared" si="179"/>
        <v>#REF!</v>
      </c>
      <c r="AB278" s="109" t="e">
        <f t="shared" si="180"/>
        <v>#REF!</v>
      </c>
      <c r="AC278" s="135" t="s">
        <v>22</v>
      </c>
      <c r="AD278" s="136" t="e">
        <f t="shared" si="181"/>
        <v>#REF!</v>
      </c>
      <c r="AE278" t="s">
        <v>56</v>
      </c>
      <c r="AF278" s="125"/>
      <c r="AG278" s="125" t="s">
        <v>278</v>
      </c>
      <c r="AH278" s="125"/>
      <c r="AI278" s="129"/>
    </row>
    <row r="279" spans="1:35" x14ac:dyDescent="0.25">
      <c r="A279" t="s">
        <v>23</v>
      </c>
      <c r="B279" t="s">
        <v>48</v>
      </c>
      <c r="C279" s="55" t="e">
        <f t="shared" si="176"/>
        <v>#REF!</v>
      </c>
      <c r="D279" s="56" t="e">
        <f t="shared" si="176"/>
        <v>#REF!</v>
      </c>
      <c r="E279" s="60"/>
      <c r="F279" s="55">
        <f>51+37</f>
        <v>88</v>
      </c>
      <c r="G279" s="34">
        <f>4.11+210.54-4.9+1.37+223.56-4.11</f>
        <v>430.57</v>
      </c>
      <c r="H279" s="38"/>
      <c r="I279" s="55"/>
      <c r="J279" s="34"/>
      <c r="K279" s="38"/>
      <c r="L279" s="5"/>
      <c r="M279" s="34"/>
      <c r="O279" s="76"/>
      <c r="P279" s="34"/>
      <c r="R279" s="5"/>
      <c r="S279" s="34"/>
      <c r="U279" s="55" t="e">
        <f t="shared" si="177"/>
        <v>#REF!</v>
      </c>
      <c r="V279" s="128" t="e">
        <f t="shared" si="177"/>
        <v>#REF!</v>
      </c>
      <c r="X279" s="81" t="e">
        <f t="shared" si="182"/>
        <v>#REF!</v>
      </c>
      <c r="Y279" s="86">
        <v>5.45</v>
      </c>
      <c r="Z279" s="34" t="e">
        <f t="shared" si="178"/>
        <v>#REF!</v>
      </c>
      <c r="AA279" s="134" t="e">
        <f t="shared" si="179"/>
        <v>#REF!</v>
      </c>
      <c r="AB279" s="109" t="e">
        <f t="shared" si="180"/>
        <v>#REF!</v>
      </c>
      <c r="AC279" s="135" t="s">
        <v>23</v>
      </c>
      <c r="AD279" s="136" t="e">
        <f t="shared" si="181"/>
        <v>#REF!</v>
      </c>
      <c r="AE279" t="s">
        <v>48</v>
      </c>
      <c r="AF279" s="125"/>
      <c r="AG279" s="125"/>
      <c r="AH279" s="125" t="s">
        <v>279</v>
      </c>
      <c r="AI279" s="129">
        <v>-31050</v>
      </c>
    </row>
    <row r="280" spans="1:35" ht="15.75" thickBot="1" x14ac:dyDescent="0.3">
      <c r="A280" t="s">
        <v>24</v>
      </c>
      <c r="B280" t="s">
        <v>49</v>
      </c>
      <c r="C280" s="55" t="e">
        <f t="shared" si="176"/>
        <v>#REF!</v>
      </c>
      <c r="D280" s="56" t="e">
        <f t="shared" si="176"/>
        <v>#REF!</v>
      </c>
      <c r="E280" s="60"/>
      <c r="F280" s="55">
        <f>53+40</f>
        <v>93</v>
      </c>
      <c r="G280" s="34">
        <f>161.12+150.4</f>
        <v>311.52</v>
      </c>
      <c r="H280" s="38"/>
      <c r="I280" s="55"/>
      <c r="J280" s="34"/>
      <c r="K280" s="38"/>
      <c r="L280" s="5"/>
      <c r="M280" s="34"/>
      <c r="O280" s="76"/>
      <c r="P280" s="34"/>
      <c r="R280" s="5"/>
      <c r="S280" s="34"/>
      <c r="U280" s="55" t="e">
        <f t="shared" si="177"/>
        <v>#REF!</v>
      </c>
      <c r="V280" s="128" t="e">
        <f t="shared" si="177"/>
        <v>#REF!</v>
      </c>
      <c r="X280" s="81" t="e">
        <f t="shared" si="182"/>
        <v>#REF!</v>
      </c>
      <c r="Y280" s="86">
        <v>3.51</v>
      </c>
      <c r="Z280" s="34" t="e">
        <f t="shared" si="178"/>
        <v>#REF!</v>
      </c>
      <c r="AA280" s="134" t="e">
        <f t="shared" si="179"/>
        <v>#REF!</v>
      </c>
      <c r="AB280" s="109" t="e">
        <f t="shared" si="180"/>
        <v>#REF!</v>
      </c>
      <c r="AC280" s="135" t="s">
        <v>24</v>
      </c>
      <c r="AD280" s="136" t="e">
        <f t="shared" si="181"/>
        <v>#REF!</v>
      </c>
      <c r="AE280" t="s">
        <v>49</v>
      </c>
      <c r="AF280" s="125"/>
      <c r="AG280" s="125"/>
      <c r="AH280" s="125" t="s">
        <v>280</v>
      </c>
      <c r="AI280" s="130">
        <v>31050</v>
      </c>
    </row>
    <row r="281" spans="1:35" x14ac:dyDescent="0.25">
      <c r="A281" t="s">
        <v>25</v>
      </c>
      <c r="B281" t="s">
        <v>75</v>
      </c>
      <c r="C281" s="55" t="e">
        <f t="shared" si="176"/>
        <v>#REF!</v>
      </c>
      <c r="D281" s="56" t="e">
        <f t="shared" si="176"/>
        <v>#REF!</v>
      </c>
      <c r="E281" s="60"/>
      <c r="F281" s="55">
        <f>24+24</f>
        <v>48</v>
      </c>
      <c r="G281" s="34">
        <f>540+561.6</f>
        <v>1101.5999999999999</v>
      </c>
      <c r="H281" s="38"/>
      <c r="I281" s="55"/>
      <c r="J281" s="34"/>
      <c r="K281" s="38"/>
      <c r="L281" s="5"/>
      <c r="M281" s="34"/>
      <c r="O281" s="76"/>
      <c r="P281" s="34"/>
      <c r="R281" s="5"/>
      <c r="S281" s="34"/>
      <c r="U281" s="55" t="e">
        <f t="shared" si="177"/>
        <v>#REF!</v>
      </c>
      <c r="V281" s="128" t="e">
        <f t="shared" si="177"/>
        <v>#REF!</v>
      </c>
      <c r="X281" s="81" t="e">
        <f t="shared" si="182"/>
        <v>#REF!</v>
      </c>
      <c r="Y281" s="86">
        <v>29.74</v>
      </c>
      <c r="Z281" s="34" t="e">
        <f t="shared" si="178"/>
        <v>#REF!</v>
      </c>
      <c r="AA281" s="134" t="e">
        <f t="shared" si="179"/>
        <v>#REF!</v>
      </c>
      <c r="AB281" s="109" t="e">
        <f t="shared" si="180"/>
        <v>#REF!</v>
      </c>
      <c r="AC281" s="135" t="s">
        <v>25</v>
      </c>
      <c r="AD281" s="136" t="e">
        <f t="shared" si="181"/>
        <v>#REF!</v>
      </c>
      <c r="AE281" t="s">
        <v>75</v>
      </c>
      <c r="AF281" s="125"/>
      <c r="AG281" s="125" t="s">
        <v>281</v>
      </c>
      <c r="AH281" s="125"/>
      <c r="AI281" s="129" t="e">
        <f>ROUND(SUM([1]Sheet1!AG16:'[1]Sheet1'!AG18),5)</f>
        <v>#REF!</v>
      </c>
    </row>
    <row r="282" spans="1:35" x14ac:dyDescent="0.25">
      <c r="A282" t="s">
        <v>26</v>
      </c>
      <c r="B282" t="s">
        <v>50</v>
      </c>
      <c r="C282" s="55" t="e">
        <f t="shared" si="176"/>
        <v>#REF!</v>
      </c>
      <c r="D282" s="56" t="e">
        <f t="shared" si="176"/>
        <v>#REF!</v>
      </c>
      <c r="E282" s="60"/>
      <c r="F282" s="55"/>
      <c r="G282" s="34"/>
      <c r="H282" s="38"/>
      <c r="I282" s="55"/>
      <c r="J282" s="34"/>
      <c r="K282" s="38"/>
      <c r="L282" s="5"/>
      <c r="M282" s="34"/>
      <c r="O282" s="76"/>
      <c r="P282" s="34"/>
      <c r="R282" s="5"/>
      <c r="S282" s="34"/>
      <c r="U282" s="55" t="e">
        <f t="shared" si="177"/>
        <v>#REF!</v>
      </c>
      <c r="V282" s="128" t="e">
        <f t="shared" si="177"/>
        <v>#REF!</v>
      </c>
      <c r="X282" s="81" t="e">
        <f t="shared" si="182"/>
        <v>#REF!</v>
      </c>
      <c r="Y282" s="86">
        <v>20.68</v>
      </c>
      <c r="Z282" s="34" t="e">
        <f t="shared" si="178"/>
        <v>#REF!</v>
      </c>
      <c r="AA282" s="134" t="e">
        <f t="shared" si="179"/>
        <v>#REF!</v>
      </c>
      <c r="AB282" s="109" t="e">
        <f t="shared" si="180"/>
        <v>#REF!</v>
      </c>
      <c r="AC282" s="135" t="s">
        <v>26</v>
      </c>
      <c r="AD282" s="136" t="e">
        <f t="shared" si="181"/>
        <v>#REF!</v>
      </c>
      <c r="AE282" t="s">
        <v>50</v>
      </c>
      <c r="AF282" s="125"/>
      <c r="AG282" s="125" t="s">
        <v>282</v>
      </c>
      <c r="AH282" s="125"/>
      <c r="AI282" s="129">
        <v>7623.41</v>
      </c>
    </row>
    <row r="283" spans="1:35" ht="15.75" thickBot="1" x14ac:dyDescent="0.3">
      <c r="A283" t="s">
        <v>232</v>
      </c>
      <c r="B283" t="s">
        <v>232</v>
      </c>
      <c r="C283" s="55">
        <f t="shared" si="176"/>
        <v>750</v>
      </c>
      <c r="D283" s="56">
        <f t="shared" si="176"/>
        <v>9889.9500000000007</v>
      </c>
      <c r="E283" s="60"/>
      <c r="F283" s="55">
        <v>6</v>
      </c>
      <c r="G283" s="34">
        <f>13.55*6</f>
        <v>81.300000000000011</v>
      </c>
      <c r="H283" s="38"/>
      <c r="I283" s="55"/>
      <c r="J283" s="34"/>
      <c r="K283" s="38"/>
      <c r="L283" s="5"/>
      <c r="M283" s="34"/>
      <c r="O283" s="76"/>
      <c r="P283" s="34"/>
      <c r="R283" s="5"/>
      <c r="S283" s="34"/>
      <c r="U283" s="55">
        <f t="shared" si="177"/>
        <v>756</v>
      </c>
      <c r="V283" s="128">
        <f t="shared" si="177"/>
        <v>9971.25</v>
      </c>
      <c r="X283" s="81">
        <f t="shared" si="182"/>
        <v>756</v>
      </c>
      <c r="Y283" s="86">
        <v>15.12</v>
      </c>
      <c r="Z283" s="34">
        <f t="shared" si="178"/>
        <v>11430.72</v>
      </c>
      <c r="AA283" s="134">
        <f t="shared" si="179"/>
        <v>11430.72</v>
      </c>
      <c r="AB283" s="109">
        <f t="shared" si="180"/>
        <v>1459.4699999999993</v>
      </c>
      <c r="AC283" s="135" t="s">
        <v>232</v>
      </c>
      <c r="AD283" s="136">
        <f t="shared" si="181"/>
        <v>0.14636780744640837</v>
      </c>
      <c r="AF283" s="125"/>
      <c r="AG283" s="125" t="s">
        <v>25</v>
      </c>
      <c r="AH283" s="125"/>
      <c r="AI283" s="130">
        <v>16545.45</v>
      </c>
    </row>
    <row r="284" spans="1:35" x14ac:dyDescent="0.25">
      <c r="A284" t="s">
        <v>27</v>
      </c>
      <c r="B284" t="s">
        <v>51</v>
      </c>
      <c r="C284" s="55" t="e">
        <f t="shared" si="176"/>
        <v>#REF!</v>
      </c>
      <c r="D284" s="56" t="e">
        <f t="shared" si="176"/>
        <v>#REF!</v>
      </c>
      <c r="E284" s="60"/>
      <c r="F284" s="55">
        <f>24+19</f>
        <v>43</v>
      </c>
      <c r="G284" s="34">
        <f>1395.5+1051.21</f>
        <v>2446.71</v>
      </c>
      <c r="H284" s="38"/>
      <c r="I284" s="55"/>
      <c r="J284" s="34"/>
      <c r="K284" s="38"/>
      <c r="L284" s="5"/>
      <c r="M284" s="34"/>
      <c r="O284" s="76"/>
      <c r="P284" s="34"/>
      <c r="R284" s="5"/>
      <c r="S284" s="34"/>
      <c r="U284" s="55" t="e">
        <f t="shared" si="177"/>
        <v>#REF!</v>
      </c>
      <c r="V284" s="128" t="e">
        <f t="shared" si="177"/>
        <v>#REF!</v>
      </c>
      <c r="X284" s="81" t="e">
        <f t="shared" si="182"/>
        <v>#REF!</v>
      </c>
      <c r="Y284" s="86">
        <v>52.37</v>
      </c>
      <c r="Z284" s="34" t="e">
        <f t="shared" si="178"/>
        <v>#REF!</v>
      </c>
      <c r="AA284" s="134" t="e">
        <f t="shared" si="179"/>
        <v>#REF!</v>
      </c>
      <c r="AB284" s="109" t="e">
        <f t="shared" si="180"/>
        <v>#REF!</v>
      </c>
      <c r="AC284" s="135" t="s">
        <v>27</v>
      </c>
      <c r="AD284" s="136" t="e">
        <f t="shared" si="181"/>
        <v>#REF!</v>
      </c>
      <c r="AE284" t="s">
        <v>51</v>
      </c>
      <c r="AF284" s="125"/>
      <c r="AG284" s="125" t="s">
        <v>26</v>
      </c>
      <c r="AH284" s="125"/>
      <c r="AI284" s="129">
        <v>13910.57</v>
      </c>
    </row>
    <row r="285" spans="1:35" x14ac:dyDescent="0.25">
      <c r="A285" t="s">
        <v>283</v>
      </c>
      <c r="B285" t="s">
        <v>291</v>
      </c>
      <c r="C285" s="55">
        <v>0</v>
      </c>
      <c r="D285" s="56">
        <v>0</v>
      </c>
      <c r="E285" s="60"/>
      <c r="F285" s="55"/>
      <c r="G285" s="34"/>
      <c r="H285" s="38"/>
      <c r="I285" s="55">
        <v>500</v>
      </c>
      <c r="J285" s="34">
        <f>1170.47-345.53</f>
        <v>824.94</v>
      </c>
      <c r="K285" s="38"/>
      <c r="L285" s="5"/>
      <c r="M285" s="34"/>
      <c r="O285" s="76">
        <v>240</v>
      </c>
      <c r="P285" s="34">
        <f>1.4397*240</f>
        <v>345.52800000000002</v>
      </c>
      <c r="R285" s="5"/>
      <c r="S285" s="34"/>
      <c r="U285" s="55">
        <f t="shared" si="177"/>
        <v>740</v>
      </c>
      <c r="V285" s="128">
        <f t="shared" si="177"/>
        <v>1170.4680000000001</v>
      </c>
      <c r="X285" s="81">
        <f t="shared" si="182"/>
        <v>740</v>
      </c>
      <c r="Y285" s="86">
        <v>1.59</v>
      </c>
      <c r="Z285" s="34">
        <f t="shared" si="178"/>
        <v>1176.6000000000001</v>
      </c>
      <c r="AA285" s="134">
        <f t="shared" si="179"/>
        <v>1176.6000000000001</v>
      </c>
      <c r="AB285" s="109">
        <f t="shared" si="180"/>
        <v>6.1320000000000618</v>
      </c>
      <c r="AC285" s="135" t="s">
        <v>283</v>
      </c>
      <c r="AD285" s="136">
        <f t="shared" si="181"/>
        <v>5.2389300689980947E-3</v>
      </c>
      <c r="AF285" s="125"/>
      <c r="AG285" s="125"/>
      <c r="AH285" s="125"/>
      <c r="AI285" s="129"/>
    </row>
    <row r="286" spans="1:35" x14ac:dyDescent="0.25">
      <c r="A286" t="s">
        <v>284</v>
      </c>
      <c r="B286" t="s">
        <v>292</v>
      </c>
      <c r="C286" s="55"/>
      <c r="D286" s="56"/>
      <c r="E286" s="60"/>
      <c r="F286" s="55"/>
      <c r="G286" s="34"/>
      <c r="H286" s="38"/>
      <c r="I286" s="55">
        <v>2120</v>
      </c>
      <c r="J286" s="34">
        <v>6210.35</v>
      </c>
      <c r="K286" s="38"/>
      <c r="L286" s="5"/>
      <c r="M286" s="34"/>
      <c r="O286" s="76"/>
      <c r="P286" s="34"/>
      <c r="R286" s="5"/>
      <c r="S286" s="34"/>
      <c r="U286" s="55">
        <f t="shared" si="177"/>
        <v>2120</v>
      </c>
      <c r="V286" s="128">
        <f t="shared" si="177"/>
        <v>6210.35</v>
      </c>
      <c r="X286" s="81">
        <f t="shared" si="182"/>
        <v>2120</v>
      </c>
      <c r="Y286" s="86">
        <v>3.06</v>
      </c>
      <c r="Z286" s="34">
        <f t="shared" si="178"/>
        <v>6487.2</v>
      </c>
      <c r="AA286" s="134">
        <f t="shared" si="179"/>
        <v>6487.2</v>
      </c>
      <c r="AB286" s="109">
        <f t="shared" si="180"/>
        <v>276.84999999999945</v>
      </c>
      <c r="AC286" s="135" t="s">
        <v>284</v>
      </c>
      <c r="AD286" s="136">
        <f t="shared" si="181"/>
        <v>4.4578807957683451E-2</v>
      </c>
      <c r="AF286" s="125"/>
      <c r="AG286" s="125"/>
      <c r="AH286" s="125"/>
      <c r="AI286" s="129"/>
    </row>
    <row r="287" spans="1:35" ht="15.75" thickBot="1" x14ac:dyDescent="0.3">
      <c r="A287" t="s">
        <v>28</v>
      </c>
      <c r="B287" t="s">
        <v>52</v>
      </c>
      <c r="C287" s="55" t="e">
        <f t="shared" ref="C287:D293" si="183">U315</f>
        <v>#REF!</v>
      </c>
      <c r="D287" s="56" t="e">
        <f t="shared" si="183"/>
        <v>#REF!</v>
      </c>
      <c r="E287" s="60"/>
      <c r="F287" s="55"/>
      <c r="G287" s="34"/>
      <c r="H287" s="38"/>
      <c r="I287" s="55"/>
      <c r="J287" s="34"/>
      <c r="K287" s="38"/>
      <c r="L287" s="5"/>
      <c r="M287" s="34"/>
      <c r="O287" s="76"/>
      <c r="P287" s="34"/>
      <c r="R287" s="5"/>
      <c r="S287" s="34"/>
      <c r="U287" s="55" t="e">
        <f t="shared" si="177"/>
        <v>#REF!</v>
      </c>
      <c r="V287" s="128" t="e">
        <f t="shared" si="177"/>
        <v>#REF!</v>
      </c>
      <c r="X287" s="81" t="e">
        <f t="shared" si="182"/>
        <v>#REF!</v>
      </c>
      <c r="Y287" s="86">
        <v>4.7699999999999996</v>
      </c>
      <c r="Z287" s="34" t="e">
        <f t="shared" si="178"/>
        <v>#REF!</v>
      </c>
      <c r="AA287" s="134" t="e">
        <f t="shared" si="179"/>
        <v>#REF!</v>
      </c>
      <c r="AB287" s="109" t="e">
        <f t="shared" si="180"/>
        <v>#REF!</v>
      </c>
      <c r="AC287" s="135" t="s">
        <v>28</v>
      </c>
      <c r="AD287" s="136" t="e">
        <f t="shared" si="181"/>
        <v>#REF!</v>
      </c>
      <c r="AE287" t="s">
        <v>52</v>
      </c>
      <c r="AF287" s="125"/>
      <c r="AG287" s="125" t="s">
        <v>232</v>
      </c>
      <c r="AH287" s="125"/>
      <c r="AI287" s="130">
        <v>9971.25</v>
      </c>
    </row>
    <row r="288" spans="1:35" x14ac:dyDescent="0.25">
      <c r="A288" t="s">
        <v>29</v>
      </c>
      <c r="B288" t="s">
        <v>76</v>
      </c>
      <c r="C288" s="55" t="e">
        <f t="shared" si="183"/>
        <v>#REF!</v>
      </c>
      <c r="D288" s="56" t="e">
        <f t="shared" si="183"/>
        <v>#REF!</v>
      </c>
      <c r="E288" s="60"/>
      <c r="F288" s="55"/>
      <c r="G288" s="34"/>
      <c r="H288" s="38"/>
      <c r="I288" s="55"/>
      <c r="J288" s="34"/>
      <c r="K288" s="38"/>
      <c r="L288" s="5"/>
      <c r="M288" s="34"/>
      <c r="O288" s="76"/>
      <c r="P288" s="34"/>
      <c r="R288" s="5"/>
      <c r="S288" s="34"/>
      <c r="U288" s="55" t="e">
        <f t="shared" si="177"/>
        <v>#REF!</v>
      </c>
      <c r="V288" s="128" t="e">
        <f t="shared" si="177"/>
        <v>#REF!</v>
      </c>
      <c r="X288" s="81" t="e">
        <f t="shared" si="182"/>
        <v>#REF!</v>
      </c>
      <c r="Y288" s="86">
        <v>5.83</v>
      </c>
      <c r="Z288" s="34" t="e">
        <f t="shared" si="178"/>
        <v>#REF!</v>
      </c>
      <c r="AA288" s="134" t="e">
        <f t="shared" si="179"/>
        <v>#REF!</v>
      </c>
      <c r="AB288" s="109" t="e">
        <f t="shared" si="180"/>
        <v>#REF!</v>
      </c>
      <c r="AC288" s="135" t="s">
        <v>29</v>
      </c>
      <c r="AD288" s="136" t="e">
        <f t="shared" si="181"/>
        <v>#REF!</v>
      </c>
      <c r="AE288" t="s">
        <v>76</v>
      </c>
      <c r="AF288" s="125"/>
      <c r="AG288" s="125" t="s">
        <v>27</v>
      </c>
      <c r="AH288" s="125"/>
      <c r="AI288" s="129">
        <v>70028.820000000007</v>
      </c>
    </row>
    <row r="289" spans="1:35" x14ac:dyDescent="0.25">
      <c r="A289" t="s">
        <v>32</v>
      </c>
      <c r="B289" t="s">
        <v>53</v>
      </c>
      <c r="C289" s="55" t="e">
        <f t="shared" si="183"/>
        <v>#REF!</v>
      </c>
      <c r="D289" s="56" t="e">
        <f t="shared" si="183"/>
        <v>#REF!</v>
      </c>
      <c r="E289" s="60"/>
      <c r="F289" s="55">
        <f>32+37</f>
        <v>69</v>
      </c>
      <c r="G289" s="34">
        <f>754.06+795.52</f>
        <v>1549.58</v>
      </c>
      <c r="H289" s="38"/>
      <c r="I289" s="55"/>
      <c r="J289" s="34"/>
      <c r="K289" s="38"/>
      <c r="L289" s="5"/>
      <c r="M289" s="34"/>
      <c r="O289" s="76"/>
      <c r="P289" s="34"/>
      <c r="R289" s="5"/>
      <c r="S289" s="34"/>
      <c r="U289" s="55" t="e">
        <f t="shared" si="177"/>
        <v>#REF!</v>
      </c>
      <c r="V289" s="128" t="e">
        <f t="shared" si="177"/>
        <v>#REF!</v>
      </c>
      <c r="X289" s="81" t="e">
        <f t="shared" si="182"/>
        <v>#REF!</v>
      </c>
      <c r="Y289" s="86">
        <v>29</v>
      </c>
      <c r="Z289" s="34" t="e">
        <f t="shared" si="178"/>
        <v>#REF!</v>
      </c>
      <c r="AA289" s="134" t="e">
        <f t="shared" si="179"/>
        <v>#REF!</v>
      </c>
      <c r="AB289" s="109" t="e">
        <f t="shared" si="180"/>
        <v>#REF!</v>
      </c>
      <c r="AC289" s="135" t="s">
        <v>32</v>
      </c>
      <c r="AD289" s="136" t="e">
        <f t="shared" si="181"/>
        <v>#REF!</v>
      </c>
      <c r="AE289" t="s">
        <v>53</v>
      </c>
      <c r="AF289" s="125"/>
      <c r="AG289" s="125" t="s">
        <v>283</v>
      </c>
      <c r="AH289" s="125"/>
      <c r="AI289" s="126">
        <v>1170.47</v>
      </c>
    </row>
    <row r="290" spans="1:35" x14ac:dyDescent="0.25">
      <c r="A290" t="s">
        <v>233</v>
      </c>
      <c r="C290" s="55">
        <f t="shared" si="183"/>
        <v>300</v>
      </c>
      <c r="D290" s="56">
        <f t="shared" si="183"/>
        <v>30000</v>
      </c>
      <c r="E290" s="60"/>
      <c r="F290" s="55"/>
      <c r="G290" s="34"/>
      <c r="H290" s="38"/>
      <c r="I290" s="55"/>
      <c r="J290" s="34"/>
      <c r="K290" s="38"/>
      <c r="L290" s="5"/>
      <c r="M290" s="34"/>
      <c r="O290" s="76"/>
      <c r="P290" s="34"/>
      <c r="R290" s="5"/>
      <c r="S290" s="34"/>
      <c r="U290" s="55">
        <f t="shared" si="177"/>
        <v>300</v>
      </c>
      <c r="V290" s="128">
        <f t="shared" si="177"/>
        <v>30000</v>
      </c>
      <c r="X290" s="81">
        <f t="shared" si="182"/>
        <v>300</v>
      </c>
      <c r="Y290" s="86">
        <v>101.48</v>
      </c>
      <c r="Z290" s="34">
        <f t="shared" si="178"/>
        <v>30444</v>
      </c>
      <c r="AA290" s="134">
        <f t="shared" si="179"/>
        <v>30444</v>
      </c>
      <c r="AB290" s="109">
        <f t="shared" si="180"/>
        <v>444</v>
      </c>
      <c r="AC290" s="135" t="s">
        <v>233</v>
      </c>
      <c r="AD290" s="136">
        <f t="shared" si="181"/>
        <v>1.4800000000000001E-2</v>
      </c>
      <c r="AF290" s="125"/>
      <c r="AG290" s="125" t="s">
        <v>284</v>
      </c>
      <c r="AH290" s="125"/>
      <c r="AI290" s="126">
        <v>6210.35</v>
      </c>
    </row>
    <row r="291" spans="1:35" x14ac:dyDescent="0.25">
      <c r="A291" t="s">
        <v>231</v>
      </c>
      <c r="B291" t="s">
        <v>229</v>
      </c>
      <c r="C291" s="55">
        <f t="shared" si="183"/>
        <v>342</v>
      </c>
      <c r="D291" s="56">
        <f t="shared" si="183"/>
        <v>10710.83</v>
      </c>
      <c r="E291" s="60"/>
      <c r="F291" s="55">
        <f>6+9</f>
        <v>15</v>
      </c>
      <c r="G291" s="34">
        <f>312.63+252.45</f>
        <v>565.07999999999993</v>
      </c>
      <c r="H291" s="38"/>
      <c r="I291" s="55"/>
      <c r="J291" s="34"/>
      <c r="K291" s="38"/>
      <c r="L291" s="5"/>
      <c r="M291" s="34"/>
      <c r="O291" s="76"/>
      <c r="P291" s="34"/>
      <c r="R291" s="5"/>
      <c r="S291" s="34"/>
      <c r="U291" s="55">
        <f t="shared" si="177"/>
        <v>357</v>
      </c>
      <c r="V291" s="128">
        <f t="shared" si="177"/>
        <v>11275.91</v>
      </c>
      <c r="X291" s="81">
        <f t="shared" si="182"/>
        <v>357</v>
      </c>
      <c r="Y291" s="86">
        <v>39.630000000000003</v>
      </c>
      <c r="Z291" s="34">
        <f t="shared" si="178"/>
        <v>14147.910000000002</v>
      </c>
      <c r="AA291" s="134">
        <f t="shared" si="179"/>
        <v>14147.910000000002</v>
      </c>
      <c r="AB291" s="109">
        <f t="shared" si="180"/>
        <v>2872.0000000000018</v>
      </c>
      <c r="AC291" s="135" t="s">
        <v>231</v>
      </c>
      <c r="AD291" s="136">
        <f t="shared" si="181"/>
        <v>0.25470228123495148</v>
      </c>
      <c r="AF291" s="125"/>
      <c r="AG291" s="125" t="s">
        <v>28</v>
      </c>
      <c r="AH291" s="125"/>
      <c r="AI291" s="129">
        <v>38303.5</v>
      </c>
    </row>
    <row r="292" spans="1:35" x14ac:dyDescent="0.25">
      <c r="A292" t="s">
        <v>30</v>
      </c>
      <c r="B292" t="s">
        <v>55</v>
      </c>
      <c r="C292" s="55" t="e">
        <f t="shared" si="183"/>
        <v>#REF!</v>
      </c>
      <c r="D292" s="56" t="e">
        <f t="shared" si="183"/>
        <v>#REF!</v>
      </c>
      <c r="E292" s="60"/>
      <c r="F292" s="55">
        <v>13</v>
      </c>
      <c r="G292" s="34">
        <v>450.71</v>
      </c>
      <c r="H292" s="38"/>
      <c r="I292" s="55"/>
      <c r="J292" s="34"/>
      <c r="K292" s="38"/>
      <c r="L292" s="5"/>
      <c r="M292" s="34"/>
      <c r="O292" s="76"/>
      <c r="P292" s="34"/>
      <c r="R292" s="5"/>
      <c r="S292" s="34"/>
      <c r="U292" s="55" t="e">
        <f t="shared" si="177"/>
        <v>#REF!</v>
      </c>
      <c r="V292" s="128" t="e">
        <f t="shared" si="177"/>
        <v>#REF!</v>
      </c>
      <c r="X292" s="81" t="e">
        <f t="shared" si="182"/>
        <v>#REF!</v>
      </c>
      <c r="Y292" s="86">
        <v>35.1</v>
      </c>
      <c r="Z292" s="34" t="e">
        <f t="shared" si="178"/>
        <v>#REF!</v>
      </c>
      <c r="AA292" s="134" t="e">
        <f t="shared" si="179"/>
        <v>#REF!</v>
      </c>
      <c r="AB292" s="109" t="e">
        <f t="shared" si="180"/>
        <v>#REF!</v>
      </c>
      <c r="AC292" s="135" t="s">
        <v>30</v>
      </c>
      <c r="AD292" s="136" t="e">
        <f t="shared" si="181"/>
        <v>#REF!</v>
      </c>
      <c r="AE292" t="s">
        <v>55</v>
      </c>
      <c r="AF292" s="125"/>
      <c r="AG292" s="125" t="s">
        <v>285</v>
      </c>
      <c r="AH292" s="125"/>
      <c r="AI292" s="129">
        <v>1275.55</v>
      </c>
    </row>
    <row r="293" spans="1:35" x14ac:dyDescent="0.25">
      <c r="A293" t="s">
        <v>31</v>
      </c>
      <c r="B293" t="s">
        <v>54</v>
      </c>
      <c r="C293" s="55" t="e">
        <f t="shared" si="183"/>
        <v>#REF!</v>
      </c>
      <c r="D293" s="56" t="e">
        <f t="shared" si="183"/>
        <v>#REF!</v>
      </c>
      <c r="E293" s="60"/>
      <c r="F293" s="55">
        <f>27+22</f>
        <v>49</v>
      </c>
      <c r="G293" s="34">
        <f>748.44+779.82</f>
        <v>1528.2600000000002</v>
      </c>
      <c r="H293" s="38"/>
      <c r="I293" s="55"/>
      <c r="J293" s="34"/>
      <c r="K293" s="38"/>
      <c r="L293" s="5"/>
      <c r="M293" s="34"/>
      <c r="O293" s="76">
        <v>0</v>
      </c>
      <c r="P293" s="34">
        <v>-175.18</v>
      </c>
      <c r="R293" s="5"/>
      <c r="S293" s="34"/>
      <c r="U293" s="55" t="e">
        <f t="shared" si="177"/>
        <v>#REF!</v>
      </c>
      <c r="V293" s="128" t="e">
        <f t="shared" si="177"/>
        <v>#REF!</v>
      </c>
      <c r="X293" s="81" t="e">
        <f t="shared" si="182"/>
        <v>#REF!</v>
      </c>
      <c r="Y293" s="86">
        <v>32.880000000000003</v>
      </c>
      <c r="Z293" s="34" t="e">
        <f t="shared" si="178"/>
        <v>#REF!</v>
      </c>
      <c r="AA293" s="134" t="e">
        <f t="shared" si="179"/>
        <v>#REF!</v>
      </c>
      <c r="AB293" s="109" t="e">
        <f t="shared" si="180"/>
        <v>#REF!</v>
      </c>
      <c r="AC293" s="135" t="s">
        <v>31</v>
      </c>
      <c r="AD293" s="136" t="e">
        <f t="shared" si="181"/>
        <v>#REF!</v>
      </c>
      <c r="AE293" t="s">
        <v>54</v>
      </c>
      <c r="AF293" s="125"/>
      <c r="AG293" s="125" t="s">
        <v>286</v>
      </c>
      <c r="AH293" s="125"/>
      <c r="AI293" s="129">
        <v>11275.91</v>
      </c>
    </row>
    <row r="294" spans="1:35" x14ac:dyDescent="0.25">
      <c r="C294" s="34"/>
      <c r="D294" s="57" t="e">
        <f>SUM(D271:D293)</f>
        <v>#REF!</v>
      </c>
      <c r="E294" s="61"/>
      <c r="F294" s="68"/>
      <c r="G294" s="57">
        <f>SUM(G271:G293)</f>
        <v>21082.190000000002</v>
      </c>
      <c r="H294" s="27"/>
      <c r="I294" s="68"/>
      <c r="J294" s="57">
        <f>SUM(J270:J293)</f>
        <v>7035.2900000000009</v>
      </c>
      <c r="K294" s="61"/>
      <c r="L294" s="34"/>
      <c r="M294" s="69">
        <f>SUM(M270:M293)</f>
        <v>0</v>
      </c>
      <c r="N294" s="38"/>
      <c r="O294" s="76"/>
      <c r="P294" s="34">
        <f>SUM(P270:P293)</f>
        <v>170.34800000000001</v>
      </c>
      <c r="R294" s="5"/>
      <c r="S294" s="34"/>
      <c r="U294" s="5"/>
      <c r="V294" s="57" t="e">
        <f>SUM(V270:V293)</f>
        <v>#REF!</v>
      </c>
      <c r="X294" s="3"/>
      <c r="Y294" s="83"/>
      <c r="Z294" s="33" t="e">
        <f>SUM(Z271:Z293)</f>
        <v>#REF!</v>
      </c>
      <c r="AA294" s="137" t="e">
        <f>SUM(AA271:AA293)</f>
        <v>#REF!</v>
      </c>
      <c r="AB294" s="109" t="e">
        <f t="shared" si="180"/>
        <v>#REF!</v>
      </c>
      <c r="AC294" s="135"/>
      <c r="AD294" s="136" t="e">
        <f t="shared" si="181"/>
        <v>#REF!</v>
      </c>
      <c r="AF294" s="125"/>
      <c r="AG294" s="125" t="s">
        <v>287</v>
      </c>
      <c r="AH294" s="125"/>
      <c r="AI294" s="129">
        <v>25125.96</v>
      </c>
    </row>
    <row r="295" spans="1:35" x14ac:dyDescent="0.25">
      <c r="C295" s="63" t="s">
        <v>176</v>
      </c>
      <c r="D295" s="64" t="e">
        <f>D294</f>
        <v>#REF!</v>
      </c>
      <c r="F295" s="63" t="s">
        <v>176</v>
      </c>
      <c r="G295" s="64">
        <f>G294</f>
        <v>21082.190000000002</v>
      </c>
      <c r="I295" s="63" t="s">
        <v>176</v>
      </c>
      <c r="J295" s="67">
        <f>J294</f>
        <v>7035.2900000000009</v>
      </c>
      <c r="K295" s="72"/>
      <c r="L295" s="63" t="s">
        <v>176</v>
      </c>
      <c r="M295" s="67">
        <f>M294</f>
        <v>0</v>
      </c>
      <c r="N295" s="70"/>
      <c r="O295" s="63" t="s">
        <v>176</v>
      </c>
      <c r="P295" s="67">
        <f>P294</f>
        <v>170.34800000000001</v>
      </c>
      <c r="R295" s="63" t="s">
        <v>176</v>
      </c>
      <c r="S295" s="67">
        <f>S294</f>
        <v>0</v>
      </c>
      <c r="V295" s="2" t="e">
        <f>V294</f>
        <v>#REF!</v>
      </c>
      <c r="Z295" s="85" t="s">
        <v>176</v>
      </c>
      <c r="AA295" s="73"/>
      <c r="AB295" s="108"/>
      <c r="AC295" s="132"/>
      <c r="AD295" s="132"/>
      <c r="AF295" s="125"/>
      <c r="AG295" s="125" t="s">
        <v>288</v>
      </c>
      <c r="AH295" s="125"/>
      <c r="AI295" s="129">
        <v>30000</v>
      </c>
    </row>
    <row r="296" spans="1:35" ht="15.75" thickBot="1" x14ac:dyDescent="0.3">
      <c r="A296" s="20"/>
      <c r="B296" s="20"/>
      <c r="C296" s="15"/>
      <c r="D296" s="15"/>
      <c r="E296" s="20"/>
      <c r="F296" s="20"/>
      <c r="O296" s="104"/>
      <c r="P296" s="105"/>
      <c r="R296" s="104"/>
      <c r="S296" s="106"/>
      <c r="U296" s="104"/>
      <c r="V296" s="105"/>
      <c r="X296" s="104"/>
      <c r="Y296" s="94"/>
      <c r="Z296" s="105"/>
      <c r="AC296" s="20"/>
      <c r="AD296" s="20"/>
      <c r="AE296" s="20"/>
      <c r="AF296" s="125"/>
      <c r="AG296" s="125" t="s">
        <v>31</v>
      </c>
      <c r="AH296" s="125"/>
      <c r="AI296" s="127">
        <v>31557.79</v>
      </c>
    </row>
    <row r="297" spans="1:35" ht="15.75" thickBot="1" x14ac:dyDescent="0.3">
      <c r="A297" s="20"/>
      <c r="B297" s="20"/>
      <c r="C297" s="15"/>
      <c r="D297" s="15"/>
      <c r="E297" s="20"/>
      <c r="F297" s="20"/>
      <c r="O297" s="104"/>
      <c r="P297" s="105"/>
      <c r="R297" s="104"/>
      <c r="S297" s="106"/>
      <c r="U297" s="104"/>
      <c r="V297" s="105"/>
      <c r="X297" s="104"/>
      <c r="Y297" s="94"/>
      <c r="Z297" s="105"/>
      <c r="AC297" s="20"/>
      <c r="AD297" s="20"/>
      <c r="AE297" s="20"/>
      <c r="AF297" s="125"/>
      <c r="AG297" s="125" t="s">
        <v>30</v>
      </c>
      <c r="AH297" s="125"/>
      <c r="AI297" s="131">
        <v>30799.16</v>
      </c>
    </row>
    <row r="298" spans="1:35" x14ac:dyDescent="0.25">
      <c r="A298" t="s">
        <v>170</v>
      </c>
      <c r="C298" s="51">
        <v>40724</v>
      </c>
      <c r="D298" s="51">
        <v>40724</v>
      </c>
      <c r="E298" s="48"/>
      <c r="F298" s="3" t="s">
        <v>174</v>
      </c>
      <c r="G298" s="3"/>
      <c r="H298" s="20"/>
      <c r="I298" s="32" t="s">
        <v>177</v>
      </c>
      <c r="J298" s="3"/>
      <c r="K298" s="20"/>
      <c r="L298" s="32" t="s">
        <v>181</v>
      </c>
      <c r="M298" s="3"/>
      <c r="O298" s="74" t="s">
        <v>234</v>
      </c>
      <c r="P298" s="71"/>
      <c r="R298" s="74" t="s">
        <v>185</v>
      </c>
      <c r="S298" s="75"/>
      <c r="U298" s="74" t="s">
        <v>242</v>
      </c>
      <c r="V298" s="71"/>
      <c r="X298" s="77" t="s">
        <v>242</v>
      </c>
      <c r="Y298" s="80"/>
      <c r="Z298" s="71"/>
      <c r="AC298" t="s">
        <v>170</v>
      </c>
      <c r="AF298" s="125" t="s">
        <v>289</v>
      </c>
      <c r="AG298" s="125"/>
      <c r="AH298" s="125"/>
      <c r="AI298" s="126" t="e">
        <f>SUM(AI43:AI297)</f>
        <v>#REF!</v>
      </c>
    </row>
    <row r="299" spans="1:35" ht="30" x14ac:dyDescent="0.25">
      <c r="A299" s="1" t="s">
        <v>171</v>
      </c>
      <c r="B299" s="39" t="s">
        <v>42</v>
      </c>
      <c r="C299" s="52" t="s">
        <v>172</v>
      </c>
      <c r="D299" s="4" t="s">
        <v>173</v>
      </c>
      <c r="E299" s="58"/>
      <c r="F299" s="4" t="s">
        <v>175</v>
      </c>
      <c r="G299" s="4" t="s">
        <v>173</v>
      </c>
      <c r="H299" s="58"/>
      <c r="I299" s="52" t="s">
        <v>172</v>
      </c>
      <c r="J299" s="4" t="s">
        <v>173</v>
      </c>
      <c r="K299" s="58"/>
      <c r="L299" s="52" t="s">
        <v>172</v>
      </c>
      <c r="M299" s="4" t="s">
        <v>173</v>
      </c>
      <c r="O299" s="52" t="s">
        <v>172</v>
      </c>
      <c r="P299" s="4" t="s">
        <v>173</v>
      </c>
      <c r="R299" s="52" t="s">
        <v>172</v>
      </c>
      <c r="S299" s="4" t="s">
        <v>173</v>
      </c>
      <c r="U299" s="52" t="s">
        <v>172</v>
      </c>
      <c r="V299" s="4" t="s">
        <v>173</v>
      </c>
      <c r="X299" s="78" t="s">
        <v>172</v>
      </c>
      <c r="Y299" s="79" t="s">
        <v>203</v>
      </c>
      <c r="Z299" s="3" t="s">
        <v>93</v>
      </c>
      <c r="AC299" s="1" t="s">
        <v>171</v>
      </c>
      <c r="AD299" s="1"/>
      <c r="AE299" s="39" t="s">
        <v>42</v>
      </c>
    </row>
    <row r="300" spans="1:35" x14ac:dyDescent="0.25">
      <c r="C300" s="53"/>
      <c r="D300" s="54"/>
      <c r="E300" s="59"/>
      <c r="F300" s="54"/>
      <c r="G300" s="54"/>
      <c r="H300" s="59"/>
      <c r="I300" s="54"/>
      <c r="J300" s="3"/>
      <c r="K300" s="20"/>
      <c r="L300" s="54"/>
      <c r="M300" s="3"/>
      <c r="N300" s="28"/>
      <c r="O300" s="3"/>
      <c r="P300" s="34"/>
      <c r="R300" s="5"/>
      <c r="S300" s="34"/>
      <c r="U300" s="5"/>
      <c r="V300" s="34"/>
      <c r="X300" s="3"/>
      <c r="Y300" s="3"/>
      <c r="Z300" s="3"/>
      <c r="AI300" s="91" t="e">
        <f>AI296-V293</f>
        <v>#REF!</v>
      </c>
    </row>
    <row r="301" spans="1:35" x14ac:dyDescent="0.25">
      <c r="A301" t="s">
        <v>16</v>
      </c>
      <c r="B301" t="s">
        <v>43</v>
      </c>
      <c r="C301" s="55" t="e">
        <f>#REF!</f>
        <v>#REF!</v>
      </c>
      <c r="D301" s="56" t="e">
        <f>#REF!</f>
        <v>#REF!</v>
      </c>
      <c r="E301" s="60"/>
      <c r="F301" s="68">
        <v>0</v>
      </c>
      <c r="G301" s="34">
        <v>0</v>
      </c>
      <c r="H301" s="38"/>
      <c r="I301" s="55">
        <f>550+300</f>
        <v>850</v>
      </c>
      <c r="J301" s="34">
        <f>20269.95+10280.95</f>
        <v>30550.9</v>
      </c>
      <c r="K301" s="38"/>
      <c r="L301" s="5"/>
      <c r="M301" s="34"/>
      <c r="O301" s="76"/>
      <c r="P301" s="34"/>
      <c r="R301" s="5"/>
      <c r="S301" s="34"/>
      <c r="U301" s="55" t="e">
        <f>+C301+F301+I301+L301+O301+R301</f>
        <v>#REF!</v>
      </c>
      <c r="V301" s="34" t="e">
        <f>+D301+G301+J301+M301+P301+S301</f>
        <v>#REF!</v>
      </c>
      <c r="X301" s="81" t="e">
        <f>U301</f>
        <v>#REF!</v>
      </c>
      <c r="Y301" s="82">
        <v>31.45</v>
      </c>
      <c r="Z301" s="34" t="e">
        <f>X301*Y301</f>
        <v>#REF!</v>
      </c>
      <c r="AA301" s="84" t="e">
        <f>Z301</f>
        <v>#REF!</v>
      </c>
      <c r="AB301" s="84"/>
      <c r="AC301" t="s">
        <v>16</v>
      </c>
      <c r="AE301" t="s">
        <v>43</v>
      </c>
    </row>
    <row r="302" spans="1:35" x14ac:dyDescent="0.25">
      <c r="A302" t="s">
        <v>188</v>
      </c>
      <c r="B302" t="s">
        <v>44</v>
      </c>
      <c r="C302" s="55">
        <v>10000</v>
      </c>
      <c r="D302" s="56">
        <v>27935.43</v>
      </c>
      <c r="E302" s="60"/>
      <c r="F302" s="68">
        <v>0</v>
      </c>
      <c r="G302" s="34">
        <v>0</v>
      </c>
      <c r="H302" s="38"/>
      <c r="I302" s="55"/>
      <c r="J302" s="34"/>
      <c r="K302" s="38"/>
      <c r="L302" s="5">
        <v>-9000</v>
      </c>
      <c r="M302" s="34">
        <v>-5993.54</v>
      </c>
      <c r="O302" s="76"/>
      <c r="P302" s="34"/>
      <c r="R302" s="5">
        <v>8000</v>
      </c>
      <c r="S302" s="34">
        <v>3200</v>
      </c>
      <c r="U302" s="55">
        <f t="shared" ref="U302:V321" si="184">+C302+F302+I302+L302+O302+R302</f>
        <v>9000</v>
      </c>
      <c r="V302" s="34">
        <f t="shared" si="184"/>
        <v>25141.89</v>
      </c>
      <c r="X302" s="81">
        <v>9000</v>
      </c>
      <c r="Y302" s="86">
        <v>0.3</v>
      </c>
      <c r="Z302" s="34">
        <f t="shared" ref="Z302:Z321" si="185">X302*Y302</f>
        <v>2700</v>
      </c>
      <c r="AA302" s="84">
        <f t="shared" ref="AA302:AA321" si="186">Z302</f>
        <v>2700</v>
      </c>
      <c r="AB302" s="84"/>
      <c r="AC302" t="s">
        <v>188</v>
      </c>
      <c r="AE302" t="s">
        <v>44</v>
      </c>
    </row>
    <row r="303" spans="1:35" x14ac:dyDescent="0.25">
      <c r="A303" t="s">
        <v>18</v>
      </c>
      <c r="B303" t="s">
        <v>60</v>
      </c>
      <c r="C303" s="55" t="e">
        <f>#REF!</f>
        <v>#REF!</v>
      </c>
      <c r="D303" s="56" t="e">
        <f>#REF!</f>
        <v>#REF!</v>
      </c>
      <c r="E303" s="60"/>
      <c r="F303" s="55">
        <f>92+78</f>
        <v>170</v>
      </c>
      <c r="G303" s="34">
        <f>4368.16+3807.18</f>
        <v>8175.34</v>
      </c>
      <c r="H303" s="38"/>
      <c r="I303" s="55">
        <v>500</v>
      </c>
      <c r="J303" s="34">
        <f>4952.95+19857.95</f>
        <v>24810.9</v>
      </c>
      <c r="K303" s="38"/>
      <c r="L303" s="5"/>
      <c r="M303" s="34"/>
      <c r="O303" s="76"/>
      <c r="P303" s="34"/>
      <c r="R303" s="5"/>
      <c r="S303" s="34"/>
      <c r="U303" s="55" t="e">
        <f t="shared" si="184"/>
        <v>#REF!</v>
      </c>
      <c r="V303" s="34" t="e">
        <f t="shared" si="184"/>
        <v>#REF!</v>
      </c>
      <c r="X303" s="81" t="e">
        <f t="shared" ref="X303:X321" si="187">U303</f>
        <v>#REF!</v>
      </c>
      <c r="Y303" s="86">
        <v>53.1</v>
      </c>
      <c r="Z303" s="34" t="e">
        <f t="shared" si="185"/>
        <v>#REF!</v>
      </c>
      <c r="AA303" s="84" t="e">
        <f t="shared" si="186"/>
        <v>#REF!</v>
      </c>
      <c r="AB303" s="84"/>
      <c r="AC303" t="s">
        <v>18</v>
      </c>
      <c r="AE303" t="s">
        <v>60</v>
      </c>
    </row>
    <row r="304" spans="1:35" x14ac:dyDescent="0.25">
      <c r="A304" t="s">
        <v>189</v>
      </c>
      <c r="B304" t="s">
        <v>45</v>
      </c>
      <c r="C304" s="55" t="e">
        <f>#REF!</f>
        <v>#REF!</v>
      </c>
      <c r="D304" s="56" t="e">
        <f>#REF!</f>
        <v>#REF!</v>
      </c>
      <c r="E304" s="60"/>
      <c r="F304" s="55">
        <f>49+68</f>
        <v>117</v>
      </c>
      <c r="G304" s="34">
        <f>575.75+805.8</f>
        <v>1381.55</v>
      </c>
      <c r="H304" s="38"/>
      <c r="I304" s="55"/>
      <c r="J304" s="34"/>
      <c r="K304" s="38"/>
      <c r="L304" s="5"/>
      <c r="M304" s="34"/>
      <c r="O304" s="76"/>
      <c r="P304" s="34"/>
      <c r="R304" s="5"/>
      <c r="S304" s="34"/>
      <c r="U304" s="55" t="e">
        <f t="shared" si="184"/>
        <v>#REF!</v>
      </c>
      <c r="V304" s="34" t="e">
        <f t="shared" si="184"/>
        <v>#REF!</v>
      </c>
      <c r="X304" s="81" t="e">
        <f t="shared" si="187"/>
        <v>#REF!</v>
      </c>
      <c r="Y304" s="86">
        <v>13.38</v>
      </c>
      <c r="Z304" s="34" t="e">
        <f t="shared" si="185"/>
        <v>#REF!</v>
      </c>
      <c r="AA304" s="84" t="e">
        <f t="shared" si="186"/>
        <v>#REF!</v>
      </c>
      <c r="AB304" s="84"/>
      <c r="AC304" t="s">
        <v>189</v>
      </c>
      <c r="AE304" t="s">
        <v>45</v>
      </c>
    </row>
    <row r="305" spans="1:31" x14ac:dyDescent="0.25">
      <c r="A305" t="s">
        <v>230</v>
      </c>
      <c r="B305" t="s">
        <v>228</v>
      </c>
      <c r="C305" s="55"/>
      <c r="D305" s="56"/>
      <c r="E305" s="60"/>
      <c r="F305" s="55">
        <v>0</v>
      </c>
      <c r="G305" s="34">
        <v>0</v>
      </c>
      <c r="H305" s="38"/>
      <c r="I305" s="55">
        <v>300</v>
      </c>
      <c r="J305" s="34">
        <v>9075.34</v>
      </c>
      <c r="K305" s="38"/>
      <c r="L305" s="5"/>
      <c r="M305" s="34"/>
      <c r="O305" s="76"/>
      <c r="P305" s="34"/>
      <c r="R305" s="5"/>
      <c r="S305" s="34"/>
      <c r="U305" s="55">
        <f t="shared" si="184"/>
        <v>300</v>
      </c>
      <c r="V305" s="34">
        <f t="shared" si="184"/>
        <v>9075.34</v>
      </c>
      <c r="X305" s="81">
        <f t="shared" si="187"/>
        <v>300</v>
      </c>
      <c r="Y305" s="86">
        <v>39.42</v>
      </c>
      <c r="Z305" s="34">
        <f t="shared" si="185"/>
        <v>11826</v>
      </c>
      <c r="AA305" s="84">
        <f t="shared" si="186"/>
        <v>11826</v>
      </c>
      <c r="AB305" s="84"/>
    </row>
    <row r="306" spans="1:31" x14ac:dyDescent="0.25">
      <c r="A306" t="s">
        <v>20</v>
      </c>
      <c r="B306" t="s">
        <v>46</v>
      </c>
      <c r="C306" s="55" t="e">
        <f>#REF!</f>
        <v>#REF!</v>
      </c>
      <c r="D306" s="56" t="e">
        <f>#REF!</f>
        <v>#REF!</v>
      </c>
      <c r="E306" s="60"/>
      <c r="F306" s="55">
        <v>17</v>
      </c>
      <c r="G306" s="34">
        <v>49.64</v>
      </c>
      <c r="H306" s="38"/>
      <c r="I306" s="55"/>
      <c r="J306" s="34"/>
      <c r="K306" s="38"/>
      <c r="L306" s="5"/>
      <c r="M306" s="34"/>
      <c r="O306" s="76"/>
      <c r="P306" s="34"/>
      <c r="R306" s="5"/>
      <c r="S306" s="34"/>
      <c r="U306" s="55" t="e">
        <f t="shared" si="184"/>
        <v>#REF!</v>
      </c>
      <c r="V306" s="34" t="e">
        <f t="shared" si="184"/>
        <v>#REF!</v>
      </c>
      <c r="X306" s="81" t="e">
        <f t="shared" si="187"/>
        <v>#REF!</v>
      </c>
      <c r="Y306" s="86">
        <v>3.01</v>
      </c>
      <c r="Z306" s="34" t="e">
        <f t="shared" si="185"/>
        <v>#REF!</v>
      </c>
      <c r="AA306" s="84" t="e">
        <f t="shared" si="186"/>
        <v>#REF!</v>
      </c>
      <c r="AB306" s="84"/>
      <c r="AC306" t="s">
        <v>20</v>
      </c>
      <c r="AE306" t="s">
        <v>46</v>
      </c>
    </row>
    <row r="307" spans="1:31" x14ac:dyDescent="0.25">
      <c r="A307" t="s">
        <v>21</v>
      </c>
      <c r="B307" t="s">
        <v>47</v>
      </c>
      <c r="C307" s="55" t="e">
        <f>#REF!</f>
        <v>#REF!</v>
      </c>
      <c r="D307" s="56" t="e">
        <f>#REF!</f>
        <v>#REF!</v>
      </c>
      <c r="E307" s="60"/>
      <c r="F307" s="55">
        <v>0</v>
      </c>
      <c r="G307" s="34">
        <v>0</v>
      </c>
      <c r="H307" s="38"/>
      <c r="I307" s="55"/>
      <c r="J307" s="34"/>
      <c r="K307" s="38"/>
      <c r="L307" s="5"/>
      <c r="M307" s="34"/>
      <c r="O307" s="76">
        <v>-1101</v>
      </c>
      <c r="P307" s="34">
        <v>-5091.2</v>
      </c>
      <c r="R307" s="5"/>
      <c r="S307" s="34"/>
      <c r="U307" s="55" t="e">
        <f t="shared" si="184"/>
        <v>#REF!</v>
      </c>
      <c r="V307" s="34" t="e">
        <f t="shared" si="184"/>
        <v>#REF!</v>
      </c>
      <c r="X307" s="81" t="e">
        <f t="shared" si="187"/>
        <v>#REF!</v>
      </c>
      <c r="Y307" s="86">
        <v>0</v>
      </c>
      <c r="Z307" s="34" t="e">
        <f t="shared" si="185"/>
        <v>#REF!</v>
      </c>
      <c r="AA307" s="84" t="e">
        <f t="shared" si="186"/>
        <v>#REF!</v>
      </c>
      <c r="AB307" s="84"/>
      <c r="AC307" t="s">
        <v>21</v>
      </c>
      <c r="AE307" t="s">
        <v>47</v>
      </c>
    </row>
    <row r="308" spans="1:31" x14ac:dyDescent="0.25">
      <c r="A308" t="s">
        <v>22</v>
      </c>
      <c r="B308" t="s">
        <v>56</v>
      </c>
      <c r="C308" s="55" t="e">
        <f>#REF!</f>
        <v>#REF!</v>
      </c>
      <c r="D308" s="56" t="e">
        <f>#REF!</f>
        <v>#REF!</v>
      </c>
      <c r="E308" s="60"/>
      <c r="F308" s="55">
        <v>0</v>
      </c>
      <c r="G308" s="34">
        <v>0</v>
      </c>
      <c r="H308" s="38"/>
      <c r="I308" s="55"/>
      <c r="J308" s="34"/>
      <c r="K308" s="38"/>
      <c r="L308" s="5"/>
      <c r="M308" s="34"/>
      <c r="O308" s="76"/>
      <c r="P308" s="34"/>
      <c r="R308" s="55"/>
      <c r="S308" s="34"/>
      <c r="U308" s="55" t="e">
        <f t="shared" si="184"/>
        <v>#REF!</v>
      </c>
      <c r="V308" s="34" t="e">
        <f t="shared" si="184"/>
        <v>#REF!</v>
      </c>
      <c r="X308" s="81" t="e">
        <f t="shared" si="187"/>
        <v>#REF!</v>
      </c>
      <c r="Y308" s="86">
        <v>2E-3</v>
      </c>
      <c r="Z308" s="34" t="e">
        <f t="shared" si="185"/>
        <v>#REF!</v>
      </c>
      <c r="AA308" s="84" t="e">
        <f t="shared" si="186"/>
        <v>#REF!</v>
      </c>
      <c r="AB308" s="84"/>
      <c r="AC308" t="s">
        <v>22</v>
      </c>
      <c r="AE308" t="s">
        <v>56</v>
      </c>
    </row>
    <row r="309" spans="1:31" x14ac:dyDescent="0.25">
      <c r="A309" t="s">
        <v>23</v>
      </c>
      <c r="B309" t="s">
        <v>48</v>
      </c>
      <c r="C309" s="55" t="e">
        <f>#REF!</f>
        <v>#REF!</v>
      </c>
      <c r="D309" s="56" t="e">
        <f>#REF!</f>
        <v>#REF!</v>
      </c>
      <c r="E309" s="60"/>
      <c r="F309" s="55">
        <v>28</v>
      </c>
      <c r="G309" s="34">
        <f>2.67+91.75-1.37</f>
        <v>93.05</v>
      </c>
      <c r="H309" s="38"/>
      <c r="I309" s="55"/>
      <c r="J309" s="34"/>
      <c r="K309" s="38"/>
      <c r="L309" s="5"/>
      <c r="M309" s="34"/>
      <c r="O309" s="76"/>
      <c r="P309" s="34"/>
      <c r="R309" s="5"/>
      <c r="S309" s="34"/>
      <c r="U309" s="55" t="e">
        <f t="shared" si="184"/>
        <v>#REF!</v>
      </c>
      <c r="V309" s="34" t="e">
        <f t="shared" si="184"/>
        <v>#REF!</v>
      </c>
      <c r="X309" s="81" t="e">
        <f t="shared" si="187"/>
        <v>#REF!</v>
      </c>
      <c r="Y309" s="86">
        <v>3.48</v>
      </c>
      <c r="Z309" s="34" t="e">
        <f t="shared" si="185"/>
        <v>#REF!</v>
      </c>
      <c r="AA309" s="84" t="e">
        <f t="shared" si="186"/>
        <v>#REF!</v>
      </c>
      <c r="AB309" s="84"/>
      <c r="AC309" t="s">
        <v>23</v>
      </c>
      <c r="AE309" t="s">
        <v>48</v>
      </c>
    </row>
    <row r="310" spans="1:31" x14ac:dyDescent="0.25">
      <c r="A310" t="s">
        <v>24</v>
      </c>
      <c r="B310" t="s">
        <v>49</v>
      </c>
      <c r="C310" s="55" t="e">
        <f>#REF!</f>
        <v>#REF!</v>
      </c>
      <c r="D310" s="56" t="e">
        <f>#REF!</f>
        <v>#REF!</v>
      </c>
      <c r="E310" s="60"/>
      <c r="F310" s="55">
        <v>87</v>
      </c>
      <c r="G310" s="34">
        <f>131.15+132.44</f>
        <v>263.59000000000003</v>
      </c>
      <c r="H310" s="38"/>
      <c r="I310" s="55"/>
      <c r="J310" s="34"/>
      <c r="K310" s="38"/>
      <c r="L310" s="5"/>
      <c r="M310" s="34"/>
      <c r="O310" s="76"/>
      <c r="P310" s="34"/>
      <c r="R310" s="5"/>
      <c r="S310" s="34"/>
      <c r="U310" s="55" t="e">
        <f t="shared" si="184"/>
        <v>#REF!</v>
      </c>
      <c r="V310" s="34" t="e">
        <f t="shared" si="184"/>
        <v>#REF!</v>
      </c>
      <c r="X310" s="81" t="e">
        <f t="shared" si="187"/>
        <v>#REF!</v>
      </c>
      <c r="Y310" s="86">
        <v>2.82</v>
      </c>
      <c r="Z310" s="34" t="e">
        <f t="shared" si="185"/>
        <v>#REF!</v>
      </c>
      <c r="AA310" s="84" t="e">
        <f t="shared" si="186"/>
        <v>#REF!</v>
      </c>
      <c r="AB310" s="84"/>
      <c r="AC310" t="s">
        <v>24</v>
      </c>
      <c r="AE310" t="s">
        <v>49</v>
      </c>
    </row>
    <row r="311" spans="1:31" x14ac:dyDescent="0.25">
      <c r="A311" t="s">
        <v>25</v>
      </c>
      <c r="B311" t="s">
        <v>75</v>
      </c>
      <c r="C311" s="55" t="e">
        <f>#REF!</f>
        <v>#REF!</v>
      </c>
      <c r="D311" s="56" t="e">
        <f>#REF!</f>
        <v>#REF!</v>
      </c>
      <c r="E311" s="60"/>
      <c r="F311" s="55">
        <v>0</v>
      </c>
      <c r="G311" s="34">
        <v>0</v>
      </c>
      <c r="H311" s="38"/>
      <c r="I311" s="55"/>
      <c r="J311" s="34"/>
      <c r="K311" s="38"/>
      <c r="L311" s="5"/>
      <c r="M311" s="34"/>
      <c r="O311" s="76"/>
      <c r="P311" s="34"/>
      <c r="R311" s="5"/>
      <c r="S311" s="34"/>
      <c r="U311" s="55" t="e">
        <f t="shared" si="184"/>
        <v>#REF!</v>
      </c>
      <c r="V311" s="34" t="e">
        <f t="shared" si="184"/>
        <v>#REF!</v>
      </c>
      <c r="X311" s="81" t="e">
        <f t="shared" si="187"/>
        <v>#REF!</v>
      </c>
      <c r="Y311" s="86">
        <v>23.54</v>
      </c>
      <c r="Z311" s="34" t="e">
        <f t="shared" si="185"/>
        <v>#REF!</v>
      </c>
      <c r="AA311" s="84" t="e">
        <f t="shared" si="186"/>
        <v>#REF!</v>
      </c>
      <c r="AB311" s="84"/>
      <c r="AC311" t="s">
        <v>25</v>
      </c>
      <c r="AE311" t="s">
        <v>75</v>
      </c>
    </row>
    <row r="312" spans="1:31" x14ac:dyDescent="0.25">
      <c r="A312" t="s">
        <v>26</v>
      </c>
      <c r="B312" t="s">
        <v>50</v>
      </c>
      <c r="C312" s="55" t="e">
        <f>#REF!</f>
        <v>#REF!</v>
      </c>
      <c r="D312" s="56" t="e">
        <f>#REF!</f>
        <v>#REF!</v>
      </c>
      <c r="E312" s="60"/>
      <c r="F312" s="55">
        <v>0</v>
      </c>
      <c r="G312" s="34">
        <v>0</v>
      </c>
      <c r="H312" s="38"/>
      <c r="I312" s="55"/>
      <c r="J312" s="34"/>
      <c r="K312" s="38"/>
      <c r="L312" s="5"/>
      <c r="M312" s="34"/>
      <c r="O312" s="76"/>
      <c r="P312" s="34"/>
      <c r="R312" s="5"/>
      <c r="S312" s="34"/>
      <c r="U312" s="55" t="e">
        <f t="shared" si="184"/>
        <v>#REF!</v>
      </c>
      <c r="V312" s="34" t="e">
        <f t="shared" si="184"/>
        <v>#REF!</v>
      </c>
      <c r="X312" s="81" t="e">
        <f t="shared" si="187"/>
        <v>#REF!</v>
      </c>
      <c r="Y312" s="86">
        <v>24.69</v>
      </c>
      <c r="Z312" s="34" t="e">
        <f t="shared" si="185"/>
        <v>#REF!</v>
      </c>
      <c r="AA312" s="84" t="e">
        <f t="shared" si="186"/>
        <v>#REF!</v>
      </c>
      <c r="AB312" s="84"/>
      <c r="AC312" t="s">
        <v>26</v>
      </c>
      <c r="AE312" t="s">
        <v>50</v>
      </c>
    </row>
    <row r="313" spans="1:31" x14ac:dyDescent="0.25">
      <c r="A313" t="s">
        <v>232</v>
      </c>
      <c r="B313" t="s">
        <v>232</v>
      </c>
      <c r="C313" s="55"/>
      <c r="D313" s="56"/>
      <c r="E313" s="60"/>
      <c r="F313" s="55"/>
      <c r="G313" s="34"/>
      <c r="H313" s="38"/>
      <c r="I313" s="55">
        <v>750</v>
      </c>
      <c r="J313" s="34">
        <f>3487.4+6402.55</f>
        <v>9889.9500000000007</v>
      </c>
      <c r="K313" s="38"/>
      <c r="L313" s="5"/>
      <c r="M313" s="34"/>
      <c r="O313" s="76"/>
      <c r="P313" s="34"/>
      <c r="R313" s="5"/>
      <c r="S313" s="34"/>
      <c r="U313" s="55">
        <f t="shared" si="184"/>
        <v>750</v>
      </c>
      <c r="V313" s="34">
        <f t="shared" si="184"/>
        <v>9889.9500000000007</v>
      </c>
      <c r="X313" s="81">
        <f t="shared" si="187"/>
        <v>750</v>
      </c>
      <c r="Y313" s="86">
        <v>13.38</v>
      </c>
      <c r="Z313" s="34">
        <f t="shared" si="185"/>
        <v>10035</v>
      </c>
      <c r="AA313" s="84">
        <f t="shared" si="186"/>
        <v>10035</v>
      </c>
      <c r="AB313" s="84"/>
    </row>
    <row r="314" spans="1:31" x14ac:dyDescent="0.25">
      <c r="A314" t="s">
        <v>27</v>
      </c>
      <c r="B314" t="s">
        <v>51</v>
      </c>
      <c r="C314" s="55" t="e">
        <f>#REF!</f>
        <v>#REF!</v>
      </c>
      <c r="D314" s="56" t="e">
        <f>#REF!</f>
        <v>#REF!</v>
      </c>
      <c r="E314" s="60"/>
      <c r="F314" s="55">
        <f>10+20</f>
        <v>30</v>
      </c>
      <c r="G314" s="34">
        <f>711.74+1286.45</f>
        <v>1998.19</v>
      </c>
      <c r="H314" s="38"/>
      <c r="I314" s="55"/>
      <c r="J314" s="34"/>
      <c r="K314" s="38"/>
      <c r="L314" s="5"/>
      <c r="M314" s="34"/>
      <c r="O314" s="76"/>
      <c r="P314" s="34"/>
      <c r="R314" s="5"/>
      <c r="S314" s="34"/>
      <c r="U314" s="55" t="e">
        <f t="shared" si="184"/>
        <v>#REF!</v>
      </c>
      <c r="V314" s="34" t="e">
        <f t="shared" si="184"/>
        <v>#REF!</v>
      </c>
      <c r="X314" s="81" t="e">
        <f t="shared" si="187"/>
        <v>#REF!</v>
      </c>
      <c r="Y314" s="86">
        <v>56.5</v>
      </c>
      <c r="Z314" s="34" t="e">
        <f t="shared" si="185"/>
        <v>#REF!</v>
      </c>
      <c r="AA314" s="84" t="e">
        <f t="shared" si="186"/>
        <v>#REF!</v>
      </c>
      <c r="AB314" s="84"/>
      <c r="AC314" t="s">
        <v>27</v>
      </c>
      <c r="AE314" t="s">
        <v>51</v>
      </c>
    </row>
    <row r="315" spans="1:31" x14ac:dyDescent="0.25">
      <c r="A315" t="s">
        <v>28</v>
      </c>
      <c r="B315" t="s">
        <v>52</v>
      </c>
      <c r="C315" s="55" t="e">
        <f>#REF!</f>
        <v>#REF!</v>
      </c>
      <c r="D315" s="56" t="e">
        <f>#REF!</f>
        <v>#REF!</v>
      </c>
      <c r="E315" s="60"/>
      <c r="F315" s="55">
        <v>0</v>
      </c>
      <c r="G315" s="34">
        <v>0</v>
      </c>
      <c r="H315" s="38"/>
      <c r="I315" s="55"/>
      <c r="J315" s="34"/>
      <c r="K315" s="38"/>
      <c r="L315" s="5"/>
      <c r="M315" s="34"/>
      <c r="O315" s="76"/>
      <c r="P315" s="34"/>
      <c r="R315" s="5"/>
      <c r="S315" s="34"/>
      <c r="U315" s="55" t="e">
        <f t="shared" si="184"/>
        <v>#REF!</v>
      </c>
      <c r="V315" s="34" t="e">
        <f t="shared" si="184"/>
        <v>#REF!</v>
      </c>
      <c r="X315" s="81" t="e">
        <f t="shared" si="187"/>
        <v>#REF!</v>
      </c>
      <c r="Y315" s="86">
        <v>3.69</v>
      </c>
      <c r="Z315" s="34" t="e">
        <f t="shared" si="185"/>
        <v>#REF!</v>
      </c>
      <c r="AA315" s="84" t="e">
        <f t="shared" si="186"/>
        <v>#REF!</v>
      </c>
      <c r="AB315" s="84"/>
      <c r="AC315" t="s">
        <v>28</v>
      </c>
      <c r="AE315" t="s">
        <v>52</v>
      </c>
    </row>
    <row r="316" spans="1:31" x14ac:dyDescent="0.25">
      <c r="A316" t="s">
        <v>29</v>
      </c>
      <c r="B316" t="s">
        <v>76</v>
      </c>
      <c r="C316" s="55" t="e">
        <f>#REF!</f>
        <v>#REF!</v>
      </c>
      <c r="D316" s="56" t="e">
        <f>#REF!</f>
        <v>#REF!</v>
      </c>
      <c r="E316" s="60"/>
      <c r="F316" s="55">
        <v>0</v>
      </c>
      <c r="G316" s="34">
        <v>0</v>
      </c>
      <c r="H316" s="38"/>
      <c r="I316" s="55"/>
      <c r="J316" s="34"/>
      <c r="K316" s="38"/>
      <c r="L316" s="5"/>
      <c r="M316" s="34"/>
      <c r="O316" s="76"/>
      <c r="P316" s="34"/>
      <c r="R316" s="5"/>
      <c r="S316" s="34"/>
      <c r="U316" s="55" t="e">
        <f t="shared" si="184"/>
        <v>#REF!</v>
      </c>
      <c r="V316" s="34" t="e">
        <f t="shared" si="184"/>
        <v>#REF!</v>
      </c>
      <c r="X316" s="81" t="e">
        <f t="shared" si="187"/>
        <v>#REF!</v>
      </c>
      <c r="Y316" s="86">
        <v>4.3499999999999996</v>
      </c>
      <c r="Z316" s="34" t="e">
        <f t="shared" si="185"/>
        <v>#REF!</v>
      </c>
      <c r="AA316" s="84" t="e">
        <f t="shared" si="186"/>
        <v>#REF!</v>
      </c>
      <c r="AB316" s="84"/>
      <c r="AC316" t="s">
        <v>29</v>
      </c>
      <c r="AE316" t="s">
        <v>76</v>
      </c>
    </row>
    <row r="317" spans="1:31" x14ac:dyDescent="0.25">
      <c r="A317" t="s">
        <v>32</v>
      </c>
      <c r="B317" t="s">
        <v>53</v>
      </c>
      <c r="C317" s="55" t="e">
        <f>#REF!</f>
        <v>#REF!</v>
      </c>
      <c r="D317" s="56" t="e">
        <f>#REF!</f>
        <v>#REF!</v>
      </c>
      <c r="E317" s="60"/>
      <c r="F317" s="55">
        <f>29+35</f>
        <v>64</v>
      </c>
      <c r="G317" s="34">
        <f>631.62+711.2</f>
        <v>1342.8200000000002</v>
      </c>
      <c r="H317" s="38"/>
      <c r="I317" s="55"/>
      <c r="J317" s="34"/>
      <c r="K317" s="38"/>
      <c r="L317" s="5"/>
      <c r="M317" s="34"/>
      <c r="O317" s="76"/>
      <c r="P317" s="34"/>
      <c r="R317" s="5"/>
      <c r="S317" s="34"/>
      <c r="U317" s="55" t="e">
        <f t="shared" si="184"/>
        <v>#REF!</v>
      </c>
      <c r="V317" s="34" t="e">
        <f t="shared" si="184"/>
        <v>#REF!</v>
      </c>
      <c r="X317" s="81" t="e">
        <f t="shared" si="187"/>
        <v>#REF!</v>
      </c>
      <c r="Y317" s="86">
        <v>21.13</v>
      </c>
      <c r="Z317" s="34" t="e">
        <f t="shared" si="185"/>
        <v>#REF!</v>
      </c>
      <c r="AA317" s="84" t="e">
        <f t="shared" si="186"/>
        <v>#REF!</v>
      </c>
      <c r="AB317" s="84"/>
      <c r="AC317" t="s">
        <v>32</v>
      </c>
      <c r="AE317" t="s">
        <v>53</v>
      </c>
    </row>
    <row r="318" spans="1:31" x14ac:dyDescent="0.25">
      <c r="A318" t="s">
        <v>233</v>
      </c>
      <c r="C318" s="55"/>
      <c r="D318" s="56"/>
      <c r="E318" s="60"/>
      <c r="F318" s="55"/>
      <c r="G318" s="34"/>
      <c r="H318" s="38"/>
      <c r="I318" s="55">
        <v>300</v>
      </c>
      <c r="J318" s="34">
        <v>30000</v>
      </c>
      <c r="K318" s="38"/>
      <c r="L318" s="5"/>
      <c r="M318" s="34"/>
      <c r="O318" s="76"/>
      <c r="P318" s="34"/>
      <c r="R318" s="5"/>
      <c r="S318" s="34"/>
      <c r="U318" s="55">
        <f t="shared" si="184"/>
        <v>300</v>
      </c>
      <c r="V318" s="34">
        <f t="shared" si="184"/>
        <v>30000</v>
      </c>
      <c r="X318" s="81">
        <f t="shared" si="187"/>
        <v>300</v>
      </c>
      <c r="Y318" s="86">
        <v>98.99</v>
      </c>
      <c r="Z318" s="34">
        <f t="shared" si="185"/>
        <v>29697</v>
      </c>
      <c r="AA318" s="84">
        <f t="shared" si="186"/>
        <v>29697</v>
      </c>
      <c r="AB318" s="84"/>
    </row>
    <row r="319" spans="1:31" x14ac:dyDescent="0.25">
      <c r="A319" t="s">
        <v>231</v>
      </c>
      <c r="B319" t="s">
        <v>229</v>
      </c>
      <c r="C319" s="55"/>
      <c r="D319" s="56"/>
      <c r="E319" s="60"/>
      <c r="F319" s="55">
        <v>17</v>
      </c>
      <c r="G319" s="34">
        <f>273.83+231.3</f>
        <v>505.13</v>
      </c>
      <c r="H319" s="38"/>
      <c r="I319" s="55">
        <v>325</v>
      </c>
      <c r="J319" s="34">
        <v>10205.700000000001</v>
      </c>
      <c r="K319" s="38"/>
      <c r="L319" s="5"/>
      <c r="M319" s="34"/>
      <c r="O319" s="76"/>
      <c r="P319" s="34"/>
      <c r="R319" s="5"/>
      <c r="S319" s="34"/>
      <c r="U319" s="55">
        <f t="shared" si="184"/>
        <v>342</v>
      </c>
      <c r="V319" s="34">
        <f t="shared" si="184"/>
        <v>10710.83</v>
      </c>
      <c r="X319" s="81">
        <f t="shared" si="187"/>
        <v>342</v>
      </c>
      <c r="Y319" s="86">
        <v>29.9</v>
      </c>
      <c r="Z319" s="34">
        <f t="shared" si="185"/>
        <v>10225.799999999999</v>
      </c>
      <c r="AA319" s="84">
        <f t="shared" si="186"/>
        <v>10225.799999999999</v>
      </c>
      <c r="AB319" s="84"/>
    </row>
    <row r="320" spans="1:31" x14ac:dyDescent="0.25">
      <c r="A320" t="s">
        <v>30</v>
      </c>
      <c r="B320" t="s">
        <v>55</v>
      </c>
      <c r="C320" s="55" t="e">
        <f>#REF!</f>
        <v>#REF!</v>
      </c>
      <c r="D320" s="56" t="e">
        <f>#REF!</f>
        <v>#REF!</v>
      </c>
      <c r="E320" s="60"/>
      <c r="F320" s="55">
        <v>21</v>
      </c>
      <c r="G320" s="34">
        <f>368.39+348.8</f>
        <v>717.19</v>
      </c>
      <c r="H320" s="38"/>
      <c r="I320" s="55"/>
      <c r="J320" s="34"/>
      <c r="K320" s="38"/>
      <c r="L320" s="5"/>
      <c r="M320" s="34"/>
      <c r="O320" s="76"/>
      <c r="P320" s="34"/>
      <c r="R320" s="5"/>
      <c r="S320" s="34"/>
      <c r="U320" s="55" t="e">
        <f t="shared" si="184"/>
        <v>#REF!</v>
      </c>
      <c r="V320" s="34" t="e">
        <f t="shared" si="184"/>
        <v>#REF!</v>
      </c>
      <c r="X320" s="81" t="e">
        <f t="shared" si="187"/>
        <v>#REF!</v>
      </c>
      <c r="Y320" s="86">
        <v>31.02</v>
      </c>
      <c r="Z320" s="34" t="e">
        <f t="shared" si="185"/>
        <v>#REF!</v>
      </c>
      <c r="AA320" s="84" t="e">
        <f t="shared" si="186"/>
        <v>#REF!</v>
      </c>
      <c r="AB320" s="84"/>
      <c r="AC320" t="s">
        <v>30</v>
      </c>
      <c r="AE320" t="s">
        <v>55</v>
      </c>
    </row>
    <row r="321" spans="1:32" x14ac:dyDescent="0.25">
      <c r="A321" t="s">
        <v>31</v>
      </c>
      <c r="B321" t="s">
        <v>54</v>
      </c>
      <c r="C321" s="55" t="e">
        <f>#REF!</f>
        <v>#REF!</v>
      </c>
      <c r="D321" s="56" t="e">
        <f>#REF!</f>
        <v>#REF!</v>
      </c>
      <c r="E321" s="60"/>
      <c r="F321" s="55">
        <f>29+27</f>
        <v>56</v>
      </c>
      <c r="G321" s="34">
        <f>691.5+718.81</f>
        <v>1410.31</v>
      </c>
      <c r="H321" s="38"/>
      <c r="I321" s="55"/>
      <c r="J321" s="34"/>
      <c r="K321" s="38"/>
      <c r="L321" s="5"/>
      <c r="M321" s="34"/>
      <c r="O321" s="76"/>
      <c r="P321" s="34"/>
      <c r="R321" s="5"/>
      <c r="S321" s="34"/>
      <c r="U321" s="55" t="e">
        <f t="shared" si="184"/>
        <v>#REF!</v>
      </c>
      <c r="V321" s="34" t="e">
        <f t="shared" si="184"/>
        <v>#REF!</v>
      </c>
      <c r="X321" s="81" t="e">
        <f t="shared" si="187"/>
        <v>#REF!</v>
      </c>
      <c r="Y321" s="86">
        <v>26.8</v>
      </c>
      <c r="Z321" s="34" t="e">
        <f t="shared" si="185"/>
        <v>#REF!</v>
      </c>
      <c r="AA321" s="84" t="e">
        <f t="shared" si="186"/>
        <v>#REF!</v>
      </c>
      <c r="AB321" s="84"/>
      <c r="AC321" t="s">
        <v>31</v>
      </c>
      <c r="AE321" t="s">
        <v>54</v>
      </c>
    </row>
    <row r="322" spans="1:32" x14ac:dyDescent="0.25">
      <c r="C322" s="34"/>
      <c r="D322" s="57" t="e">
        <f>SUM(D301:D321)</f>
        <v>#REF!</v>
      </c>
      <c r="E322" s="61"/>
      <c r="F322" s="68"/>
      <c r="G322" s="57">
        <f>SUM(G301:G321)</f>
        <v>15936.809999999998</v>
      </c>
      <c r="H322" s="27"/>
      <c r="I322" s="68"/>
      <c r="J322" s="57">
        <f>SUM(J300:J321)</f>
        <v>114532.79</v>
      </c>
      <c r="K322" s="61"/>
      <c r="L322" s="34"/>
      <c r="M322" s="69">
        <f>SUM(M300:M321)</f>
        <v>-5993.54</v>
      </c>
      <c r="N322" s="38"/>
      <c r="O322" s="76"/>
      <c r="P322" s="34">
        <f>SUM(P300:P321)</f>
        <v>-5091.2</v>
      </c>
      <c r="R322" s="5"/>
      <c r="S322" s="34">
        <f>SUM(S300:S321)</f>
        <v>3200</v>
      </c>
      <c r="U322" s="5"/>
      <c r="V322" s="57" t="e">
        <f>SUM(V300:V321)</f>
        <v>#REF!</v>
      </c>
      <c r="X322" s="3"/>
      <c r="Y322" s="83"/>
      <c r="Z322" s="33" t="e">
        <f>SUM(Z301:Z321)</f>
        <v>#REF!</v>
      </c>
      <c r="AA322" s="64" t="e">
        <f>SUM(AA301:AA321)</f>
        <v>#REF!</v>
      </c>
      <c r="AB322" s="64"/>
    </row>
    <row r="323" spans="1:32" x14ac:dyDescent="0.25">
      <c r="C323" s="63" t="s">
        <v>176</v>
      </c>
      <c r="D323" s="64" t="e">
        <f>D322</f>
        <v>#REF!</v>
      </c>
      <c r="F323" s="63" t="s">
        <v>176</v>
      </c>
      <c r="G323" s="64">
        <f>G322</f>
        <v>15936.809999999998</v>
      </c>
      <c r="I323" s="63" t="s">
        <v>176</v>
      </c>
      <c r="J323" s="67">
        <f>J322</f>
        <v>114532.79</v>
      </c>
      <c r="K323" s="72"/>
      <c r="L323" s="63" t="s">
        <v>176</v>
      </c>
      <c r="M323" s="67">
        <f>M322</f>
        <v>-5993.54</v>
      </c>
      <c r="N323" s="70"/>
      <c r="O323" s="63" t="s">
        <v>176</v>
      </c>
      <c r="P323" s="67">
        <f>P322</f>
        <v>-5091.2</v>
      </c>
      <c r="R323" s="63" t="s">
        <v>176</v>
      </c>
      <c r="S323" s="67">
        <f>S322</f>
        <v>3200</v>
      </c>
      <c r="V323" s="2" t="e">
        <f>V322</f>
        <v>#REF!</v>
      </c>
      <c r="Z323" s="85" t="s">
        <v>176</v>
      </c>
      <c r="AA323" s="73"/>
      <c r="AB323" s="73"/>
    </row>
    <row r="324" spans="1:32" x14ac:dyDescent="0.25">
      <c r="A324" s="20"/>
      <c r="B324" s="20"/>
      <c r="C324" s="15"/>
      <c r="D324" s="15"/>
      <c r="E324" s="20"/>
      <c r="F324" s="20"/>
      <c r="O324" s="104"/>
      <c r="P324" s="105"/>
      <c r="R324" s="104"/>
      <c r="S324" s="106"/>
      <c r="U324" s="104"/>
      <c r="V324" s="105"/>
      <c r="X324" s="104"/>
      <c r="Y324" s="94"/>
      <c r="Z324" s="105"/>
      <c r="AC324" s="20"/>
      <c r="AD324" s="20"/>
      <c r="AE324" s="20"/>
    </row>
    <row r="325" spans="1:32" x14ac:dyDescent="0.25">
      <c r="A325" s="20"/>
      <c r="B325" s="20"/>
      <c r="C325" s="15"/>
      <c r="D325" s="15"/>
      <c r="E325" s="20"/>
      <c r="F325" s="20"/>
      <c r="O325" s="104"/>
      <c r="P325" s="105"/>
      <c r="R325" s="104"/>
      <c r="S325" s="106"/>
      <c r="U325" s="104"/>
      <c r="V325" s="105"/>
      <c r="X325" s="104"/>
      <c r="Y325" s="94"/>
      <c r="Z325" s="105"/>
      <c r="AC325" s="20"/>
      <c r="AD325" s="20"/>
      <c r="AE325" s="20"/>
    </row>
    <row r="326" spans="1:32" x14ac:dyDescent="0.25">
      <c r="A326" s="20"/>
      <c r="B326" s="20"/>
      <c r="C326" s="15"/>
      <c r="D326" s="15"/>
      <c r="E326" s="20"/>
      <c r="F326" s="20"/>
      <c r="O326" s="104"/>
      <c r="P326" s="105"/>
      <c r="R326" s="104"/>
      <c r="S326" s="106"/>
      <c r="U326" s="104"/>
      <c r="V326" s="105"/>
      <c r="X326" s="104"/>
      <c r="Y326" s="94"/>
      <c r="Z326" s="105"/>
      <c r="AC326" s="20"/>
      <c r="AD326" s="20"/>
      <c r="AE326" s="20"/>
    </row>
    <row r="327" spans="1:32" x14ac:dyDescent="0.25">
      <c r="A327" s="20"/>
      <c r="B327" s="20"/>
      <c r="C327" s="15"/>
      <c r="D327" s="15"/>
      <c r="E327" s="20"/>
      <c r="F327" s="20"/>
      <c r="O327" s="104"/>
      <c r="P327" s="105"/>
      <c r="R327" s="104"/>
      <c r="S327" s="106"/>
      <c r="U327" s="104"/>
      <c r="V327" s="105"/>
      <c r="X327" s="104"/>
      <c r="Y327" s="94"/>
      <c r="Z327" s="105"/>
      <c r="AC327" s="20"/>
      <c r="AD327" s="20"/>
      <c r="AE327" s="20"/>
    </row>
    <row r="328" spans="1:32" x14ac:dyDescent="0.25">
      <c r="A328" t="s">
        <v>170</v>
      </c>
      <c r="C328" s="51">
        <v>40359</v>
      </c>
      <c r="D328" s="51">
        <v>40359</v>
      </c>
      <c r="E328" s="48"/>
      <c r="F328" s="3" t="s">
        <v>174</v>
      </c>
      <c r="G328" s="3"/>
      <c r="H328" s="20"/>
      <c r="I328" s="32" t="s">
        <v>177</v>
      </c>
      <c r="J328" s="3"/>
      <c r="K328" s="20"/>
      <c r="L328" s="32" t="s">
        <v>181</v>
      </c>
      <c r="M328" s="3"/>
      <c r="O328" s="74" t="s">
        <v>182</v>
      </c>
      <c r="P328" s="71"/>
      <c r="R328" s="74" t="s">
        <v>185</v>
      </c>
      <c r="S328" s="75"/>
      <c r="U328" s="74" t="s">
        <v>187</v>
      </c>
      <c r="V328" s="71"/>
      <c r="X328" s="77">
        <v>40724</v>
      </c>
      <c r="Y328" s="80"/>
      <c r="Z328" s="71"/>
      <c r="AC328" t="s">
        <v>170</v>
      </c>
      <c r="AF328" s="50">
        <v>40724</v>
      </c>
    </row>
    <row r="329" spans="1:32" ht="30" x14ac:dyDescent="0.25">
      <c r="A329" s="1" t="s">
        <v>171</v>
      </c>
      <c r="B329" s="39" t="s">
        <v>42</v>
      </c>
      <c r="C329" s="52" t="s">
        <v>172</v>
      </c>
      <c r="D329" s="4" t="s">
        <v>173</v>
      </c>
      <c r="E329" s="58"/>
      <c r="F329" s="4" t="s">
        <v>175</v>
      </c>
      <c r="G329" s="4" t="s">
        <v>173</v>
      </c>
      <c r="H329" s="58"/>
      <c r="I329" s="52" t="s">
        <v>172</v>
      </c>
      <c r="J329" s="4" t="s">
        <v>173</v>
      </c>
      <c r="K329" s="58"/>
      <c r="L329" s="52" t="s">
        <v>172</v>
      </c>
      <c r="M329" s="4" t="s">
        <v>173</v>
      </c>
      <c r="O329" s="52" t="s">
        <v>172</v>
      </c>
      <c r="P329" s="4" t="s">
        <v>173</v>
      </c>
      <c r="R329" s="52" t="s">
        <v>172</v>
      </c>
      <c r="S329" s="4" t="s">
        <v>173</v>
      </c>
      <c r="U329" s="52" t="s">
        <v>172</v>
      </c>
      <c r="V329" s="4" t="s">
        <v>173</v>
      </c>
      <c r="X329" s="78" t="s">
        <v>172</v>
      </c>
      <c r="Y329" s="79" t="s">
        <v>203</v>
      </c>
      <c r="Z329" s="3" t="s">
        <v>93</v>
      </c>
      <c r="AC329" s="1" t="s">
        <v>171</v>
      </c>
      <c r="AD329" s="1"/>
      <c r="AE329" s="39" t="s">
        <v>42</v>
      </c>
    </row>
    <row r="330" spans="1:32" x14ac:dyDescent="0.25">
      <c r="C330" s="53"/>
      <c r="D330" s="54"/>
      <c r="E330" s="59"/>
      <c r="F330" s="54"/>
      <c r="G330" s="54"/>
      <c r="H330" s="59"/>
      <c r="I330" s="54"/>
      <c r="J330" s="3"/>
      <c r="K330" s="20"/>
      <c r="L330" s="54"/>
      <c r="M330" s="3"/>
      <c r="N330" s="28"/>
      <c r="O330" s="3"/>
      <c r="P330" s="34"/>
      <c r="R330" s="5"/>
      <c r="S330" s="34"/>
      <c r="U330" s="5"/>
      <c r="V330" s="34"/>
      <c r="X330" s="3"/>
      <c r="Y330" s="3"/>
      <c r="Z330" s="3"/>
    </row>
    <row r="331" spans="1:32" x14ac:dyDescent="0.25">
      <c r="A331" t="s">
        <v>16</v>
      </c>
      <c r="B331" t="s">
        <v>43</v>
      </c>
      <c r="C331" s="55">
        <v>2000</v>
      </c>
      <c r="D331" s="56">
        <v>54826.79</v>
      </c>
      <c r="E331" s="60"/>
      <c r="F331" s="68">
        <v>0</v>
      </c>
      <c r="G331" s="34">
        <v>0</v>
      </c>
      <c r="H331" s="38"/>
      <c r="I331" s="55">
        <v>260</v>
      </c>
      <c r="J331" s="34">
        <v>9637.35</v>
      </c>
      <c r="K331" s="38"/>
      <c r="L331" s="5"/>
      <c r="M331" s="34"/>
      <c r="O331" s="76"/>
      <c r="P331" s="34"/>
      <c r="R331" s="5"/>
      <c r="S331" s="34"/>
      <c r="U331" s="55">
        <f>+C331+F331+I331+L331+O331+R331</f>
        <v>2260</v>
      </c>
      <c r="V331" s="34">
        <f>+D331+G331+J331+M331+P331+S331</f>
        <v>64464.14</v>
      </c>
      <c r="X331" s="81">
        <f>U331</f>
        <v>2260</v>
      </c>
      <c r="Y331" s="82">
        <v>43.8</v>
      </c>
      <c r="Z331" s="34">
        <f>X331*Y331</f>
        <v>98988</v>
      </c>
      <c r="AA331" s="84">
        <f>Z331</f>
        <v>98988</v>
      </c>
      <c r="AB331" s="84"/>
      <c r="AC331" t="s">
        <v>16</v>
      </c>
      <c r="AE331" t="s">
        <v>43</v>
      </c>
    </row>
    <row r="332" spans="1:32" x14ac:dyDescent="0.25">
      <c r="A332" t="s">
        <v>188</v>
      </c>
      <c r="B332" t="s">
        <v>44</v>
      </c>
      <c r="C332" s="55">
        <v>10000</v>
      </c>
      <c r="D332" s="56">
        <v>27935.43</v>
      </c>
      <c r="E332" s="60"/>
      <c r="F332" s="68">
        <v>0</v>
      </c>
      <c r="G332" s="34">
        <v>0</v>
      </c>
      <c r="H332" s="38"/>
      <c r="I332" s="55"/>
      <c r="J332" s="34"/>
      <c r="K332" s="38"/>
      <c r="L332" s="5"/>
      <c r="M332" s="34"/>
      <c r="O332" s="76"/>
      <c r="P332" s="34"/>
      <c r="R332" s="5"/>
      <c r="S332" s="34"/>
      <c r="U332" s="55">
        <f t="shared" ref="U332:V347" si="188">+C332+F332+I332+L332+O332+R332</f>
        <v>10000</v>
      </c>
      <c r="V332" s="34">
        <f t="shared" si="188"/>
        <v>27935.43</v>
      </c>
      <c r="X332" s="81">
        <f t="shared" ref="X332:X347" si="189">U332</f>
        <v>10000</v>
      </c>
      <c r="Y332" s="86">
        <v>1.2</v>
      </c>
      <c r="Z332" s="34">
        <f t="shared" ref="Z332:Z347" si="190">X332*Y332</f>
        <v>12000</v>
      </c>
      <c r="AA332" s="84">
        <f t="shared" ref="AA332:AA347" si="191">Z332</f>
        <v>12000</v>
      </c>
      <c r="AB332" s="84"/>
      <c r="AC332" t="s">
        <v>188</v>
      </c>
      <c r="AE332" t="s">
        <v>44</v>
      </c>
    </row>
    <row r="333" spans="1:32" x14ac:dyDescent="0.25">
      <c r="A333" t="s">
        <v>18</v>
      </c>
      <c r="B333" t="s">
        <v>60</v>
      </c>
      <c r="C333" s="55">
        <v>2176</v>
      </c>
      <c r="D333" s="56">
        <v>80336.679999999993</v>
      </c>
      <c r="E333" s="60"/>
      <c r="F333" s="55">
        <f>56+71</f>
        <v>127</v>
      </c>
      <c r="G333" s="34">
        <f>2963.52+3674.25</f>
        <v>6637.77</v>
      </c>
      <c r="H333" s="38"/>
      <c r="I333" s="55"/>
      <c r="J333" s="34"/>
      <c r="K333" s="38"/>
      <c r="L333" s="5"/>
      <c r="M333" s="34"/>
      <c r="O333" s="76"/>
      <c r="P333" s="34"/>
      <c r="R333" s="5"/>
      <c r="S333" s="34"/>
      <c r="U333" s="55">
        <f t="shared" si="188"/>
        <v>2303</v>
      </c>
      <c r="V333" s="34">
        <f t="shared" si="188"/>
        <v>86974.45</v>
      </c>
      <c r="X333" s="81">
        <f t="shared" si="189"/>
        <v>2303</v>
      </c>
      <c r="Y333" s="86">
        <v>52.04</v>
      </c>
      <c r="Z333" s="34">
        <f t="shared" si="190"/>
        <v>119848.12</v>
      </c>
      <c r="AA333" s="84">
        <f t="shared" si="191"/>
        <v>119848.12</v>
      </c>
      <c r="AB333" s="84"/>
      <c r="AC333" t="s">
        <v>18</v>
      </c>
      <c r="AE333" t="s">
        <v>60</v>
      </c>
    </row>
    <row r="334" spans="1:32" x14ac:dyDescent="0.25">
      <c r="A334" t="s">
        <v>189</v>
      </c>
      <c r="B334" t="s">
        <v>45</v>
      </c>
      <c r="C334" s="55">
        <v>2502</v>
      </c>
      <c r="D334" s="56">
        <v>21391.65</v>
      </c>
      <c r="E334" s="60"/>
      <c r="F334" s="55">
        <f>62+43</f>
        <v>105</v>
      </c>
      <c r="G334" s="34">
        <f>508.69+718.58</f>
        <v>1227.27</v>
      </c>
      <c r="H334" s="38"/>
      <c r="I334" s="55"/>
      <c r="J334" s="34"/>
      <c r="K334" s="38"/>
      <c r="L334" s="5"/>
      <c r="M334" s="34"/>
      <c r="O334" s="76"/>
      <c r="P334" s="34"/>
      <c r="R334" s="5"/>
      <c r="S334" s="34"/>
      <c r="U334" s="55">
        <f t="shared" si="188"/>
        <v>2607</v>
      </c>
      <c r="V334" s="34">
        <f t="shared" si="188"/>
        <v>22618.920000000002</v>
      </c>
      <c r="X334" s="81">
        <f t="shared" si="189"/>
        <v>2607</v>
      </c>
      <c r="Y334" s="86">
        <v>11.44</v>
      </c>
      <c r="Z334" s="34">
        <f t="shared" si="190"/>
        <v>29824.079999999998</v>
      </c>
      <c r="AA334" s="84">
        <f t="shared" si="191"/>
        <v>29824.079999999998</v>
      </c>
      <c r="AB334" s="84"/>
      <c r="AC334" t="s">
        <v>189</v>
      </c>
      <c r="AE334" t="s">
        <v>45</v>
      </c>
    </row>
    <row r="335" spans="1:32" x14ac:dyDescent="0.25">
      <c r="A335" t="s">
        <v>20</v>
      </c>
      <c r="B335" t="s">
        <v>46</v>
      </c>
      <c r="C335" s="55">
        <v>0</v>
      </c>
      <c r="D335" s="56">
        <v>0</v>
      </c>
      <c r="E335" s="60"/>
      <c r="F335" s="55">
        <v>0</v>
      </c>
      <c r="G335" s="34">
        <v>0</v>
      </c>
      <c r="H335" s="38"/>
      <c r="I335" s="55"/>
      <c r="J335" s="34"/>
      <c r="K335" s="38"/>
      <c r="L335" s="5"/>
      <c r="M335" s="34"/>
      <c r="O335" s="76">
        <v>690</v>
      </c>
      <c r="P335" s="34">
        <f>D341*0.096</f>
        <v>1477.2287999999999</v>
      </c>
      <c r="R335" s="5"/>
      <c r="S335" s="34"/>
      <c r="U335" s="55">
        <f t="shared" si="188"/>
        <v>690</v>
      </c>
      <c r="V335" s="34">
        <f t="shared" si="188"/>
        <v>1477.2287999999999</v>
      </c>
      <c r="X335" s="81">
        <f t="shared" si="189"/>
        <v>690</v>
      </c>
      <c r="Y335" s="86">
        <v>2.83</v>
      </c>
      <c r="Z335" s="34">
        <f t="shared" si="190"/>
        <v>1952.7</v>
      </c>
      <c r="AA335" s="84">
        <f t="shared" si="191"/>
        <v>1952.7</v>
      </c>
      <c r="AB335" s="84"/>
      <c r="AC335" t="s">
        <v>20</v>
      </c>
      <c r="AE335" t="s">
        <v>46</v>
      </c>
    </row>
    <row r="336" spans="1:32" x14ac:dyDescent="0.25">
      <c r="A336" t="s">
        <v>21</v>
      </c>
      <c r="B336" t="s">
        <v>47</v>
      </c>
      <c r="C336" s="55">
        <v>1050</v>
      </c>
      <c r="D336" s="56">
        <v>6074.85</v>
      </c>
      <c r="E336" s="60"/>
      <c r="F336" s="55">
        <f>23+28</f>
        <v>51</v>
      </c>
      <c r="G336" s="34">
        <f>+(23*5.6548)+(28*5.78)</f>
        <v>291.90039999999999</v>
      </c>
      <c r="H336" s="38"/>
      <c r="I336" s="55"/>
      <c r="J336" s="34"/>
      <c r="K336" s="38"/>
      <c r="L336" s="5"/>
      <c r="M336" s="34"/>
      <c r="O336" s="76"/>
      <c r="P336" s="34">
        <v>-1275.55</v>
      </c>
      <c r="R336" s="5"/>
      <c r="S336" s="34"/>
      <c r="U336" s="55">
        <f t="shared" si="188"/>
        <v>1101</v>
      </c>
      <c r="V336" s="34">
        <f t="shared" si="188"/>
        <v>5091.2004000000006</v>
      </c>
      <c r="X336" s="81">
        <f t="shared" si="189"/>
        <v>1101</v>
      </c>
      <c r="Y336" s="86">
        <v>5.16</v>
      </c>
      <c r="Z336" s="34">
        <f t="shared" si="190"/>
        <v>5681.16</v>
      </c>
      <c r="AA336" s="84">
        <f t="shared" si="191"/>
        <v>5681.16</v>
      </c>
      <c r="AB336" s="84"/>
      <c r="AC336" t="s">
        <v>21</v>
      </c>
      <c r="AE336" t="s">
        <v>47</v>
      </c>
    </row>
    <row r="337" spans="1:31" x14ac:dyDescent="0.25">
      <c r="A337" t="s">
        <v>22</v>
      </c>
      <c r="B337" t="s">
        <v>56</v>
      </c>
      <c r="C337" s="55">
        <v>476667</v>
      </c>
      <c r="D337" s="56">
        <v>24559.95</v>
      </c>
      <c r="E337" s="60"/>
      <c r="F337" s="55">
        <v>0</v>
      </c>
      <c r="G337" s="34">
        <v>0</v>
      </c>
      <c r="H337" s="38"/>
      <c r="I337" s="55"/>
      <c r="J337" s="34"/>
      <c r="K337" s="38"/>
      <c r="L337" s="5"/>
      <c r="M337" s="34"/>
      <c r="O337" s="76"/>
      <c r="P337" s="34"/>
      <c r="R337" s="55">
        <v>79444</v>
      </c>
      <c r="S337" s="34">
        <v>1191.6600000000001</v>
      </c>
      <c r="U337" s="55">
        <f t="shared" si="188"/>
        <v>556111</v>
      </c>
      <c r="V337" s="34">
        <f t="shared" si="188"/>
        <v>25751.61</v>
      </c>
      <c r="X337" s="81">
        <f t="shared" si="189"/>
        <v>556111</v>
      </c>
      <c r="Y337" s="86">
        <v>1.4999999999999999E-2</v>
      </c>
      <c r="Z337" s="34">
        <f t="shared" si="190"/>
        <v>8341.6649999999991</v>
      </c>
      <c r="AA337" s="84">
        <f t="shared" si="191"/>
        <v>8341.6649999999991</v>
      </c>
      <c r="AB337" s="84"/>
      <c r="AC337" t="s">
        <v>22</v>
      </c>
      <c r="AE337" t="s">
        <v>56</v>
      </c>
    </row>
    <row r="338" spans="1:31" x14ac:dyDescent="0.25">
      <c r="A338" t="s">
        <v>23</v>
      </c>
      <c r="B338" t="s">
        <v>48</v>
      </c>
      <c r="C338" s="55">
        <v>1766</v>
      </c>
      <c r="D338" s="56">
        <v>7091.61</v>
      </c>
      <c r="E338" s="60"/>
      <c r="F338" s="55">
        <f>22+47</f>
        <v>69</v>
      </c>
      <c r="G338" s="34">
        <f>+(3.3817*47)+81.6</f>
        <v>240.53989999999999</v>
      </c>
      <c r="H338" s="38"/>
      <c r="I338" s="55"/>
      <c r="J338" s="34"/>
      <c r="K338" s="38"/>
      <c r="L338" s="5"/>
      <c r="M338" s="34"/>
      <c r="O338" s="76"/>
      <c r="P338" s="34"/>
      <c r="R338" s="5"/>
      <c r="S338" s="34"/>
      <c r="U338" s="55">
        <f t="shared" si="188"/>
        <v>1835</v>
      </c>
      <c r="V338" s="34">
        <f t="shared" si="188"/>
        <v>7332.1498999999994</v>
      </c>
      <c r="X338" s="81">
        <f t="shared" si="189"/>
        <v>1835</v>
      </c>
      <c r="Y338" s="86">
        <v>3.38</v>
      </c>
      <c r="Z338" s="34">
        <f t="shared" si="190"/>
        <v>6202.3</v>
      </c>
      <c r="AA338" s="84">
        <f t="shared" si="191"/>
        <v>6202.3</v>
      </c>
      <c r="AB338" s="84"/>
      <c r="AC338" t="s">
        <v>23</v>
      </c>
      <c r="AE338" t="s">
        <v>48</v>
      </c>
    </row>
    <row r="339" spans="1:31" x14ac:dyDescent="0.25">
      <c r="A339" t="s">
        <v>24</v>
      </c>
      <c r="B339" t="s">
        <v>49</v>
      </c>
      <c r="C339" s="55">
        <v>2529</v>
      </c>
      <c r="D339" s="56">
        <v>6819.95</v>
      </c>
      <c r="E339" s="60"/>
      <c r="F339" s="55">
        <f>34+47</f>
        <v>81</v>
      </c>
      <c r="G339" s="34">
        <f>100.98+127.37</f>
        <v>228.35000000000002</v>
      </c>
      <c r="H339" s="38"/>
      <c r="I339" s="55"/>
      <c r="J339" s="34"/>
      <c r="K339" s="38"/>
      <c r="L339" s="5"/>
      <c r="M339" s="34"/>
      <c r="O339" s="76"/>
      <c r="P339" s="34"/>
      <c r="R339" s="5"/>
      <c r="S339" s="34"/>
      <c r="U339" s="55">
        <f t="shared" si="188"/>
        <v>2610</v>
      </c>
      <c r="V339" s="34">
        <f t="shared" si="188"/>
        <v>7048.3</v>
      </c>
      <c r="X339" s="81">
        <f t="shared" si="189"/>
        <v>2610</v>
      </c>
      <c r="Y339" s="86">
        <v>3.11</v>
      </c>
      <c r="Z339" s="34">
        <f t="shared" si="190"/>
        <v>8117.0999999999995</v>
      </c>
      <c r="AA339" s="84">
        <f t="shared" si="191"/>
        <v>8117.0999999999995</v>
      </c>
      <c r="AB339" s="84"/>
      <c r="AC339" t="s">
        <v>24</v>
      </c>
      <c r="AE339" t="s">
        <v>49</v>
      </c>
    </row>
    <row r="340" spans="1:31" x14ac:dyDescent="0.25">
      <c r="A340" t="s">
        <v>25</v>
      </c>
      <c r="B340" t="s">
        <v>75</v>
      </c>
      <c r="C340" s="55">
        <v>0</v>
      </c>
      <c r="D340" s="56">
        <v>0</v>
      </c>
      <c r="E340" s="60"/>
      <c r="F340" s="55">
        <v>0</v>
      </c>
      <c r="G340" s="34">
        <v>0</v>
      </c>
      <c r="H340" s="38"/>
      <c r="I340" s="55">
        <f>390+210</f>
        <v>600</v>
      </c>
      <c r="J340" s="34">
        <f>10432.2+5011.65</f>
        <v>15443.85</v>
      </c>
      <c r="K340" s="38"/>
      <c r="L340" s="5"/>
      <c r="M340" s="34"/>
      <c r="O340" s="76"/>
      <c r="P340" s="34"/>
      <c r="R340" s="5"/>
      <c r="S340" s="34"/>
      <c r="U340" s="55">
        <f t="shared" si="188"/>
        <v>600</v>
      </c>
      <c r="V340" s="34">
        <f t="shared" si="188"/>
        <v>15443.85</v>
      </c>
      <c r="X340" s="81">
        <f t="shared" si="189"/>
        <v>600</v>
      </c>
      <c r="Y340" s="86">
        <v>25.37</v>
      </c>
      <c r="Z340" s="34">
        <f t="shared" si="190"/>
        <v>15222</v>
      </c>
      <c r="AA340" s="84">
        <f t="shared" si="191"/>
        <v>15222</v>
      </c>
      <c r="AB340" s="84"/>
      <c r="AC340" t="s">
        <v>25</v>
      </c>
      <c r="AE340" t="s">
        <v>75</v>
      </c>
    </row>
    <row r="341" spans="1:31" x14ac:dyDescent="0.25">
      <c r="A341" t="s">
        <v>26</v>
      </c>
      <c r="B341" t="s">
        <v>50</v>
      </c>
      <c r="C341" s="55">
        <v>690</v>
      </c>
      <c r="D341" s="56">
        <v>15387.8</v>
      </c>
      <c r="E341" s="60"/>
      <c r="F341" s="55">
        <v>0</v>
      </c>
      <c r="G341" s="34">
        <v>0</v>
      </c>
      <c r="H341" s="38"/>
      <c r="I341" s="55"/>
      <c r="J341" s="34"/>
      <c r="K341" s="38"/>
      <c r="L341" s="5"/>
      <c r="M341" s="34"/>
      <c r="O341" s="76"/>
      <c r="P341" s="34">
        <f>-P335</f>
        <v>-1477.2287999999999</v>
      </c>
      <c r="R341" s="5"/>
      <c r="S341" s="34"/>
      <c r="U341" s="55">
        <f t="shared" si="188"/>
        <v>690</v>
      </c>
      <c r="V341" s="34">
        <f t="shared" si="188"/>
        <v>13910.571199999998</v>
      </c>
      <c r="X341" s="81">
        <f t="shared" si="189"/>
        <v>690</v>
      </c>
      <c r="Y341" s="86">
        <v>26.88</v>
      </c>
      <c r="Z341" s="34">
        <f t="shared" si="190"/>
        <v>18547.2</v>
      </c>
      <c r="AA341" s="84">
        <f t="shared" si="191"/>
        <v>18547.2</v>
      </c>
      <c r="AB341" s="84"/>
      <c r="AC341" t="s">
        <v>26</v>
      </c>
      <c r="AE341" t="s">
        <v>50</v>
      </c>
    </row>
    <row r="342" spans="1:31" x14ac:dyDescent="0.25">
      <c r="A342" t="s">
        <v>27</v>
      </c>
      <c r="B342" t="s">
        <v>51</v>
      </c>
      <c r="C342" s="55">
        <v>1460</v>
      </c>
      <c r="D342" s="56">
        <v>63911.63</v>
      </c>
      <c r="E342" s="60"/>
      <c r="F342" s="55">
        <v>21</v>
      </c>
      <c r="G342" s="34">
        <f>741.19+931.1</f>
        <v>1672.29</v>
      </c>
      <c r="H342" s="38"/>
      <c r="I342" s="55"/>
      <c r="J342" s="34"/>
      <c r="K342" s="38"/>
      <c r="L342" s="5"/>
      <c r="M342" s="34"/>
      <c r="O342" s="76"/>
      <c r="P342" s="34"/>
      <c r="R342" s="5"/>
      <c r="S342" s="34"/>
      <c r="U342" s="55">
        <f t="shared" si="188"/>
        <v>1481</v>
      </c>
      <c r="V342" s="34">
        <f t="shared" si="188"/>
        <v>65583.92</v>
      </c>
      <c r="X342" s="81">
        <f t="shared" si="189"/>
        <v>1481</v>
      </c>
      <c r="Y342" s="86">
        <v>82.24</v>
      </c>
      <c r="Z342" s="34">
        <f t="shared" si="190"/>
        <v>121797.43999999999</v>
      </c>
      <c r="AA342" s="84">
        <f t="shared" si="191"/>
        <v>121797.43999999999</v>
      </c>
      <c r="AB342" s="84"/>
      <c r="AC342" t="s">
        <v>27</v>
      </c>
      <c r="AE342" t="s">
        <v>51</v>
      </c>
    </row>
    <row r="343" spans="1:31" x14ac:dyDescent="0.25">
      <c r="A343" t="s">
        <v>28</v>
      </c>
      <c r="B343" t="s">
        <v>52</v>
      </c>
      <c r="C343" s="55">
        <v>8545</v>
      </c>
      <c r="D343" s="56">
        <v>38303.5</v>
      </c>
      <c r="E343" s="60"/>
      <c r="F343" s="55">
        <v>0</v>
      </c>
      <c r="G343" s="34">
        <v>0</v>
      </c>
      <c r="H343" s="38"/>
      <c r="I343" s="55"/>
      <c r="J343" s="34"/>
      <c r="K343" s="38"/>
      <c r="L343" s="5"/>
      <c r="M343" s="34"/>
      <c r="O343" s="76"/>
      <c r="P343" s="34"/>
      <c r="R343" s="5"/>
      <c r="S343" s="34"/>
      <c r="U343" s="55">
        <f t="shared" si="188"/>
        <v>8545</v>
      </c>
      <c r="V343" s="34">
        <f t="shared" si="188"/>
        <v>38303.5</v>
      </c>
      <c r="X343" s="81">
        <f t="shared" si="189"/>
        <v>8545</v>
      </c>
      <c r="Y343" s="86">
        <v>2.91</v>
      </c>
      <c r="Z343" s="34">
        <f t="shared" si="190"/>
        <v>24865.95</v>
      </c>
      <c r="AA343" s="84">
        <f t="shared" si="191"/>
        <v>24865.95</v>
      </c>
      <c r="AB343" s="84"/>
      <c r="AC343" t="s">
        <v>28</v>
      </c>
      <c r="AE343" t="s">
        <v>52</v>
      </c>
    </row>
    <row r="344" spans="1:31" x14ac:dyDescent="0.25">
      <c r="A344" t="s">
        <v>29</v>
      </c>
      <c r="B344" t="s">
        <v>76</v>
      </c>
      <c r="C344" s="55">
        <v>0</v>
      </c>
      <c r="D344" s="56">
        <v>0</v>
      </c>
      <c r="E344" s="60"/>
      <c r="F344" s="55">
        <v>0</v>
      </c>
      <c r="G344" s="34">
        <v>0</v>
      </c>
      <c r="H344" s="38"/>
      <c r="I344" s="55"/>
      <c r="J344" s="34"/>
      <c r="K344" s="38"/>
      <c r="L344" s="5"/>
      <c r="M344" s="34"/>
      <c r="O344" s="76">
        <v>367</v>
      </c>
      <c r="P344" s="34">
        <v>1275.55</v>
      </c>
      <c r="R344" s="5"/>
      <c r="S344" s="34"/>
      <c r="U344" s="55">
        <f t="shared" si="188"/>
        <v>367</v>
      </c>
      <c r="V344" s="34">
        <f t="shared" si="188"/>
        <v>1275.55</v>
      </c>
      <c r="X344" s="81">
        <f t="shared" si="189"/>
        <v>367</v>
      </c>
      <c r="Y344" s="86">
        <v>3.42</v>
      </c>
      <c r="Z344" s="34">
        <f t="shared" si="190"/>
        <v>1255.1399999999999</v>
      </c>
      <c r="AA344" s="84">
        <f t="shared" si="191"/>
        <v>1255.1399999999999</v>
      </c>
      <c r="AB344" s="84"/>
      <c r="AC344" t="s">
        <v>29</v>
      </c>
      <c r="AE344" t="s">
        <v>76</v>
      </c>
    </row>
    <row r="345" spans="1:31" x14ac:dyDescent="0.25">
      <c r="A345" t="s">
        <v>32</v>
      </c>
      <c r="B345" t="s">
        <v>53</v>
      </c>
      <c r="C345" s="55">
        <v>800</v>
      </c>
      <c r="D345" s="56">
        <v>21109.95</v>
      </c>
      <c r="E345" s="60"/>
      <c r="F345" s="55">
        <v>51</v>
      </c>
      <c r="G345" s="34">
        <v>1123.6099999999999</v>
      </c>
      <c r="H345" s="38"/>
      <c r="I345" s="55"/>
      <c r="J345" s="34"/>
      <c r="K345" s="38"/>
      <c r="L345" s="5"/>
      <c r="M345" s="34"/>
      <c r="O345" s="76"/>
      <c r="P345" s="34"/>
      <c r="R345" s="5"/>
      <c r="S345" s="34"/>
      <c r="U345" s="55">
        <f t="shared" si="188"/>
        <v>851</v>
      </c>
      <c r="V345" s="34">
        <f t="shared" si="188"/>
        <v>22233.56</v>
      </c>
      <c r="X345" s="81">
        <f t="shared" si="189"/>
        <v>851</v>
      </c>
      <c r="Y345" s="86">
        <v>22</v>
      </c>
      <c r="Z345" s="34">
        <f t="shared" si="190"/>
        <v>18722</v>
      </c>
      <c r="AA345" s="84">
        <f t="shared" si="191"/>
        <v>18722</v>
      </c>
      <c r="AB345" s="84"/>
      <c r="AC345" t="s">
        <v>32</v>
      </c>
      <c r="AE345" t="s">
        <v>53</v>
      </c>
    </row>
    <row r="346" spans="1:31" x14ac:dyDescent="0.25">
      <c r="A346" t="s">
        <v>30</v>
      </c>
      <c r="B346" t="s">
        <v>55</v>
      </c>
      <c r="C346" s="55">
        <v>532</v>
      </c>
      <c r="D346" s="56">
        <v>21963.14</v>
      </c>
      <c r="E346" s="60"/>
      <c r="F346" s="55">
        <v>14</v>
      </c>
      <c r="G346" s="34">
        <v>593.66999999999996</v>
      </c>
      <c r="H346" s="38"/>
      <c r="I346" s="55">
        <v>150</v>
      </c>
      <c r="J346" s="34">
        <v>7074.45</v>
      </c>
      <c r="K346" s="38"/>
      <c r="L346" s="5"/>
      <c r="M346" s="34"/>
      <c r="O346" s="76"/>
      <c r="P346" s="34"/>
      <c r="R346" s="5"/>
      <c r="S346" s="34"/>
      <c r="U346" s="55">
        <f t="shared" si="188"/>
        <v>696</v>
      </c>
      <c r="V346" s="34">
        <f t="shared" si="188"/>
        <v>29631.26</v>
      </c>
      <c r="X346" s="81">
        <f t="shared" si="189"/>
        <v>696</v>
      </c>
      <c r="Y346" s="86">
        <v>40.76</v>
      </c>
      <c r="Z346" s="34">
        <f t="shared" si="190"/>
        <v>28368.959999999999</v>
      </c>
      <c r="AA346" s="84">
        <f t="shared" si="191"/>
        <v>28368.959999999999</v>
      </c>
      <c r="AB346" s="84"/>
      <c r="AC346" t="s">
        <v>30</v>
      </c>
      <c r="AE346" t="s">
        <v>55</v>
      </c>
    </row>
    <row r="347" spans="1:31" x14ac:dyDescent="0.25">
      <c r="A347" t="s">
        <v>31</v>
      </c>
      <c r="B347" t="s">
        <v>54</v>
      </c>
      <c r="C347" s="55">
        <v>1073</v>
      </c>
      <c r="D347" s="56">
        <v>27503.73</v>
      </c>
      <c r="E347" s="60"/>
      <c r="F347" s="55">
        <v>46</v>
      </c>
      <c r="G347" s="34">
        <v>1290.67</v>
      </c>
      <c r="H347" s="38"/>
      <c r="I347" s="55"/>
      <c r="J347" s="34"/>
      <c r="K347" s="38"/>
      <c r="L347" s="5"/>
      <c r="M347" s="34"/>
      <c r="O347" s="76"/>
      <c r="P347" s="34"/>
      <c r="R347" s="5"/>
      <c r="S347" s="34"/>
      <c r="U347" s="55">
        <f t="shared" si="188"/>
        <v>1119</v>
      </c>
      <c r="V347" s="34">
        <f t="shared" si="188"/>
        <v>28794.400000000001</v>
      </c>
      <c r="X347" s="81">
        <f t="shared" si="189"/>
        <v>1119</v>
      </c>
      <c r="Y347" s="86">
        <v>27.72</v>
      </c>
      <c r="Z347" s="34">
        <f t="shared" si="190"/>
        <v>31018.68</v>
      </c>
      <c r="AA347" s="84">
        <f t="shared" si="191"/>
        <v>31018.68</v>
      </c>
      <c r="AB347" s="84"/>
      <c r="AC347" t="s">
        <v>31</v>
      </c>
      <c r="AE347" t="s">
        <v>54</v>
      </c>
    </row>
    <row r="348" spans="1:31" x14ac:dyDescent="0.25">
      <c r="C348" s="34"/>
      <c r="D348" s="57">
        <f>SUM(D331:D347)</f>
        <v>417216.66</v>
      </c>
      <c r="E348" s="61"/>
      <c r="F348" s="68"/>
      <c r="G348" s="57">
        <f>SUM(G331:G347)</f>
        <v>13306.070300000003</v>
      </c>
      <c r="H348" s="27"/>
      <c r="I348" s="68"/>
      <c r="J348" s="57">
        <f>SUM(J330:J347)</f>
        <v>32155.65</v>
      </c>
      <c r="K348" s="61"/>
      <c r="L348" s="34"/>
      <c r="M348" s="69">
        <f>SUM(M330:M347)</f>
        <v>0</v>
      </c>
      <c r="N348" s="38"/>
      <c r="O348" s="76"/>
      <c r="P348" s="34">
        <f>SUM(P330:P347)</f>
        <v>0</v>
      </c>
      <c r="R348" s="5"/>
      <c r="S348" s="34">
        <f>SUM(S330:S347)</f>
        <v>1191.6600000000001</v>
      </c>
      <c r="U348" s="5"/>
      <c r="V348" s="57">
        <f>SUM(V330:V347)</f>
        <v>463870.04030000005</v>
      </c>
      <c r="X348" s="3"/>
      <c r="Y348" s="83"/>
      <c r="Z348" s="33">
        <f>SUM(Z331:Z347)</f>
        <v>550752.495</v>
      </c>
      <c r="AA348" s="64">
        <f>SUM(AA331:AA347)</f>
        <v>550752.495</v>
      </c>
      <c r="AB348" s="64"/>
    </row>
    <row r="349" spans="1:31" x14ac:dyDescent="0.25">
      <c r="C349" s="63" t="s">
        <v>176</v>
      </c>
      <c r="D349" s="64">
        <f>D348</f>
        <v>417216.66</v>
      </c>
      <c r="F349" s="63" t="s">
        <v>176</v>
      </c>
      <c r="G349" s="64">
        <f>G348</f>
        <v>13306.070300000003</v>
      </c>
      <c r="I349" s="63" t="s">
        <v>176</v>
      </c>
      <c r="J349" s="67">
        <f>J348</f>
        <v>32155.65</v>
      </c>
      <c r="K349" s="72"/>
      <c r="L349" s="63" t="s">
        <v>176</v>
      </c>
      <c r="M349" s="67">
        <f>M348</f>
        <v>0</v>
      </c>
      <c r="N349" s="70"/>
      <c r="O349" s="63" t="s">
        <v>176</v>
      </c>
      <c r="P349" s="67">
        <f>P348</f>
        <v>0</v>
      </c>
      <c r="R349" s="63" t="s">
        <v>176</v>
      </c>
      <c r="S349" s="67">
        <f>S348</f>
        <v>1191.6600000000001</v>
      </c>
      <c r="V349" s="2">
        <f>V348</f>
        <v>463870.04030000005</v>
      </c>
      <c r="Z349" s="85" t="s">
        <v>176</v>
      </c>
      <c r="AA349" s="73"/>
      <c r="AB349" s="73"/>
    </row>
    <row r="350" spans="1:31" x14ac:dyDescent="0.25">
      <c r="A350" s="1"/>
      <c r="C350" s="65" t="s">
        <v>179</v>
      </c>
      <c r="F350" s="65" t="s">
        <v>178</v>
      </c>
      <c r="I350" s="65" t="s">
        <v>180</v>
      </c>
      <c r="L350" s="65" t="s">
        <v>180</v>
      </c>
      <c r="O350" s="65" t="s">
        <v>183</v>
      </c>
      <c r="R350" s="62" t="s">
        <v>186</v>
      </c>
    </row>
    <row r="351" spans="1:31" x14ac:dyDescent="0.25">
      <c r="O351" s="65" t="s">
        <v>184</v>
      </c>
    </row>
    <row r="352" spans="1:31" x14ac:dyDescent="0.25">
      <c r="C352" s="19"/>
      <c r="D352" s="19"/>
      <c r="E352" s="19"/>
      <c r="F352" s="19"/>
      <c r="V352" s="12"/>
    </row>
    <row r="353" spans="1:22" x14ac:dyDescent="0.25">
      <c r="C353" s="20"/>
      <c r="D353" s="20"/>
      <c r="E353" s="20"/>
      <c r="F353" s="20"/>
      <c r="V353" s="12"/>
    </row>
    <row r="354" spans="1:22" x14ac:dyDescent="0.25">
      <c r="A354" s="1"/>
      <c r="C354" s="20"/>
      <c r="D354" s="20"/>
      <c r="E354" s="20"/>
      <c r="F354" s="20"/>
      <c r="V354" s="12"/>
    </row>
    <row r="355" spans="1:22" x14ac:dyDescent="0.25">
      <c r="C355" s="20"/>
      <c r="D355" s="20"/>
      <c r="E355" s="20"/>
      <c r="F355" s="20"/>
    </row>
    <row r="356" spans="1:22" x14ac:dyDescent="0.25">
      <c r="C356" s="19"/>
      <c r="D356" s="19"/>
      <c r="E356" s="19"/>
      <c r="F356" s="19"/>
      <c r="V356" s="12"/>
    </row>
    <row r="357" spans="1:22" x14ac:dyDescent="0.25">
      <c r="C357" s="20"/>
      <c r="D357" s="20"/>
      <c r="E357" s="20"/>
      <c r="F357" s="20"/>
    </row>
    <row r="358" spans="1:22" x14ac:dyDescent="0.25">
      <c r="A358" s="1"/>
      <c r="C358" s="20"/>
      <c r="D358" s="20"/>
      <c r="E358" s="20"/>
      <c r="F358" s="20"/>
    </row>
    <row r="359" spans="1:22" x14ac:dyDescent="0.25">
      <c r="C359" s="20"/>
      <c r="D359" s="20"/>
      <c r="E359" s="20"/>
      <c r="F359" s="20"/>
    </row>
    <row r="360" spans="1:22" x14ac:dyDescent="0.25">
      <c r="C360" s="19"/>
      <c r="D360" s="19"/>
      <c r="E360" s="19"/>
      <c r="F360" s="19"/>
    </row>
    <row r="361" spans="1:22" x14ac:dyDescent="0.25">
      <c r="C361" s="20"/>
      <c r="D361" s="20"/>
      <c r="E361" s="20"/>
      <c r="F361" s="20"/>
    </row>
    <row r="362" spans="1:22" x14ac:dyDescent="0.25">
      <c r="A362" s="1"/>
      <c r="C362" s="20"/>
      <c r="D362" s="20"/>
      <c r="E362" s="20"/>
      <c r="F362" s="20"/>
    </row>
    <row r="363" spans="1:22" x14ac:dyDescent="0.25">
      <c r="C363" s="20"/>
      <c r="D363" s="20"/>
      <c r="E363" s="20"/>
      <c r="F363" s="20"/>
    </row>
    <row r="364" spans="1:22" x14ac:dyDescent="0.25">
      <c r="C364" s="20"/>
      <c r="D364" s="20"/>
      <c r="E364" s="20"/>
      <c r="F364" s="20"/>
    </row>
    <row r="365" spans="1:22" x14ac:dyDescent="0.25">
      <c r="C365" s="20"/>
      <c r="D365" s="20"/>
      <c r="E365" s="20"/>
      <c r="F365" s="20"/>
    </row>
    <row r="366" spans="1:22" x14ac:dyDescent="0.25">
      <c r="C366" s="20"/>
      <c r="D366" s="20"/>
      <c r="E366" s="20"/>
      <c r="F366" s="20"/>
    </row>
    <row r="367" spans="1:22" x14ac:dyDescent="0.25">
      <c r="C367" s="19"/>
      <c r="D367" s="19"/>
      <c r="E367" s="19"/>
      <c r="F367" s="19"/>
    </row>
    <row r="368" spans="1:22" x14ac:dyDescent="0.25">
      <c r="C368" s="19"/>
      <c r="D368" s="19"/>
      <c r="E368" s="19"/>
      <c r="F368" s="19"/>
    </row>
    <row r="369" spans="3:6" x14ac:dyDescent="0.25">
      <c r="C369" s="19"/>
      <c r="D369" s="19"/>
      <c r="E369" s="19"/>
      <c r="F369" s="19"/>
    </row>
    <row r="370" spans="3:6" x14ac:dyDescent="0.25">
      <c r="C370" s="19"/>
      <c r="D370" s="19"/>
      <c r="E370" s="19"/>
      <c r="F370" s="19"/>
    </row>
  </sheetData>
  <pageMargins left="0.70866141732283505" right="0.70866141732283505" top="0.74803149606299202" bottom="0.74803149606299202" header="0.31496062992126" footer="0.31496062992126"/>
  <pageSetup paperSize="9" scale="37" fitToHeight="0" orientation="landscape" r:id="rId1"/>
  <headerFooter>
    <oddFooter>&amp;L&amp;F&amp;C&amp;D&amp;R&amp;A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N76"/>
  <sheetViews>
    <sheetView topLeftCell="A36" workbookViewId="0">
      <selection sqref="A1:F55"/>
    </sheetView>
  </sheetViews>
  <sheetFormatPr defaultRowHeight="15" x14ac:dyDescent="0.25"/>
  <cols>
    <col min="2" max="2" width="65.140625" customWidth="1"/>
    <col min="3" max="3" width="12.7109375" customWidth="1"/>
    <col min="4" max="4" width="3.7109375" customWidth="1"/>
    <col min="5" max="5" width="12.7109375" customWidth="1"/>
  </cols>
  <sheetData>
    <row r="1" spans="1:5" ht="14.45" x14ac:dyDescent="0.3">
      <c r="A1" s="31"/>
      <c r="B1" s="31" t="s">
        <v>39</v>
      </c>
      <c r="C1" s="31"/>
      <c r="D1" s="31"/>
      <c r="E1" s="31"/>
    </row>
    <row r="2" spans="1:5" ht="14.45" x14ac:dyDescent="0.3">
      <c r="A2" s="31"/>
      <c r="B2" s="31" t="s">
        <v>40</v>
      </c>
      <c r="C2" s="31"/>
      <c r="D2" s="31"/>
      <c r="E2" s="31"/>
    </row>
    <row r="3" spans="1:5" ht="14.45" x14ac:dyDescent="0.3">
      <c r="A3" s="31"/>
      <c r="B3" s="31"/>
      <c r="C3" s="31"/>
      <c r="D3" s="31"/>
      <c r="E3" s="31"/>
    </row>
    <row r="4" spans="1:5" ht="14.45" x14ac:dyDescent="0.3">
      <c r="A4" s="31"/>
      <c r="B4" s="31" t="s">
        <v>77</v>
      </c>
      <c r="C4" s="31"/>
      <c r="D4" s="31"/>
      <c r="E4" s="31"/>
    </row>
    <row r="5" spans="1:5" ht="14.45" x14ac:dyDescent="0.3">
      <c r="A5" s="31"/>
      <c r="B5" s="31" t="s">
        <v>501</v>
      </c>
      <c r="C5" s="31"/>
      <c r="D5" s="31"/>
      <c r="E5" s="31"/>
    </row>
    <row r="6" spans="1:5" ht="14.45" x14ac:dyDescent="0.3">
      <c r="A6" s="31"/>
      <c r="B6" s="31"/>
      <c r="C6" s="87">
        <v>2020</v>
      </c>
      <c r="D6" s="87"/>
      <c r="E6" s="87">
        <v>2019</v>
      </c>
    </row>
    <row r="7" spans="1:5" ht="14.45" x14ac:dyDescent="0.3">
      <c r="A7" s="31"/>
      <c r="B7" s="31"/>
      <c r="C7" s="87" t="s">
        <v>9</v>
      </c>
      <c r="D7" s="87"/>
      <c r="E7" s="87" t="s">
        <v>9</v>
      </c>
    </row>
    <row r="8" spans="1:5" ht="14.45" x14ac:dyDescent="0.3">
      <c r="A8" s="89"/>
      <c r="B8" s="89"/>
      <c r="C8" s="89"/>
      <c r="D8" s="89"/>
      <c r="E8" s="89"/>
    </row>
    <row r="9" spans="1:5" x14ac:dyDescent="0.25">
      <c r="B9" s="31" t="s">
        <v>78</v>
      </c>
    </row>
    <row r="10" spans="1:5" x14ac:dyDescent="0.25">
      <c r="A10" s="1"/>
    </row>
    <row r="11" spans="1:5" x14ac:dyDescent="0.25">
      <c r="B11" t="s">
        <v>213</v>
      </c>
      <c r="C11" s="2">
        <f>E24</f>
        <v>1153616</v>
      </c>
      <c r="D11" s="2"/>
      <c r="E11" s="2">
        <v>1012207</v>
      </c>
    </row>
    <row r="12" spans="1:5" x14ac:dyDescent="0.25">
      <c r="B12" t="s">
        <v>491</v>
      </c>
      <c r="C12" s="2">
        <v>-35349</v>
      </c>
      <c r="D12" s="2"/>
      <c r="E12" s="2">
        <f>1+144576</f>
        <v>144577</v>
      </c>
    </row>
    <row r="13" spans="1:5" x14ac:dyDescent="0.25">
      <c r="B13" s="100" t="s">
        <v>459</v>
      </c>
      <c r="C13" s="2">
        <v>16678</v>
      </c>
      <c r="D13" s="2"/>
      <c r="E13" s="2">
        <v>582</v>
      </c>
    </row>
    <row r="14" spans="1:5" x14ac:dyDescent="0.25">
      <c r="B14" t="s">
        <v>545</v>
      </c>
      <c r="C14" s="2">
        <v>924175</v>
      </c>
      <c r="D14" s="2"/>
      <c r="E14" s="2"/>
    </row>
    <row r="15" spans="1:5" x14ac:dyDescent="0.25">
      <c r="B15" t="s">
        <v>83</v>
      </c>
      <c r="C15" s="2">
        <v>27868</v>
      </c>
      <c r="D15" s="2"/>
      <c r="E15" s="2">
        <v>0</v>
      </c>
    </row>
    <row r="16" spans="1:5" x14ac:dyDescent="0.25">
      <c r="B16" t="s">
        <v>82</v>
      </c>
      <c r="C16" s="2">
        <v>0</v>
      </c>
      <c r="D16" s="2"/>
      <c r="E16" s="2">
        <v>0</v>
      </c>
    </row>
    <row r="17" spans="2:14" x14ac:dyDescent="0.25">
      <c r="B17" t="s">
        <v>332</v>
      </c>
      <c r="C17" s="2">
        <f>0</f>
        <v>0</v>
      </c>
      <c r="D17" s="2"/>
      <c r="E17" s="2">
        <v>0</v>
      </c>
    </row>
    <row r="18" spans="2:14" x14ac:dyDescent="0.25">
      <c r="B18" t="s">
        <v>336</v>
      </c>
      <c r="C18" s="2">
        <v>0</v>
      </c>
      <c r="D18" s="2"/>
      <c r="E18" s="2">
        <v>0</v>
      </c>
    </row>
    <row r="19" spans="2:14" x14ac:dyDescent="0.25">
      <c r="B19" t="s">
        <v>337</v>
      </c>
      <c r="C19" s="2">
        <v>0</v>
      </c>
      <c r="D19" s="2"/>
      <c r="E19" s="2">
        <v>0</v>
      </c>
    </row>
    <row r="20" spans="2:14" x14ac:dyDescent="0.25">
      <c r="B20" t="s">
        <v>223</v>
      </c>
      <c r="C20" s="2">
        <v>-4180</v>
      </c>
      <c r="D20" s="2"/>
      <c r="E20" s="2">
        <v>0</v>
      </c>
    </row>
    <row r="21" spans="2:14" x14ac:dyDescent="0.25">
      <c r="B21" t="s">
        <v>334</v>
      </c>
      <c r="C21" s="2">
        <v>0</v>
      </c>
      <c r="D21" s="2"/>
      <c r="E21" s="2">
        <v>0</v>
      </c>
      <c r="N21" s="31"/>
    </row>
    <row r="22" spans="2:14" x14ac:dyDescent="0.25">
      <c r="B22" t="s">
        <v>333</v>
      </c>
      <c r="C22" s="2">
        <v>-7550</v>
      </c>
      <c r="D22" s="2"/>
      <c r="E22" s="2">
        <v>-3750</v>
      </c>
    </row>
    <row r="23" spans="2:14" x14ac:dyDescent="0.25">
      <c r="B23" t="s">
        <v>86</v>
      </c>
      <c r="C23" s="2">
        <v>0</v>
      </c>
      <c r="D23" s="2"/>
      <c r="E23" s="2">
        <v>0</v>
      </c>
    </row>
    <row r="24" spans="2:14" x14ac:dyDescent="0.25">
      <c r="B24" t="s">
        <v>84</v>
      </c>
      <c r="C24" s="16">
        <f>SUM(C11:C23)</f>
        <v>2075258</v>
      </c>
      <c r="D24" s="2"/>
      <c r="E24" s="16">
        <f>SUM(E11:E23)</f>
        <v>1153616</v>
      </c>
    </row>
    <row r="25" spans="2:14" x14ac:dyDescent="0.25">
      <c r="C25" s="2"/>
      <c r="D25" s="2"/>
      <c r="E25" s="2"/>
    </row>
    <row r="26" spans="2:14" x14ac:dyDescent="0.25">
      <c r="B26" t="s">
        <v>506</v>
      </c>
      <c r="C26" s="92">
        <f>C24</f>
        <v>2075258</v>
      </c>
      <c r="D26" s="2"/>
      <c r="E26" s="92">
        <f>E24</f>
        <v>1153616</v>
      </c>
    </row>
    <row r="27" spans="2:14" x14ac:dyDescent="0.25">
      <c r="C27" s="2"/>
      <c r="D27" s="2"/>
      <c r="E27" s="2"/>
    </row>
    <row r="28" spans="2:14" x14ac:dyDescent="0.25">
      <c r="B28" s="66" t="s">
        <v>335</v>
      </c>
      <c r="C28" s="2"/>
      <c r="D28" s="2"/>
      <c r="E28" s="2"/>
    </row>
    <row r="29" spans="2:14" x14ac:dyDescent="0.25">
      <c r="B29" s="42" t="s">
        <v>491</v>
      </c>
      <c r="C29" s="2">
        <f>E29+C12</f>
        <v>693980</v>
      </c>
      <c r="D29" s="2"/>
      <c r="E29" s="2">
        <v>729329</v>
      </c>
    </row>
    <row r="30" spans="2:14" x14ac:dyDescent="0.25">
      <c r="B30" s="42" t="s">
        <v>459</v>
      </c>
      <c r="C30" s="2">
        <f>E30+C13</f>
        <v>56616</v>
      </c>
      <c r="D30" s="2"/>
      <c r="E30" s="2">
        <v>39938</v>
      </c>
    </row>
    <row r="31" spans="2:14" x14ac:dyDescent="0.25">
      <c r="B31" t="s">
        <v>545</v>
      </c>
      <c r="C31" s="2">
        <v>924175</v>
      </c>
      <c r="D31" s="2"/>
      <c r="E31" s="2">
        <v>0</v>
      </c>
    </row>
    <row r="32" spans="2:14" x14ac:dyDescent="0.25">
      <c r="B32" s="42" t="s">
        <v>83</v>
      </c>
      <c r="C32" s="2">
        <f>E32+C15</f>
        <v>388050</v>
      </c>
      <c r="D32" s="2"/>
      <c r="E32" s="2">
        <v>360182</v>
      </c>
    </row>
    <row r="33" spans="2:5" x14ac:dyDescent="0.25">
      <c r="B33" s="42" t="s">
        <v>82</v>
      </c>
      <c r="C33" s="2">
        <v>45613</v>
      </c>
      <c r="D33" s="2"/>
      <c r="E33" s="2">
        <v>45613</v>
      </c>
    </row>
    <row r="34" spans="2:5" x14ac:dyDescent="0.25">
      <c r="B34" s="42" t="s">
        <v>332</v>
      </c>
      <c r="C34" s="2">
        <v>93750</v>
      </c>
      <c r="D34" s="2"/>
      <c r="E34" s="2">
        <v>93750</v>
      </c>
    </row>
    <row r="35" spans="2:5" x14ac:dyDescent="0.25">
      <c r="B35" s="42" t="s">
        <v>336</v>
      </c>
      <c r="C35" s="2">
        <v>0</v>
      </c>
      <c r="D35" s="2"/>
      <c r="E35" s="2">
        <v>0</v>
      </c>
    </row>
    <row r="36" spans="2:5" x14ac:dyDescent="0.25">
      <c r="B36" s="42" t="s">
        <v>337</v>
      </c>
      <c r="C36" s="2">
        <v>0</v>
      </c>
      <c r="D36" s="2"/>
      <c r="E36" s="2">
        <v>0</v>
      </c>
    </row>
    <row r="37" spans="2:5" x14ac:dyDescent="0.25">
      <c r="B37" s="42" t="s">
        <v>223</v>
      </c>
      <c r="C37" s="2">
        <f>C20+E37</f>
        <v>-58205</v>
      </c>
      <c r="D37" s="2"/>
      <c r="E37" s="2">
        <v>-54025</v>
      </c>
    </row>
    <row r="38" spans="2:5" x14ac:dyDescent="0.25">
      <c r="B38" s="42" t="s">
        <v>334</v>
      </c>
      <c r="C38" s="2">
        <f>-13048-1339</f>
        <v>-14387</v>
      </c>
      <c r="D38" s="2"/>
      <c r="E38" s="2">
        <f>-13048-1339</f>
        <v>-14387</v>
      </c>
    </row>
    <row r="39" spans="2:5" x14ac:dyDescent="0.25">
      <c r="B39" s="42" t="s">
        <v>333</v>
      </c>
      <c r="C39" s="2">
        <f>E39+C22</f>
        <v>-33919</v>
      </c>
      <c r="D39" s="2"/>
      <c r="E39" s="2">
        <v>-26369</v>
      </c>
    </row>
    <row r="40" spans="2:5" x14ac:dyDescent="0.25">
      <c r="B40" s="42" t="s">
        <v>86</v>
      </c>
      <c r="C40" s="2">
        <v>-20415</v>
      </c>
      <c r="D40" s="2"/>
      <c r="E40" s="2">
        <v>-20415</v>
      </c>
    </row>
    <row r="41" spans="2:5" x14ac:dyDescent="0.25">
      <c r="B41" s="66" t="s">
        <v>84</v>
      </c>
      <c r="C41" s="16">
        <f>SUM(C29:C40)</f>
        <v>2075258</v>
      </c>
      <c r="D41" s="2"/>
      <c r="E41" s="16">
        <f>SUM(E29:E40)</f>
        <v>1153616</v>
      </c>
    </row>
    <row r="42" spans="2:5" x14ac:dyDescent="0.25">
      <c r="B42" s="66"/>
      <c r="C42" s="19"/>
      <c r="D42" s="2"/>
      <c r="E42" s="19"/>
    </row>
    <row r="43" spans="2:5" x14ac:dyDescent="0.25">
      <c r="B43" s="31" t="s">
        <v>214</v>
      </c>
      <c r="C43" s="19"/>
      <c r="D43" s="2"/>
      <c r="E43" s="19"/>
    </row>
    <row r="44" spans="2:5" x14ac:dyDescent="0.25">
      <c r="C44" s="19"/>
      <c r="D44" s="2"/>
      <c r="E44" s="19"/>
    </row>
    <row r="45" spans="2:5" ht="30" x14ac:dyDescent="0.25">
      <c r="B45" s="39" t="s">
        <v>215</v>
      </c>
      <c r="C45" s="2"/>
      <c r="D45" s="2"/>
      <c r="E45" s="2"/>
    </row>
    <row r="46" spans="2:5" x14ac:dyDescent="0.25">
      <c r="B46" t="s">
        <v>209</v>
      </c>
      <c r="C46" s="2"/>
      <c r="D46" s="2"/>
      <c r="E46" s="2"/>
    </row>
    <row r="47" spans="2:5" x14ac:dyDescent="0.25">
      <c r="B47" t="s">
        <v>216</v>
      </c>
      <c r="C47" s="19"/>
      <c r="D47" s="19"/>
      <c r="E47" s="19"/>
    </row>
    <row r="48" spans="2:5" x14ac:dyDescent="0.25">
      <c r="B48" t="s">
        <v>217</v>
      </c>
      <c r="C48" s="19"/>
      <c r="D48" s="19"/>
      <c r="E48" s="19"/>
    </row>
    <row r="49" spans="1:5" x14ac:dyDescent="0.25">
      <c r="B49" t="s">
        <v>218</v>
      </c>
      <c r="C49" s="19"/>
      <c r="D49" s="19"/>
      <c r="E49" s="19"/>
    </row>
    <row r="50" spans="1:5" x14ac:dyDescent="0.25">
      <c r="C50" s="19"/>
      <c r="D50" s="19"/>
      <c r="E50" s="19"/>
    </row>
    <row r="51" spans="1:5" ht="60" x14ac:dyDescent="0.25">
      <c r="B51" s="39" t="s">
        <v>219</v>
      </c>
      <c r="C51" s="19"/>
      <c r="D51" s="19"/>
      <c r="E51" s="19"/>
    </row>
    <row r="52" spans="1:5" x14ac:dyDescent="0.25">
      <c r="C52" s="19"/>
      <c r="D52" s="19"/>
      <c r="E52" s="19"/>
    </row>
    <row r="53" spans="1:5" x14ac:dyDescent="0.25">
      <c r="B53" s="31" t="s">
        <v>220</v>
      </c>
      <c r="C53" s="19"/>
      <c r="D53" s="19"/>
      <c r="E53" s="19"/>
    </row>
    <row r="54" spans="1:5" x14ac:dyDescent="0.25">
      <c r="C54" s="19"/>
      <c r="D54" s="19"/>
      <c r="E54" s="19"/>
    </row>
    <row r="55" spans="1:5" ht="30" x14ac:dyDescent="0.25">
      <c r="B55" s="39" t="s">
        <v>221</v>
      </c>
      <c r="C55" s="22"/>
      <c r="D55" s="20"/>
      <c r="E55" s="22"/>
    </row>
    <row r="56" spans="1:5" x14ac:dyDescent="0.25">
      <c r="A56" s="1"/>
      <c r="C56" s="20"/>
      <c r="D56" s="20"/>
      <c r="E56" s="20"/>
    </row>
    <row r="57" spans="1:5" x14ac:dyDescent="0.25">
      <c r="C57" s="22"/>
      <c r="D57" s="20"/>
      <c r="E57" s="22"/>
    </row>
    <row r="58" spans="1:5" x14ac:dyDescent="0.25">
      <c r="B58" s="20"/>
      <c r="C58" s="19"/>
      <c r="D58" s="19"/>
      <c r="E58" s="19"/>
    </row>
    <row r="59" spans="1:5" x14ac:dyDescent="0.25">
      <c r="B59" s="21"/>
      <c r="C59" s="20"/>
      <c r="D59" s="20"/>
      <c r="E59" s="20"/>
    </row>
    <row r="60" spans="1:5" x14ac:dyDescent="0.25">
      <c r="A60" s="1"/>
      <c r="C60" s="20"/>
      <c r="D60" s="20"/>
      <c r="E60" s="20"/>
    </row>
    <row r="61" spans="1:5" x14ac:dyDescent="0.25">
      <c r="C61" s="20"/>
      <c r="D61" s="20"/>
      <c r="E61" s="20"/>
    </row>
    <row r="62" spans="1:5" x14ac:dyDescent="0.25">
      <c r="C62" s="19"/>
      <c r="D62" s="19"/>
      <c r="E62" s="19"/>
    </row>
    <row r="64" spans="1:5" x14ac:dyDescent="0.25">
      <c r="A64" s="1"/>
    </row>
    <row r="66" spans="1:5" x14ac:dyDescent="0.25">
      <c r="C66" s="19"/>
      <c r="D66" s="19"/>
      <c r="E66" s="19"/>
    </row>
    <row r="68" spans="1:5" x14ac:dyDescent="0.25">
      <c r="A68" s="1"/>
    </row>
    <row r="73" spans="1:5" x14ac:dyDescent="0.25">
      <c r="C73" s="2"/>
      <c r="D73" s="2"/>
      <c r="E73" s="2"/>
    </row>
    <row r="74" spans="1:5" x14ac:dyDescent="0.25">
      <c r="C74" s="2"/>
      <c r="D74" s="2"/>
      <c r="E74" s="2"/>
    </row>
    <row r="75" spans="1:5" x14ac:dyDescent="0.25">
      <c r="C75" s="2"/>
      <c r="D75" s="2"/>
      <c r="E75" s="2"/>
    </row>
    <row r="76" spans="1:5" x14ac:dyDescent="0.25">
      <c r="C76" s="19"/>
      <c r="D76" s="19"/>
      <c r="E76" s="19"/>
    </row>
  </sheetData>
  <pageMargins left="0.70866141732283505" right="0.70866141732283505" top="0.74803149606299202" bottom="0.74803149606299202" header="0.31496062992126" footer="0.31496062992126"/>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U73"/>
  <sheetViews>
    <sheetView topLeftCell="A31" workbookViewId="0">
      <selection activeCell="A4" sqref="A4:F54"/>
    </sheetView>
  </sheetViews>
  <sheetFormatPr defaultRowHeight="15" x14ac:dyDescent="0.25"/>
  <cols>
    <col min="2" max="2" width="63.42578125" customWidth="1"/>
    <col min="3" max="3" width="12.7109375" customWidth="1"/>
    <col min="4" max="4" width="3.7109375" customWidth="1"/>
    <col min="5" max="5" width="12.7109375" customWidth="1"/>
  </cols>
  <sheetData>
    <row r="1" spans="1:21" ht="14.45" x14ac:dyDescent="0.3">
      <c r="A1" s="31"/>
      <c r="B1" s="31" t="s">
        <v>39</v>
      </c>
      <c r="C1" s="31"/>
      <c r="D1" s="31"/>
      <c r="E1" s="31"/>
    </row>
    <row r="2" spans="1:21" ht="14.45" x14ac:dyDescent="0.3">
      <c r="A2" s="31"/>
      <c r="B2" s="31" t="s">
        <v>40</v>
      </c>
      <c r="C2" s="31"/>
      <c r="D2" s="31"/>
      <c r="E2" s="31"/>
    </row>
    <row r="3" spans="1:21" ht="14.45" x14ac:dyDescent="0.3">
      <c r="A3" s="31"/>
      <c r="B3" s="31"/>
      <c r="C3" s="31"/>
      <c r="D3" s="31"/>
      <c r="E3" s="31"/>
    </row>
    <row r="4" spans="1:21" ht="14.45" x14ac:dyDescent="0.3">
      <c r="A4" s="31"/>
      <c r="B4" s="31" t="s">
        <v>77</v>
      </c>
      <c r="C4" s="31"/>
      <c r="D4" s="31"/>
      <c r="E4" s="31"/>
    </row>
    <row r="5" spans="1:21" ht="14.45" x14ac:dyDescent="0.3">
      <c r="A5" s="31"/>
      <c r="B5" s="31" t="s">
        <v>501</v>
      </c>
      <c r="C5" s="31"/>
      <c r="D5" s="31"/>
      <c r="E5" s="31"/>
    </row>
    <row r="6" spans="1:21" ht="14.45" x14ac:dyDescent="0.3">
      <c r="A6" s="31"/>
      <c r="B6" s="31"/>
      <c r="C6" s="87">
        <v>2020</v>
      </c>
      <c r="D6" s="87"/>
      <c r="E6" s="87">
        <v>2019</v>
      </c>
    </row>
    <row r="7" spans="1:21" ht="14.45" x14ac:dyDescent="0.3">
      <c r="A7" s="31"/>
      <c r="B7" s="31"/>
      <c r="C7" s="87" t="s">
        <v>9</v>
      </c>
      <c r="D7" s="87"/>
      <c r="E7" s="87" t="s">
        <v>9</v>
      </c>
    </row>
    <row r="8" spans="1:21" ht="14.45" x14ac:dyDescent="0.3">
      <c r="A8" s="89"/>
      <c r="B8" s="89"/>
      <c r="C8" s="89"/>
      <c r="D8" s="89"/>
      <c r="E8" s="89"/>
    </row>
    <row r="10" spans="1:21" ht="14.45" x14ac:dyDescent="0.3">
      <c r="A10" s="1"/>
      <c r="B10" s="31" t="s">
        <v>222</v>
      </c>
    </row>
    <row r="12" spans="1:21" ht="14.45" x14ac:dyDescent="0.3">
      <c r="B12" t="s">
        <v>213</v>
      </c>
      <c r="C12" s="2">
        <f>E24</f>
        <v>362268</v>
      </c>
      <c r="D12" s="2"/>
      <c r="E12" s="2">
        <v>300704</v>
      </c>
      <c r="G12" s="2"/>
    </row>
    <row r="13" spans="1:21" ht="14.45" x14ac:dyDescent="0.3">
      <c r="B13" t="s">
        <v>491</v>
      </c>
      <c r="C13" s="2">
        <v>-11100</v>
      </c>
      <c r="D13" s="2"/>
      <c r="E13" s="2">
        <f>1+42948</f>
        <v>42949</v>
      </c>
      <c r="G13" s="2"/>
    </row>
    <row r="14" spans="1:21" x14ac:dyDescent="0.25">
      <c r="B14" s="100" t="s">
        <v>409</v>
      </c>
      <c r="C14" s="2">
        <v>5237</v>
      </c>
      <c r="D14" s="2"/>
      <c r="E14" s="2">
        <v>172</v>
      </c>
      <c r="G14" s="2"/>
      <c r="O14" s="31"/>
      <c r="P14" s="45"/>
      <c r="Q14" s="45"/>
      <c r="R14" s="45"/>
      <c r="S14" s="45"/>
      <c r="T14" s="20"/>
      <c r="U14" s="20"/>
    </row>
    <row r="15" spans="1:21" x14ac:dyDescent="0.25">
      <c r="B15" t="s">
        <v>83</v>
      </c>
      <c r="C15" s="2">
        <v>29378</v>
      </c>
      <c r="D15" s="2"/>
      <c r="E15" s="2">
        <v>21698</v>
      </c>
      <c r="G15" s="2"/>
      <c r="O15" s="31"/>
      <c r="P15" s="45"/>
      <c r="Q15" s="45"/>
      <c r="R15" s="45"/>
      <c r="S15" s="45"/>
      <c r="T15" s="20"/>
      <c r="U15" s="20"/>
    </row>
    <row r="16" spans="1:21" x14ac:dyDescent="0.25">
      <c r="B16" t="s">
        <v>82</v>
      </c>
      <c r="C16" s="2">
        <v>0</v>
      </c>
      <c r="D16" s="2"/>
      <c r="E16" s="2">
        <v>0</v>
      </c>
      <c r="G16" s="2"/>
      <c r="O16" s="31"/>
      <c r="P16" s="45"/>
      <c r="Q16" s="45"/>
      <c r="R16" s="45"/>
      <c r="S16" s="45"/>
      <c r="T16" s="20"/>
      <c r="U16" s="20"/>
    </row>
    <row r="17" spans="2:21" x14ac:dyDescent="0.25">
      <c r="B17" t="s">
        <v>332</v>
      </c>
      <c r="C17" s="2">
        <v>0</v>
      </c>
      <c r="D17" s="2"/>
      <c r="E17" s="2">
        <v>0</v>
      </c>
      <c r="G17" s="2"/>
      <c r="O17" s="31"/>
      <c r="P17" s="45"/>
      <c r="Q17" s="45"/>
      <c r="R17" s="45"/>
      <c r="S17" s="45"/>
      <c r="T17" s="20"/>
      <c r="U17" s="20"/>
    </row>
    <row r="18" spans="2:21" x14ac:dyDescent="0.25">
      <c r="B18" t="s">
        <v>336</v>
      </c>
      <c r="C18" s="2">
        <v>0</v>
      </c>
      <c r="D18" s="2"/>
      <c r="E18" s="2">
        <v>0</v>
      </c>
      <c r="G18" s="2"/>
      <c r="O18" s="31"/>
      <c r="P18" s="45"/>
      <c r="Q18" s="45"/>
      <c r="R18" s="45"/>
      <c r="S18" s="45"/>
      <c r="T18" s="20"/>
      <c r="U18" s="20"/>
    </row>
    <row r="19" spans="2:21" x14ac:dyDescent="0.25">
      <c r="B19" t="s">
        <v>337</v>
      </c>
      <c r="C19" s="2">
        <v>0</v>
      </c>
      <c r="D19" s="2"/>
      <c r="E19" s="2">
        <v>0</v>
      </c>
      <c r="G19" s="2"/>
      <c r="O19" s="31"/>
      <c r="P19" s="45"/>
      <c r="Q19" s="154"/>
      <c r="R19" s="154"/>
      <c r="S19" s="154"/>
      <c r="T19" s="20"/>
      <c r="U19" s="20"/>
    </row>
    <row r="20" spans="2:21" x14ac:dyDescent="0.25">
      <c r="B20" t="s">
        <v>223</v>
      </c>
      <c r="C20" s="2">
        <v>-4407</v>
      </c>
      <c r="D20" s="2"/>
      <c r="E20" s="2">
        <v>-3255</v>
      </c>
      <c r="G20" s="2"/>
      <c r="O20" s="31"/>
      <c r="P20" s="45"/>
      <c r="Q20" s="154"/>
      <c r="R20" s="154"/>
      <c r="S20" s="154"/>
      <c r="T20" s="20"/>
      <c r="U20" s="20"/>
    </row>
    <row r="21" spans="2:21" x14ac:dyDescent="0.25">
      <c r="B21" t="s">
        <v>334</v>
      </c>
      <c r="C21" s="2">
        <v>0</v>
      </c>
      <c r="D21" s="2"/>
      <c r="E21" s="2">
        <v>0</v>
      </c>
      <c r="G21" s="2"/>
      <c r="O21" s="45"/>
      <c r="P21" s="45"/>
      <c r="Q21" s="45"/>
      <c r="R21" s="45"/>
      <c r="S21" s="45"/>
      <c r="T21" s="20"/>
      <c r="U21" s="20"/>
    </row>
    <row r="22" spans="2:21" x14ac:dyDescent="0.25">
      <c r="B22" t="s">
        <v>333</v>
      </c>
      <c r="C22" s="2">
        <v>0</v>
      </c>
      <c r="D22" s="2"/>
      <c r="E22" s="2">
        <v>0</v>
      </c>
      <c r="G22" s="19"/>
      <c r="O22" s="20"/>
      <c r="P22" s="20"/>
      <c r="Q22" s="20"/>
      <c r="R22" s="20"/>
      <c r="S22" s="20"/>
      <c r="T22" s="20"/>
      <c r="U22" s="20"/>
    </row>
    <row r="23" spans="2:21" x14ac:dyDescent="0.25">
      <c r="B23" t="s">
        <v>86</v>
      </c>
      <c r="C23" s="2">
        <v>0</v>
      </c>
      <c r="D23" s="2"/>
      <c r="E23" s="2">
        <v>0</v>
      </c>
      <c r="G23" s="19"/>
      <c r="O23" s="1"/>
      <c r="P23" s="45"/>
      <c r="Q23" s="20"/>
      <c r="R23" s="20"/>
      <c r="S23" s="20"/>
      <c r="T23" s="20"/>
      <c r="U23" s="20"/>
    </row>
    <row r="24" spans="2:21" x14ac:dyDescent="0.25">
      <c r="B24" t="s">
        <v>84</v>
      </c>
      <c r="C24" s="16">
        <f>SUM(C12:C23)</f>
        <v>381376</v>
      </c>
      <c r="D24" s="2"/>
      <c r="E24" s="16">
        <f>SUM(E12:E23)</f>
        <v>362268</v>
      </c>
      <c r="G24" s="19"/>
      <c r="P24" s="20"/>
      <c r="Q24" s="20"/>
      <c r="R24" s="20"/>
      <c r="S24" s="20"/>
      <c r="T24" s="20"/>
      <c r="U24" s="20"/>
    </row>
    <row r="25" spans="2:21" x14ac:dyDescent="0.25">
      <c r="C25" s="2"/>
      <c r="D25" s="2"/>
      <c r="E25" s="2"/>
      <c r="G25" s="20"/>
      <c r="P25" s="20"/>
      <c r="Q25" s="19"/>
      <c r="R25" s="19"/>
      <c r="S25" s="19"/>
      <c r="T25" s="20"/>
      <c r="U25" s="20"/>
    </row>
    <row r="26" spans="2:21" x14ac:dyDescent="0.25">
      <c r="B26" t="s">
        <v>460</v>
      </c>
      <c r="C26" s="92">
        <f>C24</f>
        <v>381376</v>
      </c>
      <c r="D26" s="2"/>
      <c r="E26" s="92">
        <f>E24</f>
        <v>362268</v>
      </c>
      <c r="G26" s="20"/>
      <c r="P26" s="20"/>
      <c r="Q26" s="19"/>
      <c r="R26" s="19"/>
      <c r="S26" s="19"/>
      <c r="T26" s="20"/>
      <c r="U26" s="20"/>
    </row>
    <row r="27" spans="2:21" x14ac:dyDescent="0.25">
      <c r="C27" s="2"/>
      <c r="D27" s="2"/>
      <c r="E27" s="2"/>
      <c r="P27" s="20"/>
      <c r="Q27" s="19"/>
      <c r="R27" s="19"/>
      <c r="S27" s="19"/>
      <c r="T27" s="20"/>
      <c r="U27" s="20"/>
    </row>
    <row r="28" spans="2:21" x14ac:dyDescent="0.25">
      <c r="B28" s="66" t="s">
        <v>335</v>
      </c>
      <c r="C28" s="2"/>
      <c r="D28" s="2"/>
      <c r="E28" s="2"/>
      <c r="P28" s="20"/>
      <c r="Q28" s="19"/>
      <c r="R28" s="19"/>
      <c r="S28" s="19"/>
      <c r="T28" s="20"/>
      <c r="U28" s="20"/>
    </row>
    <row r="29" spans="2:21" x14ac:dyDescent="0.25">
      <c r="B29" s="42" t="s">
        <v>80</v>
      </c>
      <c r="C29" s="2">
        <f>E29+C13</f>
        <v>69895</v>
      </c>
      <c r="D29" s="2"/>
      <c r="E29" s="2">
        <v>80995</v>
      </c>
      <c r="P29" s="20"/>
      <c r="Q29" s="19"/>
      <c r="R29" s="19"/>
      <c r="S29" s="19"/>
      <c r="T29" s="20"/>
      <c r="U29" s="20"/>
    </row>
    <row r="30" spans="2:21" x14ac:dyDescent="0.25">
      <c r="B30" s="42" t="s">
        <v>409</v>
      </c>
      <c r="C30" s="2">
        <f>C14+E30</f>
        <v>6314</v>
      </c>
      <c r="D30" s="2"/>
      <c r="E30" s="2">
        <v>1077</v>
      </c>
      <c r="P30" s="20"/>
      <c r="Q30" s="19"/>
      <c r="R30" s="19"/>
      <c r="S30" s="19"/>
      <c r="T30" s="20"/>
      <c r="U30" s="20"/>
    </row>
    <row r="31" spans="2:21" x14ac:dyDescent="0.25">
      <c r="B31" s="42" t="s">
        <v>83</v>
      </c>
      <c r="C31" s="2">
        <f>E31+C15</f>
        <v>67705</v>
      </c>
      <c r="D31" s="2"/>
      <c r="E31" s="2">
        <v>38327</v>
      </c>
      <c r="P31" s="20"/>
      <c r="Q31" s="19"/>
      <c r="R31" s="19"/>
      <c r="S31" s="19"/>
      <c r="T31" s="20"/>
      <c r="U31" s="20"/>
    </row>
    <row r="32" spans="2:21" x14ac:dyDescent="0.25">
      <c r="B32" s="42" t="s">
        <v>82</v>
      </c>
      <c r="C32" s="2">
        <f>E32+C16</f>
        <v>251000</v>
      </c>
      <c r="D32" s="2"/>
      <c r="E32" s="2">
        <v>251000</v>
      </c>
      <c r="P32" s="20"/>
      <c r="Q32" s="19"/>
      <c r="R32" s="19"/>
      <c r="S32" s="19"/>
      <c r="T32" s="20"/>
      <c r="U32" s="20"/>
    </row>
    <row r="33" spans="2:21" x14ac:dyDescent="0.25">
      <c r="B33" s="42" t="s">
        <v>332</v>
      </c>
      <c r="C33" s="2">
        <v>0</v>
      </c>
      <c r="D33" s="2"/>
      <c r="E33" s="2">
        <v>0</v>
      </c>
      <c r="P33" s="20"/>
      <c r="Q33" s="19"/>
      <c r="R33" s="19"/>
      <c r="S33" s="19"/>
      <c r="T33" s="20"/>
      <c r="U33" s="20"/>
    </row>
    <row r="34" spans="2:21" x14ac:dyDescent="0.25">
      <c r="B34" s="42" t="s">
        <v>336</v>
      </c>
      <c r="C34" s="2">
        <v>0</v>
      </c>
      <c r="D34" s="2"/>
      <c r="E34" s="2">
        <v>0</v>
      </c>
      <c r="P34" s="20"/>
      <c r="Q34" s="19"/>
      <c r="R34" s="19"/>
      <c r="S34" s="19"/>
      <c r="T34" s="20"/>
      <c r="U34" s="20"/>
    </row>
    <row r="35" spans="2:21" x14ac:dyDescent="0.25">
      <c r="B35" s="42" t="s">
        <v>337</v>
      </c>
      <c r="C35" s="2">
        <v>0</v>
      </c>
      <c r="D35" s="2"/>
      <c r="E35" s="2">
        <v>0</v>
      </c>
      <c r="P35" s="45"/>
      <c r="Q35" s="19"/>
      <c r="R35" s="19"/>
      <c r="S35" s="19"/>
      <c r="T35" s="20"/>
      <c r="U35" s="20"/>
    </row>
    <row r="36" spans="2:21" x14ac:dyDescent="0.25">
      <c r="B36" s="42" t="s">
        <v>223</v>
      </c>
      <c r="C36" s="2">
        <f>E36+C20</f>
        <v>-10158</v>
      </c>
      <c r="D36" s="2"/>
      <c r="E36" s="2">
        <v>-5751</v>
      </c>
      <c r="P36" s="20"/>
      <c r="Q36" s="19"/>
      <c r="R36" s="19"/>
      <c r="S36" s="19"/>
      <c r="T36" s="20"/>
      <c r="U36" s="20"/>
    </row>
    <row r="37" spans="2:21" x14ac:dyDescent="0.25">
      <c r="B37" s="42" t="s">
        <v>334</v>
      </c>
      <c r="C37" s="2">
        <v>0</v>
      </c>
      <c r="D37" s="2"/>
      <c r="E37" s="2">
        <v>0</v>
      </c>
      <c r="P37" s="155"/>
      <c r="Q37" s="19"/>
      <c r="R37" s="19"/>
      <c r="S37" s="19"/>
      <c r="T37" s="20"/>
      <c r="U37" s="20"/>
    </row>
    <row r="38" spans="2:21" x14ac:dyDescent="0.25">
      <c r="B38" s="42" t="s">
        <v>333</v>
      </c>
      <c r="C38" s="2">
        <v>0</v>
      </c>
      <c r="D38" s="2"/>
      <c r="E38" s="2">
        <v>0</v>
      </c>
      <c r="P38" s="20"/>
      <c r="Q38" s="19"/>
      <c r="R38" s="19"/>
      <c r="S38" s="19"/>
      <c r="T38" s="20"/>
      <c r="U38" s="20"/>
    </row>
    <row r="39" spans="2:21" x14ac:dyDescent="0.25">
      <c r="B39" s="42" t="s">
        <v>86</v>
      </c>
      <c r="C39" s="2">
        <v>-3381</v>
      </c>
      <c r="D39" s="2"/>
      <c r="E39" s="2">
        <v>-3381</v>
      </c>
      <c r="P39" s="20"/>
      <c r="Q39" s="19"/>
      <c r="R39" s="19"/>
      <c r="S39" s="19"/>
      <c r="T39" s="20"/>
      <c r="U39" s="20"/>
    </row>
    <row r="40" spans="2:21" x14ac:dyDescent="0.25">
      <c r="B40" s="66" t="s">
        <v>84</v>
      </c>
      <c r="C40" s="16">
        <f>SUM(C29:C39)</f>
        <v>381375</v>
      </c>
      <c r="D40" s="2"/>
      <c r="E40" s="16">
        <f>SUM(E29:E39)</f>
        <v>362267</v>
      </c>
      <c r="P40" s="20"/>
      <c r="Q40" s="19"/>
      <c r="R40" s="19"/>
      <c r="S40" s="19"/>
      <c r="T40" s="20"/>
      <c r="U40" s="20"/>
    </row>
    <row r="41" spans="2:21" x14ac:dyDescent="0.25">
      <c r="B41" s="66"/>
      <c r="C41" s="19"/>
      <c r="D41" s="2"/>
      <c r="E41" s="19"/>
      <c r="P41" s="20"/>
      <c r="Q41" s="19"/>
      <c r="R41" s="19"/>
      <c r="S41" s="19"/>
      <c r="T41" s="20"/>
      <c r="U41" s="20"/>
    </row>
    <row r="42" spans="2:21" x14ac:dyDescent="0.25">
      <c r="B42" s="31" t="s">
        <v>214</v>
      </c>
      <c r="C42" s="19"/>
      <c r="D42" s="2"/>
      <c r="E42" s="19"/>
      <c r="P42" s="20"/>
      <c r="Q42" s="19"/>
      <c r="R42" s="19"/>
      <c r="S42" s="19"/>
      <c r="T42" s="20"/>
      <c r="U42" s="20"/>
    </row>
    <row r="43" spans="2:21" x14ac:dyDescent="0.25">
      <c r="C43" s="19"/>
      <c r="D43" s="2"/>
      <c r="E43" s="19"/>
      <c r="P43" s="155"/>
      <c r="Q43" s="19"/>
      <c r="R43" s="19"/>
      <c r="S43" s="19"/>
      <c r="T43" s="20"/>
      <c r="U43" s="20"/>
    </row>
    <row r="44" spans="2:21" ht="30" x14ac:dyDescent="0.25">
      <c r="B44" s="39" t="s">
        <v>215</v>
      </c>
      <c r="C44" s="2"/>
      <c r="D44" s="2"/>
      <c r="E44" s="2"/>
      <c r="P44" s="20"/>
      <c r="Q44" s="19"/>
      <c r="R44" s="19"/>
      <c r="S44" s="19"/>
      <c r="T44" s="20"/>
      <c r="U44" s="20"/>
    </row>
    <row r="45" spans="2:21" x14ac:dyDescent="0.25">
      <c r="B45" t="s">
        <v>209</v>
      </c>
      <c r="C45" s="2"/>
      <c r="D45" s="2"/>
      <c r="E45" s="2"/>
      <c r="P45" s="45"/>
      <c r="Q45" s="19"/>
      <c r="R45" s="19"/>
      <c r="S45" s="19"/>
      <c r="T45" s="20"/>
      <c r="U45" s="20"/>
    </row>
    <row r="46" spans="2:21" x14ac:dyDescent="0.25">
      <c r="B46" t="s">
        <v>216</v>
      </c>
      <c r="C46" s="19"/>
      <c r="D46" s="19"/>
      <c r="E46" s="19"/>
      <c r="P46" s="20"/>
      <c r="Q46" s="19"/>
      <c r="R46" s="19"/>
      <c r="S46" s="19"/>
      <c r="T46" s="20"/>
      <c r="U46" s="20"/>
    </row>
    <row r="47" spans="2:21" x14ac:dyDescent="0.25">
      <c r="B47" t="s">
        <v>217</v>
      </c>
      <c r="C47" s="19"/>
      <c r="D47" s="19"/>
      <c r="E47" s="19"/>
      <c r="P47" s="155"/>
      <c r="Q47" s="22"/>
      <c r="R47" s="20"/>
      <c r="S47" s="22"/>
      <c r="T47" s="20"/>
      <c r="U47" s="20"/>
    </row>
    <row r="48" spans="2:21" x14ac:dyDescent="0.25">
      <c r="B48" t="s">
        <v>218</v>
      </c>
      <c r="C48" s="19"/>
      <c r="D48" s="19"/>
      <c r="E48" s="19"/>
      <c r="P48" s="20"/>
      <c r="Q48" s="20"/>
      <c r="R48" s="20"/>
      <c r="S48" s="20"/>
      <c r="T48" s="20"/>
      <c r="U48" s="20"/>
    </row>
    <row r="49" spans="1:21" x14ac:dyDescent="0.25">
      <c r="C49" s="19"/>
      <c r="D49" s="19"/>
      <c r="E49" s="19"/>
      <c r="P49" s="20"/>
      <c r="Q49" s="20"/>
      <c r="R49" s="20"/>
      <c r="S49" s="20"/>
      <c r="T49" s="20"/>
      <c r="U49" s="20"/>
    </row>
    <row r="50" spans="1:21" ht="60" x14ac:dyDescent="0.25">
      <c r="B50" s="39" t="s">
        <v>219</v>
      </c>
      <c r="C50" s="19"/>
      <c r="D50" s="19"/>
      <c r="E50" s="19"/>
      <c r="P50" s="20"/>
      <c r="Q50" s="20"/>
      <c r="R50" s="20"/>
      <c r="S50" s="20"/>
      <c r="T50" s="20"/>
      <c r="U50" s="20"/>
    </row>
    <row r="51" spans="1:21" x14ac:dyDescent="0.25">
      <c r="C51" s="19"/>
      <c r="D51" s="19"/>
      <c r="E51" s="19"/>
      <c r="P51" s="20"/>
      <c r="Q51" s="20"/>
      <c r="R51" s="20"/>
      <c r="S51" s="20"/>
      <c r="T51" s="20"/>
      <c r="U51" s="20"/>
    </row>
    <row r="52" spans="1:21" x14ac:dyDescent="0.25">
      <c r="B52" s="31" t="s">
        <v>220</v>
      </c>
      <c r="C52" s="19"/>
      <c r="D52" s="19"/>
      <c r="E52" s="19"/>
      <c r="P52" s="20"/>
      <c r="Q52" s="20"/>
      <c r="R52" s="20"/>
      <c r="S52" s="20"/>
      <c r="T52" s="20"/>
      <c r="U52" s="20"/>
    </row>
    <row r="53" spans="1:21" x14ac:dyDescent="0.25">
      <c r="A53" s="1"/>
      <c r="C53" s="19"/>
      <c r="D53" s="19"/>
      <c r="E53" s="19"/>
      <c r="P53" s="20"/>
      <c r="Q53" s="20"/>
      <c r="R53" s="20"/>
      <c r="S53" s="20"/>
      <c r="T53" s="20"/>
      <c r="U53" s="20"/>
    </row>
    <row r="54" spans="1:21" ht="30" x14ac:dyDescent="0.25">
      <c r="B54" s="39" t="s">
        <v>221</v>
      </c>
      <c r="C54" s="22"/>
      <c r="D54" s="20"/>
      <c r="E54" s="22"/>
      <c r="P54" s="20"/>
      <c r="Q54" s="20"/>
      <c r="R54" s="20"/>
      <c r="S54" s="20"/>
      <c r="T54" s="20"/>
      <c r="U54" s="20"/>
    </row>
    <row r="55" spans="1:21" x14ac:dyDescent="0.25">
      <c r="B55" s="20"/>
      <c r="C55" s="19"/>
      <c r="D55" s="19"/>
      <c r="E55" s="19"/>
      <c r="P55" s="20"/>
      <c r="Q55" s="20"/>
      <c r="R55" s="20"/>
      <c r="S55" s="20"/>
      <c r="T55" s="20"/>
      <c r="U55" s="20"/>
    </row>
    <row r="56" spans="1:21" x14ac:dyDescent="0.25">
      <c r="B56" s="21"/>
      <c r="C56" s="20"/>
      <c r="D56" s="20"/>
      <c r="E56" s="20"/>
      <c r="P56" s="20"/>
      <c r="Q56" s="20"/>
      <c r="R56" s="20"/>
      <c r="S56" s="20"/>
      <c r="T56" s="20"/>
      <c r="U56" s="20"/>
    </row>
    <row r="57" spans="1:21" x14ac:dyDescent="0.25">
      <c r="A57" s="1"/>
      <c r="C57" s="20"/>
      <c r="D57" s="20"/>
      <c r="E57" s="20"/>
    </row>
    <row r="58" spans="1:21" x14ac:dyDescent="0.25">
      <c r="C58" s="20"/>
      <c r="D58" s="20"/>
      <c r="E58" s="20"/>
    </row>
    <row r="59" spans="1:21" x14ac:dyDescent="0.25">
      <c r="C59" s="19"/>
      <c r="D59" s="19"/>
      <c r="E59" s="19"/>
    </row>
    <row r="61" spans="1:21" x14ac:dyDescent="0.25">
      <c r="A61" s="1"/>
    </row>
    <row r="63" spans="1:21" x14ac:dyDescent="0.25">
      <c r="C63" s="19"/>
      <c r="D63" s="19"/>
      <c r="E63" s="19"/>
    </row>
    <row r="65" spans="1:5" x14ac:dyDescent="0.25">
      <c r="A65" s="1"/>
    </row>
    <row r="70" spans="1:5" x14ac:dyDescent="0.25">
      <c r="C70" s="2"/>
      <c r="D70" s="2"/>
      <c r="E70" s="2"/>
    </row>
    <row r="71" spans="1:5" x14ac:dyDescent="0.25">
      <c r="C71" s="2"/>
      <c r="D71" s="2"/>
      <c r="E71" s="2"/>
    </row>
    <row r="72" spans="1:5" x14ac:dyDescent="0.25">
      <c r="C72" s="2"/>
      <c r="D72" s="2"/>
      <c r="E72" s="2"/>
    </row>
    <row r="73" spans="1:5" x14ac:dyDescent="0.25">
      <c r="C73" s="19"/>
      <c r="D73" s="19"/>
      <c r="E73" s="19"/>
    </row>
  </sheetData>
  <pageMargins left="0.70866141732283505" right="0.70866141732283505" top="0.74803149606299202" bottom="0.74803149606299202" header="0.31496062992126" footer="0.31496062992126"/>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F4A-67FB-4D78-9B93-96B412C19990}">
  <sheetPr>
    <tabColor rgb="FF7030A0"/>
    <pageSetUpPr fitToPage="1"/>
  </sheetPr>
  <dimension ref="A1:E77"/>
  <sheetViews>
    <sheetView topLeftCell="A34" workbookViewId="0">
      <selection sqref="A1:F56"/>
    </sheetView>
  </sheetViews>
  <sheetFormatPr defaultRowHeight="15" x14ac:dyDescent="0.25"/>
  <cols>
    <col min="2" max="2" width="61.85546875" customWidth="1"/>
    <col min="3" max="3" width="12.7109375" customWidth="1"/>
    <col min="4" max="4" width="3.7109375" customWidth="1"/>
    <col min="5" max="5" width="12.7109375" customWidth="1"/>
  </cols>
  <sheetData>
    <row r="1" spans="1:5" ht="14.45" x14ac:dyDescent="0.3">
      <c r="A1" s="31"/>
      <c r="B1" s="31" t="s">
        <v>39</v>
      </c>
      <c r="C1" s="31"/>
      <c r="D1" s="31"/>
      <c r="E1" s="31"/>
    </row>
    <row r="2" spans="1:5" ht="14.45" x14ac:dyDescent="0.3">
      <c r="A2" s="31"/>
      <c r="B2" s="31" t="s">
        <v>40</v>
      </c>
      <c r="C2" s="31"/>
      <c r="D2" s="31"/>
      <c r="E2" s="31"/>
    </row>
    <row r="3" spans="1:5" ht="14.45" x14ac:dyDescent="0.3">
      <c r="A3" s="31"/>
      <c r="B3" s="31"/>
      <c r="C3" s="31"/>
      <c r="D3" s="31"/>
      <c r="E3" s="31"/>
    </row>
    <row r="4" spans="1:5" ht="14.45" x14ac:dyDescent="0.3">
      <c r="A4" s="31"/>
      <c r="B4" s="31" t="s">
        <v>77</v>
      </c>
      <c r="C4" s="31"/>
      <c r="D4" s="31"/>
      <c r="E4" s="31"/>
    </row>
    <row r="5" spans="1:5" ht="14.45" x14ac:dyDescent="0.3">
      <c r="A5" s="31"/>
      <c r="B5" s="31" t="s">
        <v>501</v>
      </c>
      <c r="C5" s="31"/>
      <c r="D5" s="31"/>
      <c r="E5" s="31"/>
    </row>
    <row r="6" spans="1:5" ht="14.45" x14ac:dyDescent="0.3">
      <c r="A6" s="31"/>
      <c r="B6" s="31"/>
      <c r="C6" s="87">
        <v>2020</v>
      </c>
      <c r="D6" s="87"/>
      <c r="E6" s="87">
        <v>2019</v>
      </c>
    </row>
    <row r="7" spans="1:5" ht="14.45" x14ac:dyDescent="0.3">
      <c r="A7" s="31"/>
      <c r="B7" s="31"/>
      <c r="C7" s="87" t="s">
        <v>9</v>
      </c>
      <c r="D7" s="87"/>
      <c r="E7" s="87" t="s">
        <v>9</v>
      </c>
    </row>
    <row r="8" spans="1:5" ht="14.45" x14ac:dyDescent="0.3">
      <c r="A8" s="89"/>
      <c r="B8" s="89"/>
      <c r="C8" s="89"/>
      <c r="D8" s="89"/>
      <c r="E8" s="89"/>
    </row>
    <row r="10" spans="1:5" ht="14.45" x14ac:dyDescent="0.3">
      <c r="A10" s="1"/>
      <c r="B10" s="31" t="s">
        <v>87</v>
      </c>
    </row>
    <row r="12" spans="1:5" ht="14.45" x14ac:dyDescent="0.3">
      <c r="B12" t="s">
        <v>213</v>
      </c>
      <c r="C12" s="2">
        <f>E25</f>
        <v>57623</v>
      </c>
      <c r="D12" s="2"/>
      <c r="E12" s="2">
        <v>50395</v>
      </c>
    </row>
    <row r="13" spans="1:5" ht="14.45" x14ac:dyDescent="0.3">
      <c r="B13" t="s">
        <v>507</v>
      </c>
      <c r="C13" s="2">
        <v>-1766</v>
      </c>
      <c r="D13" s="2"/>
      <c r="E13" s="2">
        <f>-2+7198+2</f>
        <v>7198</v>
      </c>
    </row>
    <row r="14" spans="1:5" ht="14.45" x14ac:dyDescent="0.3">
      <c r="B14" s="100" t="s">
        <v>409</v>
      </c>
      <c r="C14" s="2">
        <v>833</v>
      </c>
      <c r="D14" s="2"/>
      <c r="E14" s="2">
        <v>30</v>
      </c>
    </row>
    <row r="15" spans="1:5" ht="14.45" x14ac:dyDescent="0.3">
      <c r="B15" t="s">
        <v>83</v>
      </c>
      <c r="C15" s="2">
        <v>0</v>
      </c>
      <c r="D15" s="2"/>
      <c r="E15" s="2">
        <v>0</v>
      </c>
    </row>
    <row r="16" spans="1:5" ht="14.45" x14ac:dyDescent="0.3">
      <c r="B16" t="s">
        <v>82</v>
      </c>
      <c r="C16" s="2">
        <v>0</v>
      </c>
      <c r="D16" s="2"/>
      <c r="E16" s="2">
        <v>0</v>
      </c>
    </row>
    <row r="17" spans="2:5" x14ac:dyDescent="0.25">
      <c r="B17" t="s">
        <v>357</v>
      </c>
      <c r="C17" s="2">
        <v>0</v>
      </c>
      <c r="D17" s="2"/>
      <c r="E17" s="2">
        <v>0</v>
      </c>
    </row>
    <row r="18" spans="2:5" x14ac:dyDescent="0.25">
      <c r="B18" t="s">
        <v>332</v>
      </c>
      <c r="C18" s="2">
        <v>0</v>
      </c>
      <c r="D18" s="2"/>
      <c r="E18" s="2">
        <v>0</v>
      </c>
    </row>
    <row r="19" spans="2:5" x14ac:dyDescent="0.25">
      <c r="B19" t="s">
        <v>336</v>
      </c>
      <c r="C19" s="2">
        <v>0</v>
      </c>
      <c r="D19" s="2"/>
      <c r="E19" s="2">
        <v>0</v>
      </c>
    </row>
    <row r="20" spans="2:5" x14ac:dyDescent="0.25">
      <c r="B20" t="s">
        <v>337</v>
      </c>
      <c r="C20" s="2">
        <v>0</v>
      </c>
      <c r="D20" s="2"/>
      <c r="E20" s="2">
        <v>0</v>
      </c>
    </row>
    <row r="21" spans="2:5" x14ac:dyDescent="0.25">
      <c r="B21" t="s">
        <v>223</v>
      </c>
      <c r="C21" s="2">
        <v>0</v>
      </c>
      <c r="D21" s="2"/>
      <c r="E21" s="2">
        <v>0</v>
      </c>
    </row>
    <row r="22" spans="2:5" x14ac:dyDescent="0.25">
      <c r="B22" t="s">
        <v>334</v>
      </c>
      <c r="C22" s="2">
        <v>0</v>
      </c>
      <c r="D22" s="2"/>
      <c r="E22" s="2">
        <v>0</v>
      </c>
    </row>
    <row r="23" spans="2:5" x14ac:dyDescent="0.25">
      <c r="B23" t="s">
        <v>333</v>
      </c>
      <c r="C23" s="2">
        <v>0</v>
      </c>
      <c r="D23" s="2"/>
      <c r="E23" s="2">
        <v>0</v>
      </c>
    </row>
    <row r="24" spans="2:5" x14ac:dyDescent="0.25">
      <c r="B24" t="s">
        <v>86</v>
      </c>
      <c r="C24" s="2">
        <v>0</v>
      </c>
      <c r="D24" s="2"/>
      <c r="E24" s="2">
        <v>0</v>
      </c>
    </row>
    <row r="25" spans="2:5" x14ac:dyDescent="0.25">
      <c r="B25" t="s">
        <v>84</v>
      </c>
      <c r="C25" s="16">
        <f>SUM(C12:C24)</f>
        <v>56690</v>
      </c>
      <c r="D25" s="2"/>
      <c r="E25" s="16">
        <f>SUM(E12:E24)</f>
        <v>57623</v>
      </c>
    </row>
    <row r="26" spans="2:5" x14ac:dyDescent="0.25">
      <c r="C26" s="2"/>
      <c r="D26" s="2"/>
      <c r="E26" s="2"/>
    </row>
    <row r="27" spans="2:5" x14ac:dyDescent="0.25">
      <c r="B27" t="s">
        <v>460</v>
      </c>
      <c r="C27" s="92">
        <f>C25</f>
        <v>56690</v>
      </c>
      <c r="D27" s="2"/>
      <c r="E27" s="92">
        <f>E25</f>
        <v>57623</v>
      </c>
    </row>
    <row r="28" spans="2:5" x14ac:dyDescent="0.25">
      <c r="C28" s="2"/>
      <c r="D28" s="2"/>
      <c r="E28" s="2"/>
    </row>
    <row r="29" spans="2:5" x14ac:dyDescent="0.25">
      <c r="B29" s="66" t="s">
        <v>335</v>
      </c>
      <c r="C29" s="2"/>
      <c r="D29" s="2"/>
      <c r="E29" s="2"/>
    </row>
    <row r="30" spans="2:5" x14ac:dyDescent="0.25">
      <c r="B30" s="42" t="s">
        <v>80</v>
      </c>
      <c r="C30" s="2">
        <f>E30+C13</f>
        <v>19419</v>
      </c>
      <c r="D30" s="2"/>
      <c r="E30" s="2">
        <f>2+21183</f>
        <v>21185</v>
      </c>
    </row>
    <row r="31" spans="2:5" x14ac:dyDescent="0.25">
      <c r="B31" s="42" t="s">
        <v>409</v>
      </c>
      <c r="C31" s="2">
        <f>E31+C14</f>
        <v>1856</v>
      </c>
      <c r="D31" s="2"/>
      <c r="E31" s="2">
        <v>1023</v>
      </c>
    </row>
    <row r="32" spans="2:5" x14ac:dyDescent="0.25">
      <c r="B32" s="42" t="s">
        <v>83</v>
      </c>
      <c r="C32" s="2">
        <f>E32+C15</f>
        <v>20449</v>
      </c>
      <c r="D32" s="2"/>
      <c r="E32" s="2">
        <v>20449</v>
      </c>
    </row>
    <row r="33" spans="2:5" x14ac:dyDescent="0.25">
      <c r="B33" s="42" t="s">
        <v>82</v>
      </c>
      <c r="C33" s="2">
        <v>6000</v>
      </c>
      <c r="D33" s="2"/>
      <c r="E33" s="2">
        <v>6000</v>
      </c>
    </row>
    <row r="34" spans="2:5" x14ac:dyDescent="0.25">
      <c r="B34" s="42" t="s">
        <v>357</v>
      </c>
      <c r="C34" s="2">
        <v>5021</v>
      </c>
      <c r="D34" s="2"/>
      <c r="E34" s="2">
        <v>5021</v>
      </c>
    </row>
    <row r="35" spans="2:5" x14ac:dyDescent="0.25">
      <c r="B35" s="42" t="s">
        <v>332</v>
      </c>
      <c r="C35" s="2">
        <v>0</v>
      </c>
      <c r="D35" s="2"/>
      <c r="E35" s="2">
        <v>0</v>
      </c>
    </row>
    <row r="36" spans="2:5" x14ac:dyDescent="0.25">
      <c r="B36" s="42" t="s">
        <v>336</v>
      </c>
      <c r="C36" s="2">
        <v>0</v>
      </c>
      <c r="D36" s="2"/>
      <c r="E36" s="2">
        <v>0</v>
      </c>
    </row>
    <row r="37" spans="2:5" x14ac:dyDescent="0.25">
      <c r="B37" s="42" t="s">
        <v>337</v>
      </c>
      <c r="C37" s="2">
        <v>7013</v>
      </c>
      <c r="D37" s="2"/>
      <c r="E37" s="2">
        <v>7013</v>
      </c>
    </row>
    <row r="38" spans="2:5" x14ac:dyDescent="0.25">
      <c r="B38" s="42" t="s">
        <v>223</v>
      </c>
      <c r="C38" s="2">
        <f>C21+E38</f>
        <v>-3068</v>
      </c>
      <c r="D38" s="2"/>
      <c r="E38" s="2">
        <v>-3068</v>
      </c>
    </row>
    <row r="39" spans="2:5" x14ac:dyDescent="0.25">
      <c r="B39" s="42" t="s">
        <v>334</v>
      </c>
      <c r="C39" s="2">
        <v>0</v>
      </c>
      <c r="D39" s="2"/>
      <c r="E39" s="2">
        <v>0</v>
      </c>
    </row>
    <row r="40" spans="2:5" x14ac:dyDescent="0.25">
      <c r="B40" s="42" t="s">
        <v>333</v>
      </c>
      <c r="C40" s="2">
        <v>0</v>
      </c>
      <c r="D40" s="2"/>
      <c r="E40" s="2">
        <v>0</v>
      </c>
    </row>
    <row r="41" spans="2:5" x14ac:dyDescent="0.25">
      <c r="B41" s="42" t="s">
        <v>86</v>
      </c>
      <c r="C41" s="2">
        <v>0</v>
      </c>
      <c r="D41" s="2"/>
      <c r="E41" s="2">
        <v>0</v>
      </c>
    </row>
    <row r="42" spans="2:5" x14ac:dyDescent="0.25">
      <c r="B42" s="66" t="s">
        <v>84</v>
      </c>
      <c r="C42" s="16">
        <f>SUM(C30:C41)</f>
        <v>56690</v>
      </c>
      <c r="D42" s="2"/>
      <c r="E42" s="16">
        <f>SUM(E30:E41)</f>
        <v>57623</v>
      </c>
    </row>
    <row r="43" spans="2:5" x14ac:dyDescent="0.25">
      <c r="C43" s="2"/>
      <c r="D43" s="2"/>
      <c r="E43" s="2"/>
    </row>
    <row r="44" spans="2:5" x14ac:dyDescent="0.25">
      <c r="B44" s="31" t="s">
        <v>214</v>
      </c>
      <c r="C44" s="2"/>
      <c r="D44" s="2"/>
      <c r="E44" s="2"/>
    </row>
    <row r="45" spans="2:5" x14ac:dyDescent="0.25">
      <c r="C45" s="2"/>
      <c r="D45" s="2"/>
      <c r="E45" s="2"/>
    </row>
    <row r="46" spans="2:5" ht="30" x14ac:dyDescent="0.25">
      <c r="B46" s="39" t="s">
        <v>215</v>
      </c>
      <c r="C46" s="2"/>
      <c r="D46" s="2"/>
      <c r="E46" s="2"/>
    </row>
    <row r="47" spans="2:5" x14ac:dyDescent="0.25">
      <c r="B47" t="s">
        <v>209</v>
      </c>
      <c r="C47" s="2"/>
      <c r="D47" s="2"/>
      <c r="E47" s="2"/>
    </row>
    <row r="48" spans="2:5" x14ac:dyDescent="0.25">
      <c r="B48" t="s">
        <v>216</v>
      </c>
      <c r="C48" s="19"/>
      <c r="D48" s="19"/>
      <c r="E48" s="19"/>
    </row>
    <row r="49" spans="1:5" x14ac:dyDescent="0.25">
      <c r="B49" t="s">
        <v>217</v>
      </c>
      <c r="C49" s="19"/>
      <c r="D49" s="19"/>
      <c r="E49" s="19"/>
    </row>
    <row r="50" spans="1:5" x14ac:dyDescent="0.25">
      <c r="B50" t="s">
        <v>218</v>
      </c>
      <c r="C50" s="19"/>
      <c r="D50" s="19"/>
      <c r="E50" s="19"/>
    </row>
    <row r="51" spans="1:5" x14ac:dyDescent="0.25">
      <c r="C51" s="19"/>
      <c r="D51" s="19"/>
      <c r="E51" s="19"/>
    </row>
    <row r="52" spans="1:5" ht="60" x14ac:dyDescent="0.25">
      <c r="B52" s="39" t="s">
        <v>219</v>
      </c>
      <c r="C52" s="19"/>
      <c r="D52" s="19"/>
      <c r="E52" s="19"/>
    </row>
    <row r="53" spans="1:5" x14ac:dyDescent="0.25">
      <c r="C53" s="19"/>
      <c r="D53" s="19"/>
      <c r="E53" s="19"/>
    </row>
    <row r="54" spans="1:5" x14ac:dyDescent="0.25">
      <c r="B54" s="31" t="s">
        <v>220</v>
      </c>
      <c r="C54" s="19"/>
      <c r="D54" s="19"/>
      <c r="E54" s="19"/>
    </row>
    <row r="55" spans="1:5" x14ac:dyDescent="0.25">
      <c r="C55" s="19"/>
      <c r="D55" s="19"/>
      <c r="E55" s="19"/>
    </row>
    <row r="56" spans="1:5" ht="30" x14ac:dyDescent="0.25">
      <c r="B56" s="39" t="s">
        <v>221</v>
      </c>
      <c r="C56" s="22"/>
      <c r="D56" s="20"/>
      <c r="E56" s="22"/>
    </row>
    <row r="57" spans="1:5" x14ac:dyDescent="0.25">
      <c r="A57" s="1"/>
      <c r="C57" s="20"/>
      <c r="D57" s="20"/>
      <c r="E57" s="20"/>
    </row>
    <row r="58" spans="1:5" x14ac:dyDescent="0.25">
      <c r="C58" s="22"/>
      <c r="D58" s="20"/>
      <c r="E58" s="22"/>
    </row>
    <row r="59" spans="1:5" x14ac:dyDescent="0.25">
      <c r="B59" s="20"/>
      <c r="C59" s="19"/>
      <c r="D59" s="19"/>
      <c r="E59" s="19"/>
    </row>
    <row r="60" spans="1:5" x14ac:dyDescent="0.25">
      <c r="B60" s="21"/>
      <c r="C60" s="20"/>
      <c r="D60" s="20"/>
      <c r="E60" s="20"/>
    </row>
    <row r="61" spans="1:5" x14ac:dyDescent="0.25">
      <c r="A61" s="1"/>
      <c r="C61" s="20"/>
      <c r="D61" s="20"/>
      <c r="E61" s="20"/>
    </row>
    <row r="62" spans="1:5" x14ac:dyDescent="0.25">
      <c r="C62" s="20"/>
      <c r="D62" s="20"/>
      <c r="E62" s="20"/>
    </row>
    <row r="63" spans="1:5" x14ac:dyDescent="0.25">
      <c r="C63" s="19"/>
      <c r="D63" s="19"/>
      <c r="E63" s="19"/>
    </row>
    <row r="65" spans="1:5" x14ac:dyDescent="0.25">
      <c r="A65" s="1"/>
    </row>
    <row r="67" spans="1:5" x14ac:dyDescent="0.25">
      <c r="C67" s="19"/>
      <c r="D67" s="19"/>
      <c r="E67" s="19"/>
    </row>
    <row r="69" spans="1:5" x14ac:dyDescent="0.25">
      <c r="A69" s="1"/>
    </row>
    <row r="74" spans="1:5" x14ac:dyDescent="0.25">
      <c r="C74" s="2"/>
      <c r="D74" s="2"/>
      <c r="E74" s="2"/>
    </row>
    <row r="75" spans="1:5" x14ac:dyDescent="0.25">
      <c r="C75" s="2"/>
      <c r="D75" s="2"/>
      <c r="E75" s="2"/>
    </row>
    <row r="76" spans="1:5" x14ac:dyDescent="0.25">
      <c r="C76" s="2"/>
      <c r="D76" s="2"/>
      <c r="E76" s="2"/>
    </row>
    <row r="77" spans="1:5" x14ac:dyDescent="0.25">
      <c r="C77" s="19"/>
      <c r="D77" s="19"/>
      <c r="E77" s="19"/>
    </row>
  </sheetData>
  <pageMargins left="0.70866141732283505" right="0.70866141732283505" top="0.74803149606299202" bottom="0.74803149606299202" header="0.31496062992126" footer="0.31496062992126"/>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C541E-4272-47B9-9C84-DC03B7B37D24}">
  <sheetPr>
    <tabColor rgb="FF7030A0"/>
    <pageSetUpPr fitToPage="1"/>
  </sheetPr>
  <dimension ref="A1:G55"/>
  <sheetViews>
    <sheetView topLeftCell="A26" workbookViewId="0">
      <selection sqref="A1:G54"/>
    </sheetView>
  </sheetViews>
  <sheetFormatPr defaultRowHeight="15" x14ac:dyDescent="0.25"/>
  <cols>
    <col min="2" max="2" width="63.5703125" customWidth="1"/>
    <col min="3" max="3" width="11.7109375" customWidth="1"/>
    <col min="4" max="4" width="3.28515625" customWidth="1"/>
    <col min="5" max="5" width="12.7109375" customWidth="1"/>
    <col min="6" max="6" width="3.7109375" customWidth="1"/>
    <col min="7" max="7" width="12.7109375" customWidth="1"/>
  </cols>
  <sheetData>
    <row r="1" spans="1:7" ht="14.45" x14ac:dyDescent="0.3">
      <c r="A1" s="31"/>
      <c r="B1" s="31" t="s">
        <v>39</v>
      </c>
      <c r="C1" s="31"/>
      <c r="D1" s="31"/>
      <c r="E1" s="31"/>
      <c r="F1" s="31"/>
      <c r="G1" s="31"/>
    </row>
    <row r="2" spans="1:7" ht="14.45" x14ac:dyDescent="0.3">
      <c r="A2" s="31"/>
      <c r="B2" s="31" t="s">
        <v>40</v>
      </c>
      <c r="C2" s="31"/>
      <c r="D2" s="31"/>
      <c r="E2" s="31"/>
      <c r="F2" s="31"/>
      <c r="G2" s="31"/>
    </row>
    <row r="3" spans="1:7" ht="14.45" x14ac:dyDescent="0.3">
      <c r="A3" s="31"/>
      <c r="B3" s="31"/>
      <c r="C3" s="31"/>
      <c r="D3" s="31"/>
      <c r="E3" s="31"/>
      <c r="F3" s="31"/>
      <c r="G3" s="31"/>
    </row>
    <row r="4" spans="1:7" ht="14.45" x14ac:dyDescent="0.3">
      <c r="A4" s="31"/>
      <c r="B4" s="31" t="s">
        <v>77</v>
      </c>
      <c r="C4" s="31"/>
      <c r="D4" s="31"/>
      <c r="E4" s="31"/>
      <c r="F4" s="31"/>
      <c r="G4" s="31"/>
    </row>
    <row r="5" spans="1:7" ht="14.45" x14ac:dyDescent="0.3">
      <c r="A5" s="31"/>
      <c r="B5" s="31" t="s">
        <v>501</v>
      </c>
      <c r="C5" s="31"/>
      <c r="D5" s="31"/>
      <c r="E5" s="31"/>
      <c r="F5" s="31"/>
      <c r="G5" s="31"/>
    </row>
    <row r="6" spans="1:7" ht="14.45" x14ac:dyDescent="0.3">
      <c r="A6" s="31"/>
      <c r="B6" s="31"/>
      <c r="C6" s="87">
        <v>2020</v>
      </c>
      <c r="D6" s="87"/>
      <c r="E6" s="87">
        <v>2019</v>
      </c>
      <c r="F6" s="87"/>
      <c r="G6" s="154"/>
    </row>
    <row r="7" spans="1:7" ht="14.45" x14ac:dyDescent="0.3">
      <c r="A7" s="31"/>
      <c r="B7" s="31"/>
      <c r="C7" s="87" t="s">
        <v>9</v>
      </c>
      <c r="D7" s="87"/>
      <c r="E7" s="87" t="s">
        <v>9</v>
      </c>
      <c r="F7" s="87"/>
      <c r="G7" s="154"/>
    </row>
    <row r="8" spans="1:7" ht="14.45" x14ac:dyDescent="0.3">
      <c r="A8" s="89"/>
      <c r="B8" s="89"/>
      <c r="C8" s="89"/>
      <c r="D8" s="89"/>
      <c r="E8" s="89"/>
      <c r="F8" s="89"/>
      <c r="G8" s="45"/>
    </row>
    <row r="9" spans="1:7" x14ac:dyDescent="0.25">
      <c r="G9" s="20"/>
    </row>
    <row r="10" spans="1:7" ht="14.45" x14ac:dyDescent="0.3">
      <c r="A10" s="1"/>
      <c r="B10" s="31" t="s">
        <v>88</v>
      </c>
      <c r="C10" s="31"/>
      <c r="D10" s="31"/>
      <c r="G10" s="20"/>
    </row>
    <row r="11" spans="1:7" x14ac:dyDescent="0.25">
      <c r="G11" s="20"/>
    </row>
    <row r="12" spans="1:7" ht="14.45" x14ac:dyDescent="0.3">
      <c r="B12" t="s">
        <v>213</v>
      </c>
      <c r="C12" s="2">
        <f>E24</f>
        <v>17568</v>
      </c>
      <c r="D12" s="2"/>
      <c r="E12" s="2">
        <v>15364</v>
      </c>
      <c r="F12" s="2"/>
      <c r="G12" s="19"/>
    </row>
    <row r="13" spans="1:7" ht="14.45" x14ac:dyDescent="0.3">
      <c r="B13" t="s">
        <v>80</v>
      </c>
      <c r="C13" s="2">
        <v>-538</v>
      </c>
      <c r="D13" s="2"/>
      <c r="E13" s="2">
        <v>2195</v>
      </c>
      <c r="F13" s="2"/>
      <c r="G13" s="19"/>
    </row>
    <row r="14" spans="1:7" x14ac:dyDescent="0.25">
      <c r="B14" s="100" t="s">
        <v>409</v>
      </c>
      <c r="C14" s="2">
        <v>253</v>
      </c>
      <c r="D14" s="2"/>
      <c r="E14" s="2">
        <v>9</v>
      </c>
      <c r="F14" s="2"/>
      <c r="G14" s="19"/>
    </row>
    <row r="15" spans="1:7" ht="14.45" x14ac:dyDescent="0.3">
      <c r="B15" t="s">
        <v>83</v>
      </c>
      <c r="C15" s="2">
        <v>0</v>
      </c>
      <c r="D15" s="2"/>
      <c r="E15" s="2">
        <v>0</v>
      </c>
      <c r="F15" s="2"/>
      <c r="G15" s="19"/>
    </row>
    <row r="16" spans="1:7" ht="14.45" x14ac:dyDescent="0.3">
      <c r="B16" t="s">
        <v>82</v>
      </c>
      <c r="C16" s="2">
        <v>0</v>
      </c>
      <c r="D16" s="2"/>
      <c r="E16" s="2">
        <v>0</v>
      </c>
      <c r="F16" s="2"/>
      <c r="G16" s="19"/>
    </row>
    <row r="17" spans="2:7" ht="14.45" x14ac:dyDescent="0.3">
      <c r="B17" t="s">
        <v>332</v>
      </c>
      <c r="C17" s="2">
        <v>0</v>
      </c>
      <c r="D17" s="2"/>
      <c r="E17" s="2">
        <v>0</v>
      </c>
      <c r="F17" s="2"/>
      <c r="G17" s="19"/>
    </row>
    <row r="18" spans="2:7" ht="14.45" x14ac:dyDescent="0.3">
      <c r="B18" t="s">
        <v>336</v>
      </c>
      <c r="C18" s="2">
        <v>0</v>
      </c>
      <c r="D18" s="2"/>
      <c r="E18" s="2">
        <v>0</v>
      </c>
      <c r="F18" s="2"/>
      <c r="G18" s="19"/>
    </row>
    <row r="19" spans="2:7" ht="14.45" x14ac:dyDescent="0.3">
      <c r="B19" t="s">
        <v>337</v>
      </c>
      <c r="C19" s="2">
        <v>0</v>
      </c>
      <c r="D19" s="2"/>
      <c r="E19" s="2">
        <v>0</v>
      </c>
      <c r="F19" s="2"/>
      <c r="G19" s="19"/>
    </row>
    <row r="20" spans="2:7" ht="14.45" x14ac:dyDescent="0.3">
      <c r="B20" t="s">
        <v>223</v>
      </c>
      <c r="C20" s="2">
        <v>0</v>
      </c>
      <c r="D20" s="2"/>
      <c r="E20" s="2">
        <v>0</v>
      </c>
      <c r="F20" s="2"/>
      <c r="G20" s="19"/>
    </row>
    <row r="21" spans="2:7" ht="14.45" x14ac:dyDescent="0.3">
      <c r="B21" t="s">
        <v>334</v>
      </c>
      <c r="C21" s="2">
        <v>0</v>
      </c>
      <c r="D21" s="2"/>
      <c r="E21" s="2">
        <v>0</v>
      </c>
      <c r="F21" s="2"/>
      <c r="G21" s="19"/>
    </row>
    <row r="22" spans="2:7" x14ac:dyDescent="0.25">
      <c r="B22" t="s">
        <v>333</v>
      </c>
      <c r="C22" s="2">
        <v>0</v>
      </c>
      <c r="D22" s="2"/>
      <c r="E22" s="2">
        <v>0</v>
      </c>
      <c r="F22" s="2"/>
      <c r="G22" s="19"/>
    </row>
    <row r="23" spans="2:7" x14ac:dyDescent="0.25">
      <c r="B23" t="s">
        <v>86</v>
      </c>
      <c r="C23" s="2">
        <v>0</v>
      </c>
      <c r="D23" s="2"/>
      <c r="E23" s="2">
        <v>0</v>
      </c>
      <c r="F23" s="2"/>
      <c r="G23" s="19"/>
    </row>
    <row r="24" spans="2:7" x14ac:dyDescent="0.25">
      <c r="B24" t="s">
        <v>84</v>
      </c>
      <c r="C24" s="16">
        <f>SUM(C12:C23)</f>
        <v>17283</v>
      </c>
      <c r="D24" s="2"/>
      <c r="E24" s="16">
        <f>SUM(E12:E23)</f>
        <v>17568</v>
      </c>
      <c r="F24" s="2"/>
      <c r="G24" s="19"/>
    </row>
    <row r="25" spans="2:7" x14ac:dyDescent="0.25">
      <c r="C25" s="2"/>
      <c r="D25" s="2"/>
      <c r="E25" s="2"/>
      <c r="F25" s="2"/>
      <c r="G25" s="2"/>
    </row>
    <row r="26" spans="2:7" x14ac:dyDescent="0.25">
      <c r="B26" t="s">
        <v>508</v>
      </c>
      <c r="C26" s="92">
        <f>C24</f>
        <v>17283</v>
      </c>
      <c r="D26" s="2"/>
      <c r="E26" s="92">
        <f>E24</f>
        <v>17568</v>
      </c>
      <c r="F26" s="19"/>
      <c r="G26" s="19"/>
    </row>
    <row r="27" spans="2:7" x14ac:dyDescent="0.25">
      <c r="C27" s="2"/>
      <c r="D27" s="2"/>
      <c r="E27" s="2"/>
      <c r="F27" s="19"/>
      <c r="G27" s="19"/>
    </row>
    <row r="28" spans="2:7" x14ac:dyDescent="0.25">
      <c r="B28" s="66" t="s">
        <v>335</v>
      </c>
      <c r="C28" s="2"/>
      <c r="D28" s="2"/>
      <c r="E28" s="2"/>
      <c r="F28" s="19"/>
      <c r="G28" s="19"/>
    </row>
    <row r="29" spans="2:7" x14ac:dyDescent="0.25">
      <c r="B29" s="42" t="s">
        <v>80</v>
      </c>
      <c r="C29" s="2">
        <f>E29+C13</f>
        <v>7567</v>
      </c>
      <c r="D29" s="2"/>
      <c r="E29" s="2">
        <v>8105</v>
      </c>
      <c r="F29" s="19"/>
      <c r="G29" s="19"/>
    </row>
    <row r="30" spans="2:7" x14ac:dyDescent="0.25">
      <c r="B30" s="42" t="s">
        <v>409</v>
      </c>
      <c r="C30" s="2">
        <f>C14+E30</f>
        <v>682</v>
      </c>
      <c r="D30" s="2"/>
      <c r="E30" s="2">
        <v>429</v>
      </c>
      <c r="F30" s="19"/>
      <c r="G30" s="19"/>
    </row>
    <row r="31" spans="2:7" x14ac:dyDescent="0.25">
      <c r="B31" s="42" t="s">
        <v>83</v>
      </c>
      <c r="C31" s="2">
        <f>E31+C15</f>
        <v>40</v>
      </c>
      <c r="D31" s="2"/>
      <c r="E31" s="2">
        <v>40</v>
      </c>
      <c r="F31" s="19"/>
      <c r="G31" s="19"/>
    </row>
    <row r="32" spans="2:7" x14ac:dyDescent="0.25">
      <c r="B32" s="42" t="s">
        <v>82</v>
      </c>
      <c r="C32" s="2">
        <v>5000</v>
      </c>
      <c r="D32" s="2"/>
      <c r="E32" s="2">
        <v>5000</v>
      </c>
      <c r="F32" s="19"/>
      <c r="G32" s="19"/>
    </row>
    <row r="33" spans="1:7" x14ac:dyDescent="0.25">
      <c r="B33" s="42" t="s">
        <v>332</v>
      </c>
      <c r="C33" s="2">
        <v>0</v>
      </c>
      <c r="D33" s="2"/>
      <c r="E33" s="2">
        <v>0</v>
      </c>
      <c r="F33" s="19"/>
      <c r="G33" s="19"/>
    </row>
    <row r="34" spans="1:7" x14ac:dyDescent="0.25">
      <c r="B34" s="42" t="s">
        <v>336</v>
      </c>
      <c r="C34" s="2">
        <v>500</v>
      </c>
      <c r="D34" s="2"/>
      <c r="E34" s="2">
        <v>500</v>
      </c>
      <c r="F34" s="20"/>
      <c r="G34" s="22"/>
    </row>
    <row r="35" spans="1:7" x14ac:dyDescent="0.25">
      <c r="A35" s="1"/>
      <c r="B35" s="42" t="s">
        <v>337</v>
      </c>
      <c r="C35" s="2">
        <v>3500</v>
      </c>
      <c r="D35" s="2"/>
      <c r="E35" s="2">
        <v>3500</v>
      </c>
      <c r="F35" s="20"/>
      <c r="G35" s="174"/>
    </row>
    <row r="36" spans="1:7" x14ac:dyDescent="0.25">
      <c r="B36" s="42" t="s">
        <v>223</v>
      </c>
      <c r="C36" s="2">
        <f>C20+E36</f>
        <v>-6</v>
      </c>
      <c r="D36" s="2"/>
      <c r="E36" s="2">
        <v>-6</v>
      </c>
      <c r="F36" s="20"/>
      <c r="G36" s="22"/>
    </row>
    <row r="37" spans="1:7" x14ac:dyDescent="0.25">
      <c r="B37" s="42" t="s">
        <v>334</v>
      </c>
      <c r="C37" s="2">
        <v>0</v>
      </c>
      <c r="D37" s="2"/>
      <c r="E37" s="2">
        <v>0</v>
      </c>
      <c r="F37" s="19"/>
      <c r="G37" s="19"/>
    </row>
    <row r="38" spans="1:7" x14ac:dyDescent="0.25">
      <c r="B38" s="42" t="s">
        <v>333</v>
      </c>
      <c r="C38" s="2">
        <v>0</v>
      </c>
      <c r="D38" s="2"/>
      <c r="E38" s="2">
        <v>0</v>
      </c>
      <c r="F38" s="20"/>
      <c r="G38" s="20"/>
    </row>
    <row r="39" spans="1:7" x14ac:dyDescent="0.25">
      <c r="A39" s="1"/>
      <c r="B39" s="42" t="s">
        <v>86</v>
      </c>
      <c r="C39" s="2">
        <v>0</v>
      </c>
      <c r="D39" s="2"/>
      <c r="E39" s="2">
        <v>0</v>
      </c>
      <c r="F39" s="20"/>
      <c r="G39" s="20"/>
    </row>
    <row r="40" spans="1:7" x14ac:dyDescent="0.25">
      <c r="B40" s="66" t="s">
        <v>84</v>
      </c>
      <c r="C40" s="16">
        <f>SUM(C29:C39)</f>
        <v>17283</v>
      </c>
      <c r="D40" s="2"/>
      <c r="E40" s="16">
        <f>SUM(E29:E39)</f>
        <v>17568</v>
      </c>
      <c r="F40" s="20"/>
      <c r="G40" s="20"/>
    </row>
    <row r="41" spans="1:7" x14ac:dyDescent="0.25">
      <c r="C41" s="2"/>
      <c r="D41" s="2"/>
      <c r="E41" s="2"/>
      <c r="F41" s="19"/>
      <c r="G41" s="19"/>
    </row>
    <row r="42" spans="1:7" x14ac:dyDescent="0.25">
      <c r="B42" s="31" t="s">
        <v>214</v>
      </c>
      <c r="C42" s="2"/>
      <c r="D42" s="2"/>
      <c r="E42" s="2"/>
    </row>
    <row r="43" spans="1:7" x14ac:dyDescent="0.25">
      <c r="A43" s="1"/>
      <c r="C43" s="2"/>
      <c r="D43" s="2"/>
      <c r="E43" s="2"/>
    </row>
    <row r="44" spans="1:7" ht="30" x14ac:dyDescent="0.25">
      <c r="B44" s="39" t="s">
        <v>215</v>
      </c>
      <c r="C44" s="2"/>
      <c r="D44" s="2"/>
      <c r="E44" s="2"/>
    </row>
    <row r="45" spans="1:7" x14ac:dyDescent="0.25">
      <c r="B45" t="s">
        <v>209</v>
      </c>
      <c r="C45" s="2"/>
      <c r="D45" s="2"/>
      <c r="E45" s="2"/>
      <c r="F45" s="19"/>
      <c r="G45" s="19"/>
    </row>
    <row r="46" spans="1:7" x14ac:dyDescent="0.25">
      <c r="B46" t="s">
        <v>216</v>
      </c>
      <c r="C46" s="19"/>
      <c r="D46" s="19"/>
      <c r="E46" s="19"/>
    </row>
    <row r="47" spans="1:7" x14ac:dyDescent="0.25">
      <c r="A47" s="1"/>
      <c r="B47" t="s">
        <v>217</v>
      </c>
      <c r="C47" s="19"/>
      <c r="D47" s="19"/>
      <c r="E47" s="19"/>
    </row>
    <row r="48" spans="1:7" x14ac:dyDescent="0.25">
      <c r="B48" t="s">
        <v>218</v>
      </c>
      <c r="C48" s="19"/>
      <c r="D48" s="19"/>
      <c r="E48" s="19"/>
    </row>
    <row r="49" spans="2:7" x14ac:dyDescent="0.25">
      <c r="C49" s="19"/>
      <c r="D49" s="19"/>
      <c r="E49" s="19"/>
    </row>
    <row r="50" spans="2:7" ht="60" x14ac:dyDescent="0.25">
      <c r="B50" s="39" t="s">
        <v>219</v>
      </c>
      <c r="C50" s="19"/>
      <c r="D50" s="19"/>
      <c r="E50" s="19"/>
    </row>
    <row r="51" spans="2:7" x14ac:dyDescent="0.25">
      <c r="C51" s="19"/>
      <c r="D51" s="19"/>
      <c r="E51" s="19"/>
    </row>
    <row r="52" spans="2:7" x14ac:dyDescent="0.25">
      <c r="B52" s="31" t="s">
        <v>220</v>
      </c>
      <c r="C52" s="19"/>
      <c r="D52" s="19"/>
      <c r="E52" s="19"/>
      <c r="F52" s="2"/>
      <c r="G52" s="2"/>
    </row>
    <row r="53" spans="2:7" x14ac:dyDescent="0.25">
      <c r="C53" s="19"/>
      <c r="D53" s="19"/>
      <c r="E53" s="19"/>
      <c r="F53" s="2"/>
      <c r="G53" s="2"/>
    </row>
    <row r="54" spans="2:7" ht="30" x14ac:dyDescent="0.25">
      <c r="B54" s="39" t="s">
        <v>221</v>
      </c>
      <c r="C54" s="22"/>
      <c r="D54" s="20"/>
      <c r="E54" s="22"/>
      <c r="F54" s="2"/>
      <c r="G54" s="2"/>
    </row>
    <row r="55" spans="2:7" x14ac:dyDescent="0.25">
      <c r="E55" s="19"/>
      <c r="F55" s="19"/>
      <c r="G55" s="19"/>
    </row>
  </sheetData>
  <pageMargins left="0.70866141732283505" right="0.70866141732283505" top="0.74803149606299202" bottom="0.74803149606299202" header="0.31496062992126" footer="0.31496062992126"/>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members combined cum2021</vt:lpstr>
      <vt:lpstr>2021 WNO2SF FINANCIAL STATEMENT</vt:lpstr>
      <vt:lpstr>members combined cum from 2011</vt:lpstr>
      <vt:lpstr>2020DIVIDENDS UPDATE</vt:lpstr>
      <vt:lpstr>2020 shares at cost + drp </vt:lpstr>
      <vt:lpstr>JOHN R WARTON 2020</vt:lpstr>
      <vt:lpstr>Veronica Warton 2020</vt:lpstr>
      <vt:lpstr>James Warton 2020</vt:lpstr>
      <vt:lpstr>JH WARTON 2020</vt:lpstr>
      <vt:lpstr>DEFERRED TAX cum to 300619</vt:lpstr>
      <vt:lpstr>details of shares</vt:lpstr>
      <vt:lpstr>2019 share sales</vt:lpstr>
      <vt:lpstr>WNo2SF note 1 2020</vt:lpstr>
      <vt:lpstr>NOTE 1 continued</vt:lpstr>
      <vt:lpstr>2020WNO2SF Operating state </vt:lpstr>
      <vt:lpstr>2020note 2 3  </vt:lpstr>
      <vt:lpstr>2020 note 9 change in net m </vt:lpstr>
      <vt:lpstr>2020 note 4 to 8  </vt:lpstr>
      <vt:lpstr>2020 NOTE 10 11  </vt:lpstr>
      <vt:lpstr>'2021 WNO2SF FINANCIAL STATEMENT'!Print_Area</vt:lpstr>
      <vt:lpstr>'members combined cum from 2011'!Print_Area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Warton</dc:creator>
  <cp:lastModifiedBy>Mark Taylor</cp:lastModifiedBy>
  <cp:lastPrinted>2022-06-15T23:06:06Z</cp:lastPrinted>
  <dcterms:created xsi:type="dcterms:W3CDTF">2011-07-06T01:41:59Z</dcterms:created>
  <dcterms:modified xsi:type="dcterms:W3CDTF">2022-06-15T23:06:26Z</dcterms:modified>
</cp:coreProperties>
</file>