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140" firstSheet="5" activeTab="10"/>
  </bookViews>
  <sheets>
    <sheet name="Unded Cont" sheetId="2" r:id="rId1"/>
    <sheet name="ye 12-Accum" sheetId="1" r:id="rId2"/>
    <sheet name="ye 13-Accum" sheetId="3" r:id="rId3"/>
    <sheet name="ye 14-ABP 2015" sheetId="4" r:id="rId4"/>
    <sheet name="ye 15 ABP-2016" sheetId="5" r:id="rId5"/>
    <sheet name="ye 16 ABP-2017" sheetId="6" r:id="rId6"/>
    <sheet name="ye 17 ABP-2018" sheetId="7" r:id="rId7"/>
    <sheet name="ye 18 TTR-2019" sheetId="8" r:id="rId8"/>
    <sheet name="ye 19 TTR-2020" sheetId="9" r:id="rId9"/>
    <sheet name="ye 20 TTR-2021" sheetId="10" r:id="rId10"/>
    <sheet name="EOY Tax Component" sheetId="11" r:id="rId11"/>
  </sheets>
  <definedNames>
    <definedName name="_xlnm.Print_Area" localSheetId="10">'EOY Tax Component'!$A$1:$G$74</definedName>
    <definedName name="_xlnm.Print_Area" localSheetId="7">'ye 18 TTR-2019'!$A$1:$I$23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1"/>
  <c r="E26"/>
  <c r="C26"/>
  <c r="G22"/>
  <c r="E22" s="1"/>
  <c r="F22" s="1"/>
  <c r="G57"/>
  <c r="D57" s="1"/>
  <c r="G59"/>
  <c r="D59" s="1"/>
  <c r="E19"/>
  <c r="G19"/>
  <c r="F29"/>
  <c r="E29"/>
  <c r="G15"/>
  <c r="F66"/>
  <c r="E66"/>
  <c r="D66"/>
  <c r="E65"/>
  <c r="F65" s="1"/>
  <c r="D65"/>
  <c r="F64"/>
  <c r="E64"/>
  <c r="D64"/>
  <c r="G52"/>
  <c r="E52"/>
  <c r="F52" s="1"/>
  <c r="E50"/>
  <c r="F50" s="1"/>
  <c r="G6"/>
  <c r="E6"/>
  <c r="C6"/>
  <c r="G5"/>
  <c r="E5"/>
  <c r="C5"/>
  <c r="F4"/>
  <c r="D4"/>
  <c r="C42"/>
  <c r="G42"/>
  <c r="E58"/>
  <c r="F58" s="1"/>
  <c r="D58"/>
  <c r="E51"/>
  <c r="F51" s="1"/>
  <c r="D51"/>
  <c r="D50"/>
  <c r="C46"/>
  <c r="C48" s="1"/>
  <c r="C49" s="1"/>
  <c r="C12" s="1"/>
  <c r="G45"/>
  <c r="E45" s="1"/>
  <c r="F45" s="1"/>
  <c r="E44"/>
  <c r="F44" s="1"/>
  <c r="D44"/>
  <c r="G43"/>
  <c r="D43" s="1"/>
  <c r="E41"/>
  <c r="E42" s="1"/>
  <c r="E15"/>
  <c r="F15" s="1"/>
  <c r="D15"/>
  <c r="G8"/>
  <c r="E8" s="1"/>
  <c r="F8" s="1"/>
  <c r="B36" i="10"/>
  <c r="D37"/>
  <c r="F37" s="1"/>
  <c r="E36"/>
  <c r="E38" s="1"/>
  <c r="B38"/>
  <c r="E57" i="11" l="1"/>
  <c r="F57" s="1"/>
  <c r="E59"/>
  <c r="F59" s="1"/>
  <c r="D52"/>
  <c r="D8"/>
  <c r="C53"/>
  <c r="C55" s="1"/>
  <c r="E43"/>
  <c r="F43" s="1"/>
  <c r="E46"/>
  <c r="E48" s="1"/>
  <c r="D45"/>
  <c r="F6"/>
  <c r="G46"/>
  <c r="G48" s="1"/>
  <c r="B42" i="10"/>
  <c r="B40"/>
  <c r="F36"/>
  <c r="F38" s="1"/>
  <c r="D38"/>
  <c r="E49" i="11" l="1"/>
  <c r="E12" s="1"/>
  <c r="C56"/>
  <c r="C19" s="1"/>
  <c r="G49"/>
  <c r="G12" s="1"/>
  <c r="G9"/>
  <c r="G11" s="1"/>
  <c r="H46"/>
  <c r="D46"/>
  <c r="D48" s="1"/>
  <c r="F46"/>
  <c r="F48" s="1"/>
  <c r="D6"/>
  <c r="C7" s="1"/>
  <c r="C60" l="1"/>
  <c r="C62" s="1"/>
  <c r="G53"/>
  <c r="E53"/>
  <c r="G13"/>
  <c r="G16" s="1"/>
  <c r="G18" s="1"/>
  <c r="E7"/>
  <c r="C9"/>
  <c r="C11" s="1"/>
  <c r="C13" s="1"/>
  <c r="D7"/>
  <c r="C63" l="1"/>
  <c r="F53"/>
  <c r="F55" s="1"/>
  <c r="H53"/>
  <c r="E55"/>
  <c r="G55"/>
  <c r="D53"/>
  <c r="D55" s="1"/>
  <c r="D9"/>
  <c r="E9"/>
  <c r="E11" s="1"/>
  <c r="E13" s="1"/>
  <c r="F7"/>
  <c r="C67" l="1"/>
  <c r="E56"/>
  <c r="G56"/>
  <c r="G20" s="1"/>
  <c r="G23" s="1"/>
  <c r="G25" s="1"/>
  <c r="D11"/>
  <c r="D13"/>
  <c r="C14" s="1"/>
  <c r="F9"/>
  <c r="F11" s="1"/>
  <c r="H9"/>
  <c r="B15" i="10"/>
  <c r="B17" s="1"/>
  <c r="B21" s="1"/>
  <c r="D16"/>
  <c r="D17" s="1"/>
  <c r="B17" i="9"/>
  <c r="B21" s="1"/>
  <c r="D16"/>
  <c r="D17" s="1"/>
  <c r="E15"/>
  <c r="E17" s="1"/>
  <c r="G60" i="11" l="1"/>
  <c r="E60"/>
  <c r="E62" s="1"/>
  <c r="D14"/>
  <c r="C16"/>
  <c r="C18" s="1"/>
  <c r="C20" s="1"/>
  <c r="D20" s="1"/>
  <c r="C21" s="1"/>
  <c r="C23" s="1"/>
  <c r="C25" s="1"/>
  <c r="C27" s="1"/>
  <c r="E14"/>
  <c r="F14" s="1"/>
  <c r="F13"/>
  <c r="E15" i="10"/>
  <c r="E17" s="1"/>
  <c r="F16"/>
  <c r="B19"/>
  <c r="F16" i="9"/>
  <c r="F15"/>
  <c r="B19"/>
  <c r="E16" i="8"/>
  <c r="F16" s="1"/>
  <c r="B18"/>
  <c r="B22" s="1"/>
  <c r="D17"/>
  <c r="F17" s="1"/>
  <c r="E15"/>
  <c r="F15" s="1"/>
  <c r="D60" i="11" l="1"/>
  <c r="D62" s="1"/>
  <c r="G62"/>
  <c r="E63"/>
  <c r="F60"/>
  <c r="F62" s="1"/>
  <c r="H60"/>
  <c r="D16"/>
  <c r="D18" s="1"/>
  <c r="D23" s="1"/>
  <c r="D25" s="1"/>
  <c r="E16"/>
  <c r="D21"/>
  <c r="F15" i="10"/>
  <c r="F17" s="1"/>
  <c r="F17" i="9"/>
  <c r="E18" i="8"/>
  <c r="F18"/>
  <c r="B20"/>
  <c r="D18"/>
  <c r="B17" i="7"/>
  <c r="B21" s="1"/>
  <c r="D16"/>
  <c r="F16" s="1"/>
  <c r="E15"/>
  <c r="E17" s="1"/>
  <c r="G67" i="11" l="1"/>
  <c r="D67" s="1"/>
  <c r="G63"/>
  <c r="G27" s="1"/>
  <c r="E67"/>
  <c r="F16"/>
  <c r="F18" s="1"/>
  <c r="E18"/>
  <c r="E20" s="1"/>
  <c r="E21"/>
  <c r="F21" s="1"/>
  <c r="H16"/>
  <c r="F15" i="7"/>
  <c r="F17" s="1"/>
  <c r="D17"/>
  <c r="B19"/>
  <c r="B17" i="6"/>
  <c r="B21" s="1"/>
  <c r="D16"/>
  <c r="D17" s="1"/>
  <c r="E15"/>
  <c r="E17" s="1"/>
  <c r="G30" i="11" l="1"/>
  <c r="D27"/>
  <c r="C28" s="1"/>
  <c r="F67"/>
  <c r="H67"/>
  <c r="F20"/>
  <c r="E23"/>
  <c r="F16" i="6"/>
  <c r="B19"/>
  <c r="F15"/>
  <c r="F17" s="1"/>
  <c r="B17" i="5"/>
  <c r="B21" s="1"/>
  <c r="D16"/>
  <c r="D17" s="1"/>
  <c r="E15"/>
  <c r="F15" s="1"/>
  <c r="C30" i="11" l="1"/>
  <c r="D30" s="1"/>
  <c r="D28"/>
  <c r="E28"/>
  <c r="F28" s="1"/>
  <c r="F23"/>
  <c r="F25" s="1"/>
  <c r="E25"/>
  <c r="E27" s="1"/>
  <c r="H23"/>
  <c r="E17" i="5"/>
  <c r="F16"/>
  <c r="F17" s="1"/>
  <c r="B19"/>
  <c r="B17" i="4"/>
  <c r="D16"/>
  <c r="D17" s="1"/>
  <c r="E15"/>
  <c r="E17" s="1"/>
  <c r="B18" i="3"/>
  <c r="B20" s="1"/>
  <c r="F17"/>
  <c r="E16"/>
  <c r="E18" s="1"/>
  <c r="E11"/>
  <c r="C7" i="2"/>
  <c r="C9" s="1"/>
  <c r="C12" s="1"/>
  <c r="C14" s="1"/>
  <c r="B7"/>
  <c r="B9" s="1"/>
  <c r="B12" s="1"/>
  <c r="B14" s="1"/>
  <c r="B17" i="1"/>
  <c r="D16"/>
  <c r="E15"/>
  <c r="E17" s="1"/>
  <c r="E11"/>
  <c r="F27" i="11" l="1"/>
  <c r="E30"/>
  <c r="F16" i="3"/>
  <c r="B21" i="4"/>
  <c r="B19"/>
  <c r="F16" i="1"/>
  <c r="D15" i="3"/>
  <c r="F15" i="4"/>
  <c r="F16"/>
  <c r="E20" i="3"/>
  <c r="F10"/>
  <c r="D11"/>
  <c r="F15" i="1"/>
  <c r="F10"/>
  <c r="D11"/>
  <c r="F11" s="1"/>
  <c r="D17"/>
  <c r="F30" i="11" l="1"/>
  <c r="H30"/>
  <c r="F17" i="1"/>
  <c r="D18" i="3"/>
  <c r="D20" s="1"/>
  <c r="F15"/>
  <c r="F18" s="1"/>
  <c r="F17" i="4"/>
  <c r="F11" i="3"/>
  <c r="F20" l="1"/>
  <c r="E21" s="1"/>
  <c r="E10" i="4" s="1"/>
  <c r="E11" s="1"/>
  <c r="E19" l="1"/>
  <c r="E21"/>
  <c r="D21" i="3"/>
  <c r="F21" l="1"/>
  <c r="D10" i="4"/>
  <c r="B21" i="3"/>
  <c r="D11" i="4" l="1"/>
  <c r="F10"/>
  <c r="D19" l="1"/>
  <c r="D21"/>
  <c r="F11"/>
  <c r="F19" s="1"/>
  <c r="F21" l="1"/>
  <c r="E22" s="1"/>
  <c r="D22" l="1"/>
  <c r="E10" i="5"/>
  <c r="E11" s="1"/>
  <c r="F22" i="4" l="1"/>
  <c r="D10" i="5"/>
  <c r="B22" i="4"/>
  <c r="E21" i="5"/>
  <c r="E19"/>
  <c r="F10" l="1"/>
  <c r="D11"/>
  <c r="D19" l="1"/>
  <c r="F11"/>
  <c r="F19" s="1"/>
  <c r="D21"/>
  <c r="F21" l="1"/>
  <c r="E22" s="1"/>
  <c r="E10" i="6" s="1"/>
  <c r="E11" s="1"/>
  <c r="E21" l="1"/>
  <c r="E19"/>
  <c r="D22" i="5"/>
  <c r="F22" l="1"/>
  <c r="D10" i="6"/>
  <c r="B22" i="5"/>
  <c r="D11" i="6" l="1"/>
  <c r="F10"/>
  <c r="D19" l="1"/>
  <c r="F11"/>
  <c r="F19" s="1"/>
  <c r="D21"/>
  <c r="F21" l="1"/>
  <c r="E22" s="1"/>
  <c r="E10" i="7" s="1"/>
  <c r="E11" l="1"/>
  <c r="D22" i="6"/>
  <c r="D10" i="7" s="1"/>
  <c r="D11" s="1"/>
  <c r="D19" l="1"/>
  <c r="D21"/>
  <c r="F11"/>
  <c r="F19" s="1"/>
  <c r="E21"/>
  <c r="E19"/>
  <c r="F10"/>
  <c r="B22" i="6"/>
  <c r="F22"/>
  <c r="F21" i="7" l="1"/>
  <c r="E22" s="1"/>
  <c r="E10" i="8" s="1"/>
  <c r="E11" s="1"/>
  <c r="E22" l="1"/>
  <c r="E20"/>
  <c r="D22" i="7"/>
  <c r="F22" l="1"/>
  <c r="D10" i="8"/>
  <c r="B22" i="7"/>
  <c r="D11" i="8" l="1"/>
  <c r="F10"/>
  <c r="F11" l="1"/>
  <c r="F20" s="1"/>
  <c r="D20"/>
  <c r="D22"/>
  <c r="F22" l="1"/>
  <c r="E23" s="1"/>
  <c r="E10" i="9" s="1"/>
  <c r="E11" s="1"/>
  <c r="E19" l="1"/>
  <c r="E21"/>
  <c r="D23" i="8"/>
  <c r="F23" l="1"/>
  <c r="D10" i="9"/>
  <c r="B23" i="8"/>
  <c r="D11" i="9" l="1"/>
  <c r="F10"/>
  <c r="D21" l="1"/>
  <c r="F21" s="1"/>
  <c r="D19"/>
  <c r="F11"/>
  <c r="F19" s="1"/>
  <c r="D22" l="1"/>
  <c r="E22"/>
  <c r="D31" i="10" l="1"/>
  <c r="D10"/>
  <c r="F22" i="9"/>
  <c r="B22"/>
  <c r="E31" i="10"/>
  <c r="E32" s="1"/>
  <c r="E10"/>
  <c r="E11" s="1"/>
  <c r="E19" l="1"/>
  <c r="E21"/>
  <c r="E40"/>
  <c r="E42"/>
  <c r="F31"/>
  <c r="D32"/>
  <c r="D11"/>
  <c r="F10"/>
  <c r="D42" l="1"/>
  <c r="F42" s="1"/>
  <c r="D40"/>
  <c r="F32"/>
  <c r="F40" s="1"/>
  <c r="D19"/>
  <c r="D21"/>
  <c r="F21" s="1"/>
  <c r="D22" s="1"/>
  <c r="F11"/>
  <c r="F19" s="1"/>
  <c r="D43" l="1"/>
  <c r="F43" s="1"/>
  <c r="E43"/>
  <c r="E22"/>
  <c r="B22" s="1"/>
  <c r="B43" l="1"/>
  <c r="F22"/>
</calcChain>
</file>

<file path=xl/sharedStrings.xml><?xml version="1.0" encoding="utf-8"?>
<sst xmlns="http://schemas.openxmlformats.org/spreadsheetml/2006/main" count="297" uniqueCount="122">
  <si>
    <t>THE DEACON SUPERANNUATION FUND</t>
  </si>
  <si>
    <t xml:space="preserve">Withdrawal of benefits to purchase a new Account Based Pension  </t>
  </si>
  <si>
    <t>Non-Concessional</t>
  </si>
  <si>
    <t>Concessional</t>
  </si>
  <si>
    <t>Account Bal.</t>
  </si>
  <si>
    <t>Component</t>
  </si>
  <si>
    <t>Total</t>
  </si>
  <si>
    <t>Component % per previous Sch. of Info</t>
  </si>
  <si>
    <t>Account Balance as @ 30/06/12</t>
  </si>
  <si>
    <t>Accumulation Account made up of:</t>
  </si>
  <si>
    <t>Conc. Contributions, Earnings &amp; Taxes for 12</t>
  </si>
  <si>
    <t>Non-Concessional Contributions for 2012</t>
  </si>
  <si>
    <t>New Concessional &amp; Non-Concessional %</t>
  </si>
  <si>
    <t>Cherie Vasas-Deacon</t>
  </si>
  <si>
    <t>Existing ABP (Purch. Date: 00/00/00 - Yr 00)</t>
  </si>
  <si>
    <t>UNDEDUCTED CONTRIBUTIONS</t>
  </si>
  <si>
    <t>(Accum. a/c)</t>
  </si>
  <si>
    <t>(ABP)</t>
  </si>
  <si>
    <t xml:space="preserve">Opening Balance as at </t>
  </si>
  <si>
    <t>Balance as at 30/06/12</t>
  </si>
  <si>
    <t>Contributions - 2014</t>
  </si>
  <si>
    <t>Contributions - 2015</t>
  </si>
  <si>
    <t>Cherie Vasas_Deacon</t>
  </si>
  <si>
    <t>Balance as at 30/06/13</t>
  </si>
  <si>
    <t>Contributions - 2012</t>
  </si>
  <si>
    <t>Less: Commuted to ABP on 01/07/13</t>
  </si>
  <si>
    <t>Account Balance as @ 30/06/13</t>
  </si>
  <si>
    <t>Purch. Price of New ABP on 01/07/13 (Yr 14)</t>
  </si>
  <si>
    <t>Purchase Date - 01/07/2013 (Yr 2014)</t>
  </si>
  <si>
    <t>Purch. Price of New ABP on 01/07/14 (Yr 15)</t>
  </si>
  <si>
    <t>Account Balance as @ 30/06/14</t>
  </si>
  <si>
    <t>Conc. Contributions, Earnings &amp; Taxes for 13</t>
  </si>
  <si>
    <t>Non-Concessional Contributions for 2013</t>
  </si>
  <si>
    <t>Existing ABP (Purch. Date: 01/07/13 - Yr 14)</t>
  </si>
  <si>
    <t>Conc. Contributions, Earnings &amp; Taxes for 14</t>
  </si>
  <si>
    <t>Balance as of 30/6/14</t>
  </si>
  <si>
    <t>Transferred to purchase new ABP below</t>
  </si>
  <si>
    <t>Existing ABP (Purch. Date: 01/07/14 - Yr 15)</t>
  </si>
  <si>
    <t>Account Balance as @ 30/06/15</t>
  </si>
  <si>
    <t>Conc. Contributions, Earnings &amp; Taxes for 15</t>
  </si>
  <si>
    <t>Non-Concessional Contributions for 2015</t>
  </si>
  <si>
    <t>Balance as of 30/6/15</t>
  </si>
  <si>
    <t>Purch. Price of New ABP on 01/07/15 (Yr 16)</t>
  </si>
  <si>
    <t>Contributions - 2013</t>
  </si>
  <si>
    <t>Balance as at 30/06/14</t>
  </si>
  <si>
    <t>Balance as at 30/06/15</t>
  </si>
  <si>
    <t>Existing ABP (Purch. Date: 01/07/15 - Yr 16)</t>
  </si>
  <si>
    <t>Account Balance as @ 30/06/16</t>
  </si>
  <si>
    <t>Conc. Contributions, Earnings &amp; Taxes for 16</t>
  </si>
  <si>
    <t>Non-Concessional Contributions for 2016</t>
  </si>
  <si>
    <t>Balance as of 30/6/16</t>
  </si>
  <si>
    <t>Purch. Price of New ABP on 01/07/16 (Yr 17)</t>
  </si>
  <si>
    <t xml:space="preserve">* Remember to change % each year </t>
  </si>
  <si>
    <t xml:space="preserve">       to c/fwd from last year</t>
  </si>
  <si>
    <t>* These %s c/fwd to top line next year</t>
  </si>
  <si>
    <t>Existing ABP (Purch. Date: 01/07/16 - Yr 17)</t>
  </si>
  <si>
    <t>Account Balance as @ 30/06/17</t>
  </si>
  <si>
    <t>Existing ABP (Purch. Date: 01/07/17 - Yr 18)</t>
  </si>
  <si>
    <t>Account Balance as @ 30/06/18</t>
  </si>
  <si>
    <t>Conc. Contributions, Earnings &amp; Taxes for 18</t>
  </si>
  <si>
    <t>Non-Concessional Contributions for 2018</t>
  </si>
  <si>
    <t>Conc. Contributions, Earnings &amp; Taxes for 17</t>
  </si>
  <si>
    <t>Non-Concessional Contributions for 2017</t>
  </si>
  <si>
    <t>Purch. Price of New ABP on 01/07/17 (Yr 18)</t>
  </si>
  <si>
    <t>Rollover</t>
  </si>
  <si>
    <t>Balance as of 30/6/18</t>
  </si>
  <si>
    <t>Purch. Price of New ABP on 01/07/18 (Yr 19)</t>
  </si>
  <si>
    <t>Account Balance as @ 30/06/19</t>
  </si>
  <si>
    <t>Existing ABP (Purch. Date: 01/07/18 - Yr 19)</t>
  </si>
  <si>
    <t>Conc. Contributions, Earnings &amp; Taxes for 19</t>
  </si>
  <si>
    <t>Balance as of 30/6/19</t>
  </si>
  <si>
    <t>Purch. Price of New ABP on 01/07/19 (Yr 20)</t>
  </si>
  <si>
    <t>Account Balance as @ 30/06/20</t>
  </si>
  <si>
    <t>Conc. Contributions, Earnings &amp; Taxes for 20</t>
  </si>
  <si>
    <t>Non-Concessional Contributions for 2020</t>
  </si>
  <si>
    <t>Balance as of 30/6/20</t>
  </si>
  <si>
    <t>Purch. Price of New ABP on 01/07/20 (Yr 21)</t>
  </si>
  <si>
    <t>Non-Concessional Contributions for 2019</t>
  </si>
  <si>
    <t>Existing ABP (Purch. Date: 01/07/19 - Yr 20)</t>
  </si>
  <si>
    <t>Non-Concessional Contributions for 2014</t>
  </si>
  <si>
    <t>Balance as of 30/06/17</t>
  </si>
  <si>
    <t>Conc. Contributions, Earnings &amp; Taxes for 2020</t>
  </si>
  <si>
    <t>&gt;&gt; This is contribution for ye 2021</t>
  </si>
  <si>
    <t>&gt;&gt; Correct contribution for ye 2020</t>
  </si>
  <si>
    <r>
      <t xml:space="preserve">&gt;&gt; This is the non-concessional &amp; concessional component of the new TRIS as at </t>
    </r>
    <r>
      <rPr>
        <b/>
        <sz val="11"/>
        <color rgb="FFFF0000"/>
        <rFont val="Calibri"/>
        <family val="2"/>
        <scheme val="minor"/>
      </rPr>
      <t xml:space="preserve">01/07/20 </t>
    </r>
  </si>
  <si>
    <t>Tax Components</t>
  </si>
  <si>
    <t>Date</t>
  </si>
  <si>
    <t>Tax Free</t>
  </si>
  <si>
    <t>%</t>
  </si>
  <si>
    <t>Taxable - Taxed</t>
  </si>
  <si>
    <t>Cross check</t>
  </si>
  <si>
    <t>Opening Balance</t>
  </si>
  <si>
    <t>Benefit Payments - Income Stream FY 2021</t>
  </si>
  <si>
    <t>Allocated Earnings and Tax Exps - FY 2021</t>
  </si>
  <si>
    <t>Closing Balance</t>
  </si>
  <si>
    <t>Benefit Payments - Income Stream FY 2022</t>
  </si>
  <si>
    <t>Allocated Earnings and Tax Exps - FY 2022</t>
  </si>
  <si>
    <t>Benefit Payments - Income Stream FY 2023</t>
  </si>
  <si>
    <t>Allocated Earnings and Tax Exps - FY 2023</t>
  </si>
  <si>
    <t>Cherie Vasas-Deacon (Accumulation Acc)</t>
  </si>
  <si>
    <t>Concessional Contributions FY 2021</t>
  </si>
  <si>
    <t>Non-concessional Contributions FY 2021</t>
  </si>
  <si>
    <t>Alloc. Earnings; Tax Exps &amp; Insurance-FY 21</t>
  </si>
  <si>
    <t>Concessional Contributions FY 2022</t>
  </si>
  <si>
    <t>Non-concessional Contributions FY 2022</t>
  </si>
  <si>
    <t>Alloc. Earnings; Tax Exps &amp; Insurance-FY 22</t>
  </si>
  <si>
    <t>Concessional Contributions FY 2023</t>
  </si>
  <si>
    <t>Non-concessional Contributions FY 2023</t>
  </si>
  <si>
    <t>Alloc. Earnings; Tax Exps &amp; Insurance-FY 23</t>
  </si>
  <si>
    <t>Cherie Vasas-Deacon (TRIS)</t>
  </si>
  <si>
    <t>Op Bal Existing TRIS (Purch Date: 01/07/19)</t>
  </si>
  <si>
    <t>Benefit commuted in from Accum Account</t>
  </si>
  <si>
    <t>Benefits commuted out to New TRIS</t>
  </si>
  <si>
    <t>(Correction)</t>
  </si>
  <si>
    <t>Benefits Commuted out to New TRIS</t>
  </si>
  <si>
    <r>
      <t xml:space="preserve">Purchase Price (New </t>
    </r>
    <r>
      <rPr>
        <b/>
        <sz val="11"/>
        <color theme="1"/>
        <rFont val="Calibri"/>
        <family val="2"/>
        <scheme val="minor"/>
      </rPr>
      <t>TRIS 01/07/2020</t>
    </r>
    <r>
      <rPr>
        <sz val="11"/>
        <color theme="1"/>
        <rFont val="Calibri"/>
        <family val="2"/>
        <scheme val="minor"/>
      </rPr>
      <t>)</t>
    </r>
  </si>
  <si>
    <r>
      <t xml:space="preserve">Purchase Price (New </t>
    </r>
    <r>
      <rPr>
        <b/>
        <sz val="11"/>
        <color theme="1"/>
        <rFont val="Calibri"/>
        <family val="2"/>
        <scheme val="minor"/>
      </rPr>
      <t>TRIS 01/07/2021</t>
    </r>
    <r>
      <rPr>
        <sz val="11"/>
        <color theme="1"/>
        <rFont val="Calibri"/>
        <family val="2"/>
        <scheme val="minor"/>
      </rPr>
      <t>)</t>
    </r>
  </si>
  <si>
    <r>
      <t xml:space="preserve">Purchase Price (New </t>
    </r>
    <r>
      <rPr>
        <b/>
        <sz val="11"/>
        <color theme="1"/>
        <rFont val="Calibri"/>
        <family val="2"/>
        <scheme val="minor"/>
      </rPr>
      <t>TRIS 01/07/2022</t>
    </r>
    <r>
      <rPr>
        <sz val="11"/>
        <color theme="1"/>
        <rFont val="Calibri"/>
        <family val="2"/>
        <scheme val="minor"/>
      </rPr>
      <t xml:space="preserve">) </t>
    </r>
  </si>
  <si>
    <r>
      <t xml:space="preserve">Purchase Price (New </t>
    </r>
    <r>
      <rPr>
        <b/>
        <sz val="11"/>
        <color theme="1"/>
        <rFont val="Calibri"/>
        <family val="2"/>
        <scheme val="minor"/>
      </rPr>
      <t>TRIS 01/07/2023</t>
    </r>
    <r>
      <rPr>
        <sz val="11"/>
        <color theme="1"/>
        <rFont val="Calibri"/>
        <family val="2"/>
        <scheme val="minor"/>
      </rPr>
      <t xml:space="preserve">) </t>
    </r>
  </si>
  <si>
    <t>Alloc. Earnings; Tax Exps FY 23</t>
  </si>
  <si>
    <t>Benefit Payments - Income Stream FY 2024</t>
  </si>
  <si>
    <t>Allocated Earnings and Tax Exps - FY 2024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</si>
</sst>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#,##0.00;[Red]\(#,##0.00\)"/>
    <numFmt numFmtId="166" formatCode="dd/mm/yy;@"/>
  </numFmts>
  <fonts count="10">
    <font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 style="dashed">
        <color auto="1"/>
      </right>
      <top/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auto="1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dashed">
        <color auto="1"/>
      </left>
      <right/>
      <top style="thin">
        <color indexed="64"/>
      </top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2" borderId="1" xfId="0" applyFont="1" applyFill="1" applyBorder="1"/>
    <xf numFmtId="0" fontId="4" fillId="0" borderId="2" xfId="0" applyFont="1" applyFill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0" fillId="0" borderId="9" xfId="0" applyFont="1" applyBorder="1"/>
    <xf numFmtId="0" fontId="2" fillId="0" borderId="3" xfId="0" applyFont="1" applyBorder="1" applyAlignment="1">
      <alignment horizontal="left"/>
    </xf>
    <xf numFmtId="44" fontId="0" fillId="0" borderId="3" xfId="0" applyNumberFormat="1" applyFont="1" applyBorder="1" applyAlignment="1">
      <alignment horizontal="center"/>
    </xf>
    <xf numFmtId="0" fontId="5" fillId="0" borderId="3" xfId="0" applyFont="1" applyBorder="1"/>
    <xf numFmtId="164" fontId="0" fillId="0" borderId="3" xfId="0" applyNumberFormat="1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0" fontId="5" fillId="0" borderId="3" xfId="0" applyNumberFormat="1" applyFont="1" applyBorder="1" applyAlignment="1">
      <alignment horizontal="center"/>
    </xf>
    <xf numFmtId="10" fontId="0" fillId="0" borderId="9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 vertical="top"/>
    </xf>
    <xf numFmtId="164" fontId="5" fillId="0" borderId="0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44" fontId="0" fillId="0" borderId="9" xfId="0" applyNumberFormat="1" applyFont="1" applyBorder="1"/>
    <xf numFmtId="0" fontId="0" fillId="0" borderId="10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0" fontId="4" fillId="0" borderId="11" xfId="0" applyNumberFormat="1" applyFont="1" applyBorder="1" applyAlignment="1">
      <alignment horizontal="center"/>
    </xf>
    <xf numFmtId="10" fontId="4" fillId="0" borderId="10" xfId="0" applyNumberFormat="1" applyFont="1" applyBorder="1" applyAlignment="1">
      <alignment horizontal="center"/>
    </xf>
    <xf numFmtId="0" fontId="0" fillId="0" borderId="12" xfId="0" applyFont="1" applyBorder="1"/>
    <xf numFmtId="10" fontId="4" fillId="0" borderId="0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44" fontId="5" fillId="0" borderId="0" xfId="0" applyNumberFormat="1" applyFont="1" applyBorder="1" applyAlignment="1">
      <alignment horizontal="center"/>
    </xf>
    <xf numFmtId="44" fontId="5" fillId="0" borderId="3" xfId="0" applyNumberFormat="1" applyFont="1" applyBorder="1" applyAlignment="1">
      <alignment horizontal="center"/>
    </xf>
    <xf numFmtId="44" fontId="5" fillId="0" borderId="7" xfId="0" applyNumberFormat="1" applyFont="1" applyBorder="1" applyAlignment="1">
      <alignment horizontal="center"/>
    </xf>
    <xf numFmtId="44" fontId="5" fillId="0" borderId="6" xfId="0" applyNumberFormat="1" applyFont="1" applyBorder="1" applyAlignment="1">
      <alignment horizontal="center"/>
    </xf>
    <xf numFmtId="0" fontId="5" fillId="0" borderId="2" xfId="0" applyFont="1" applyBorder="1"/>
    <xf numFmtId="164" fontId="0" fillId="0" borderId="2" xfId="0" applyNumberFormat="1" applyFont="1" applyBorder="1" applyAlignment="1">
      <alignment horizontal="center"/>
    </xf>
    <xf numFmtId="44" fontId="0" fillId="0" borderId="0" xfId="0" applyNumberFormat="1" applyFont="1" applyBorder="1" applyAlignment="1">
      <alignment horizontal="center"/>
    </xf>
    <xf numFmtId="44" fontId="0" fillId="0" borderId="2" xfId="0" applyNumberFormat="1" applyFont="1" applyBorder="1" applyAlignment="1">
      <alignment horizontal="center"/>
    </xf>
    <xf numFmtId="0" fontId="0" fillId="0" borderId="6" xfId="0" applyFont="1" applyBorder="1"/>
    <xf numFmtId="44" fontId="0" fillId="0" borderId="6" xfId="0" applyNumberFormat="1" applyFont="1" applyBorder="1"/>
    <xf numFmtId="44" fontId="0" fillId="0" borderId="3" xfId="0" applyNumberFormat="1" applyFont="1" applyBorder="1"/>
    <xf numFmtId="44" fontId="0" fillId="0" borderId="7" xfId="0" applyNumberFormat="1" applyFont="1" applyBorder="1"/>
    <xf numFmtId="0" fontId="4" fillId="0" borderId="3" xfId="0" applyFont="1" applyBorder="1"/>
    <xf numFmtId="44" fontId="4" fillId="0" borderId="3" xfId="0" applyNumberFormat="1" applyFont="1" applyBorder="1"/>
    <xf numFmtId="44" fontId="4" fillId="0" borderId="0" xfId="0" applyNumberFormat="1" applyFont="1" applyBorder="1" applyAlignment="1">
      <alignment horizontal="center"/>
    </xf>
    <xf numFmtId="44" fontId="4" fillId="0" borderId="3" xfId="0" applyNumberFormat="1" applyFont="1" applyBorder="1" applyAlignment="1">
      <alignment horizontal="center"/>
    </xf>
    <xf numFmtId="44" fontId="4" fillId="0" borderId="5" xfId="0" applyNumberFormat="1" applyFont="1" applyBorder="1"/>
    <xf numFmtId="0" fontId="5" fillId="0" borderId="13" xfId="0" applyFont="1" applyFill="1" applyBorder="1"/>
    <xf numFmtId="10" fontId="4" fillId="0" borderId="13" xfId="0" applyNumberFormat="1" applyFont="1" applyBorder="1" applyAlignment="1">
      <alignment horizontal="center"/>
    </xf>
    <xf numFmtId="10" fontId="4" fillId="0" borderId="14" xfId="0" applyNumberFormat="1" applyFont="1" applyBorder="1" applyAlignment="1">
      <alignment horizontal="center"/>
    </xf>
    <xf numFmtId="10" fontId="4" fillId="0" borderId="15" xfId="0" applyNumberFormat="1" applyFont="1" applyBorder="1" applyAlignment="1">
      <alignment horizontal="center"/>
    </xf>
    <xf numFmtId="0" fontId="0" fillId="0" borderId="16" xfId="0" applyFont="1" applyBorder="1"/>
    <xf numFmtId="0" fontId="4" fillId="0" borderId="19" xfId="0" applyFont="1" applyBorder="1"/>
    <xf numFmtId="0" fontId="4" fillId="0" borderId="6" xfId="0" applyFont="1" applyBorder="1" applyAlignment="1">
      <alignment horizontal="center"/>
    </xf>
    <xf numFmtId="0" fontId="6" fillId="0" borderId="6" xfId="0" quotePrefix="1" applyFont="1" applyBorder="1" applyAlignment="1">
      <alignment horizontal="center"/>
    </xf>
    <xf numFmtId="0" fontId="0" fillId="0" borderId="20" xfId="0" applyFont="1" applyBorder="1"/>
    <xf numFmtId="43" fontId="0" fillId="0" borderId="3" xfId="0" applyNumberFormat="1" applyFont="1" applyFill="1" applyBorder="1"/>
    <xf numFmtId="43" fontId="0" fillId="0" borderId="2" xfId="0" applyNumberFormat="1" applyBorder="1"/>
    <xf numFmtId="43" fontId="0" fillId="0" borderId="3" xfId="0" applyNumberFormat="1" applyBorder="1"/>
    <xf numFmtId="0" fontId="6" fillId="0" borderId="2" xfId="0" applyFont="1" applyFill="1" applyBorder="1"/>
    <xf numFmtId="43" fontId="6" fillId="0" borderId="2" xfId="0" applyNumberFormat="1" applyFont="1" applyBorder="1"/>
    <xf numFmtId="43" fontId="0" fillId="0" borderId="6" xfId="0" applyNumberFormat="1" applyBorder="1"/>
    <xf numFmtId="0" fontId="6" fillId="0" borderId="16" xfId="0" applyFont="1" applyFill="1" applyBorder="1"/>
    <xf numFmtId="0" fontId="0" fillId="0" borderId="20" xfId="0" applyFill="1" applyBorder="1"/>
    <xf numFmtId="43" fontId="0" fillId="0" borderId="0" xfId="0" applyNumberFormat="1"/>
    <xf numFmtId="44" fontId="0" fillId="0" borderId="9" xfId="0" applyNumberFormat="1" applyFont="1" applyBorder="1" applyAlignment="1">
      <alignment horizontal="center"/>
    </xf>
    <xf numFmtId="0" fontId="0" fillId="0" borderId="13" xfId="0" applyFont="1" applyBorder="1"/>
    <xf numFmtId="44" fontId="0" fillId="0" borderId="13" xfId="0" applyNumberFormat="1" applyFont="1" applyBorder="1"/>
    <xf numFmtId="44" fontId="0" fillId="0" borderId="14" xfId="0" applyNumberFormat="1" applyFont="1" applyBorder="1"/>
    <xf numFmtId="0" fontId="0" fillId="0" borderId="15" xfId="0" applyFont="1" applyBorder="1"/>
    <xf numFmtId="44" fontId="0" fillId="0" borderId="4" xfId="0" applyNumberFormat="1" applyFont="1" applyBorder="1" applyAlignment="1">
      <alignment horizontal="center"/>
    </xf>
    <xf numFmtId="44" fontId="0" fillId="0" borderId="5" xfId="0" applyNumberFormat="1" applyFont="1" applyBorder="1" applyAlignment="1">
      <alignment horizontal="center"/>
    </xf>
    <xf numFmtId="0" fontId="0" fillId="0" borderId="6" xfId="0" applyBorder="1"/>
    <xf numFmtId="0" fontId="5" fillId="3" borderId="3" xfId="0" applyFont="1" applyFill="1" applyBorder="1" applyAlignment="1">
      <alignment horizontal="left" vertical="top"/>
    </xf>
    <xf numFmtId="164" fontId="0" fillId="3" borderId="3" xfId="0" applyNumberFormat="1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44" fontId="0" fillId="3" borderId="9" xfId="0" applyNumberFormat="1" applyFont="1" applyFill="1" applyBorder="1"/>
    <xf numFmtId="43" fontId="6" fillId="0" borderId="3" xfId="0" applyNumberFormat="1" applyFont="1" applyBorder="1"/>
    <xf numFmtId="0" fontId="0" fillId="0" borderId="19" xfId="0" applyFill="1" applyBorder="1"/>
    <xf numFmtId="165" fontId="0" fillId="0" borderId="6" xfId="0" applyNumberFormat="1" applyFont="1" applyBorder="1"/>
    <xf numFmtId="0" fontId="3" fillId="3" borderId="0" xfId="0" applyFont="1" applyFill="1"/>
    <xf numFmtId="0" fontId="7" fillId="0" borderId="0" xfId="0" applyFont="1"/>
    <xf numFmtId="0" fontId="5" fillId="0" borderId="0" xfId="0" applyFont="1"/>
    <xf numFmtId="0" fontId="0" fillId="0" borderId="21" xfId="0" applyBorder="1"/>
    <xf numFmtId="166" fontId="0" fillId="0" borderId="22" xfId="0" applyNumberFormat="1" applyBorder="1" applyAlignment="1">
      <alignment horizontal="center"/>
    </xf>
    <xf numFmtId="0" fontId="0" fillId="0" borderId="25" xfId="0" applyBorder="1"/>
    <xf numFmtId="0" fontId="0" fillId="0" borderId="26" xfId="0" applyBorder="1"/>
    <xf numFmtId="166" fontId="0" fillId="0" borderId="13" xfId="0" applyNumberFormat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43" fontId="0" fillId="0" borderId="0" xfId="0" applyNumberFormat="1" applyAlignment="1">
      <alignment horizontal="center"/>
    </xf>
    <xf numFmtId="0" fontId="0" fillId="0" borderId="20" xfId="0" applyBorder="1"/>
    <xf numFmtId="166" fontId="0" fillId="0" borderId="3" xfId="0" applyNumberFormat="1" applyBorder="1" applyAlignment="1">
      <alignment horizontal="center"/>
    </xf>
    <xf numFmtId="10" fontId="0" fillId="0" borderId="29" xfId="0" applyNumberFormat="1" applyBorder="1"/>
    <xf numFmtId="43" fontId="0" fillId="0" borderId="30" xfId="0" applyNumberFormat="1" applyBorder="1"/>
    <xf numFmtId="10" fontId="0" fillId="0" borderId="9" xfId="0" applyNumberFormat="1" applyBorder="1"/>
    <xf numFmtId="43" fontId="0" fillId="0" borderId="9" xfId="0" applyNumberFormat="1" applyBorder="1"/>
    <xf numFmtId="14" fontId="0" fillId="0" borderId="3" xfId="0" applyNumberFormat="1" applyBorder="1"/>
    <xf numFmtId="165" fontId="0" fillId="0" borderId="0" xfId="0" applyNumberFormat="1"/>
    <xf numFmtId="165" fontId="0" fillId="0" borderId="30" xfId="0" applyNumberFormat="1" applyBorder="1"/>
    <xf numFmtId="165" fontId="0" fillId="0" borderId="9" xfId="0" applyNumberFormat="1" applyBorder="1"/>
    <xf numFmtId="166" fontId="0" fillId="0" borderId="6" xfId="0" applyNumberFormat="1" applyBorder="1" applyAlignment="1">
      <alignment horizontal="center"/>
    </xf>
    <xf numFmtId="43" fontId="0" fillId="0" borderId="7" xfId="0" applyNumberFormat="1" applyBorder="1"/>
    <xf numFmtId="10" fontId="0" fillId="0" borderId="31" xfId="0" applyNumberFormat="1" applyBorder="1"/>
    <xf numFmtId="43" fontId="0" fillId="0" borderId="32" xfId="0" applyNumberFormat="1" applyBorder="1"/>
    <xf numFmtId="10" fontId="0" fillId="0" borderId="8" xfId="0" applyNumberFormat="1" applyBorder="1"/>
    <xf numFmtId="43" fontId="0" fillId="0" borderId="8" xfId="0" applyNumberFormat="1" applyBorder="1"/>
    <xf numFmtId="0" fontId="6" fillId="0" borderId="33" xfId="0" applyFont="1" applyBorder="1"/>
    <xf numFmtId="43" fontId="6" fillId="3" borderId="35" xfId="0" applyNumberFormat="1" applyFont="1" applyFill="1" applyBorder="1"/>
    <xf numFmtId="10" fontId="0" fillId="3" borderId="36" xfId="0" applyNumberFormat="1" applyFill="1" applyBorder="1"/>
    <xf numFmtId="43" fontId="6" fillId="4" borderId="37" xfId="0" applyNumberFormat="1" applyFont="1" applyFill="1" applyBorder="1"/>
    <xf numFmtId="10" fontId="0" fillId="4" borderId="38" xfId="0" applyNumberFormat="1" applyFill="1" applyBorder="1"/>
    <xf numFmtId="0" fontId="6" fillId="0" borderId="20" xfId="0" applyFont="1" applyBorder="1"/>
    <xf numFmtId="166" fontId="6" fillId="0" borderId="3" xfId="0" applyNumberFormat="1" applyFont="1" applyBorder="1" applyAlignment="1">
      <alignment horizontal="center"/>
    </xf>
    <xf numFmtId="43" fontId="6" fillId="0" borderId="0" xfId="0" applyNumberFormat="1" applyFont="1"/>
    <xf numFmtId="43" fontId="6" fillId="0" borderId="30" xfId="0" applyNumberFormat="1" applyFont="1" applyBorder="1"/>
    <xf numFmtId="0" fontId="0" fillId="0" borderId="0" xfId="0" applyAlignment="1">
      <alignment horizontal="center"/>
    </xf>
    <xf numFmtId="0" fontId="0" fillId="0" borderId="3" xfId="0" applyBorder="1"/>
    <xf numFmtId="43" fontId="0" fillId="0" borderId="20" xfId="0" applyNumberFormat="1" applyBorder="1"/>
    <xf numFmtId="10" fontId="0" fillId="0" borderId="39" xfId="0" applyNumberFormat="1" applyBorder="1"/>
    <xf numFmtId="165" fontId="0" fillId="0" borderId="20" xfId="0" applyNumberFormat="1" applyBorder="1"/>
    <xf numFmtId="165" fontId="0" fillId="0" borderId="3" xfId="0" applyNumberFormat="1" applyBorder="1"/>
    <xf numFmtId="43" fontId="0" fillId="3" borderId="33" xfId="0" applyNumberFormat="1" applyFill="1" applyBorder="1"/>
    <xf numFmtId="10" fontId="0" fillId="3" borderId="40" xfId="0" applyNumberFormat="1" applyFill="1" applyBorder="1"/>
    <xf numFmtId="43" fontId="0" fillId="0" borderId="34" xfId="0" applyNumberFormat="1" applyBorder="1"/>
    <xf numFmtId="0" fontId="0" fillId="0" borderId="1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16" xfId="0" applyBorder="1"/>
    <xf numFmtId="166" fontId="0" fillId="0" borderId="2" xfId="0" applyNumberFormat="1" applyBorder="1" applyAlignment="1">
      <alignment horizontal="center"/>
    </xf>
    <xf numFmtId="43" fontId="0" fillId="0" borderId="4" xfId="0" applyNumberFormat="1" applyBorder="1"/>
    <xf numFmtId="10" fontId="0" fillId="0" borderId="45" xfId="0" applyNumberFormat="1" applyBorder="1"/>
    <xf numFmtId="43" fontId="0" fillId="0" borderId="46" xfId="0" applyNumberFormat="1" applyBorder="1"/>
    <xf numFmtId="10" fontId="0" fillId="0" borderId="5" xfId="0" applyNumberFormat="1" applyBorder="1"/>
    <xf numFmtId="43" fontId="0" fillId="0" borderId="5" xfId="0" applyNumberFormat="1" applyBorder="1"/>
    <xf numFmtId="0" fontId="6" fillId="5" borderId="14" xfId="0" applyFont="1" applyFill="1" applyBorder="1"/>
    <xf numFmtId="0" fontId="0" fillId="0" borderId="29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0" xfId="0" applyNumberFormat="1" applyFont="1" applyFill="1" applyBorder="1" applyAlignment="1">
      <alignment horizontal="center"/>
    </xf>
    <xf numFmtId="43" fontId="0" fillId="0" borderId="47" xfId="0" applyNumberFormat="1" applyFont="1" applyFill="1" applyBorder="1" applyAlignment="1">
      <alignment horizontal="center"/>
    </xf>
    <xf numFmtId="10" fontId="0" fillId="0" borderId="9" xfId="0" applyNumberFormat="1" applyFill="1" applyBorder="1" applyAlignment="1">
      <alignment horizontal="right"/>
    </xf>
    <xf numFmtId="10" fontId="0" fillId="0" borderId="29" xfId="0" applyNumberFormat="1" applyFill="1" applyBorder="1" applyAlignment="1">
      <alignment horizontal="right"/>
    </xf>
    <xf numFmtId="43" fontId="0" fillId="0" borderId="0" xfId="0" applyNumberFormat="1" applyFont="1" applyFill="1" applyBorder="1" applyAlignment="1">
      <alignment horizontal="right"/>
    </xf>
    <xf numFmtId="43" fontId="0" fillId="0" borderId="30" xfId="0" applyNumberFormat="1" applyFont="1" applyFill="1" applyBorder="1" applyAlignment="1">
      <alignment horizontal="center"/>
    </xf>
    <xf numFmtId="43" fontId="6" fillId="0" borderId="38" xfId="0" applyNumberFormat="1" applyFont="1" applyBorder="1"/>
    <xf numFmtId="0" fontId="6" fillId="6" borderId="33" xfId="0" applyFont="1" applyFill="1" applyBorder="1"/>
    <xf numFmtId="166" fontId="6" fillId="6" borderId="34" xfId="0" applyNumberFormat="1" applyFont="1" applyFill="1" applyBorder="1" applyAlignment="1">
      <alignment horizontal="center"/>
    </xf>
    <xf numFmtId="43" fontId="6" fillId="6" borderId="35" xfId="0" applyNumberFormat="1" applyFont="1" applyFill="1" applyBorder="1"/>
    <xf numFmtId="10" fontId="0" fillId="6" borderId="36" xfId="0" applyNumberFormat="1" applyFill="1" applyBorder="1"/>
    <xf numFmtId="43" fontId="6" fillId="6" borderId="37" xfId="0" applyNumberFormat="1" applyFont="1" applyFill="1" applyBorder="1"/>
    <xf numFmtId="10" fontId="0" fillId="6" borderId="38" xfId="0" applyNumberFormat="1" applyFill="1" applyBorder="1"/>
    <xf numFmtId="43" fontId="6" fillId="6" borderId="38" xfId="0" applyNumberFormat="1" applyFont="1" applyFill="1" applyBorder="1"/>
    <xf numFmtId="43" fontId="0" fillId="6" borderId="0" xfId="0" applyNumberFormat="1" applyFill="1"/>
    <xf numFmtId="0" fontId="9" fillId="2" borderId="1" xfId="0" quotePrefix="1" applyFont="1" applyFill="1" applyBorder="1"/>
    <xf numFmtId="43" fontId="6" fillId="6" borderId="33" xfId="0" applyNumberFormat="1" applyFont="1" applyFill="1" applyBorder="1"/>
    <xf numFmtId="10" fontId="0" fillId="6" borderId="40" xfId="0" applyNumberFormat="1" applyFill="1" applyBorder="1"/>
    <xf numFmtId="43" fontId="6" fillId="6" borderId="34" xfId="0" applyNumberFormat="1" applyFont="1" applyFill="1" applyBorder="1"/>
    <xf numFmtId="43" fontId="0" fillId="6" borderId="33" xfId="0" applyNumberFormat="1" applyFill="1" applyBorder="1"/>
    <xf numFmtId="43" fontId="0" fillId="6" borderId="34" xfId="0" applyNumberFormat="1" applyFill="1" applyBorder="1"/>
    <xf numFmtId="0" fontId="6" fillId="7" borderId="14" xfId="0" applyFont="1" applyFill="1" applyBorder="1"/>
    <xf numFmtId="43" fontId="4" fillId="0" borderId="17" xfId="0" applyNumberFormat="1" applyFont="1" applyBorder="1" applyAlignment="1">
      <alignment horizontal="center"/>
    </xf>
    <xf numFmtId="43" fontId="4" fillId="0" borderId="18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66" fontId="6" fillId="8" borderId="3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15</xdr:row>
      <xdr:rowOff>123825</xdr:rowOff>
    </xdr:from>
    <xdr:to>
      <xdr:col>5</xdr:col>
      <xdr:colOff>790575</xdr:colOff>
      <xdr:row>15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xmlns="" id="{5D75D575-C5AE-47D3-ABC4-D147A837C6ED}"/>
            </a:ext>
          </a:extLst>
        </xdr:cNvPr>
        <xdr:cNvCxnSpPr/>
      </xdr:nvCxnSpPr>
      <xdr:spPr>
        <a:xfrm>
          <a:off x="3038475" y="3028950"/>
          <a:ext cx="363855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workbookViewId="0">
      <selection activeCell="C14" sqref="C14"/>
    </sheetView>
  </sheetViews>
  <sheetFormatPr defaultRowHeight="14.6"/>
  <cols>
    <col min="1" max="1" width="34.3046875" customWidth="1"/>
    <col min="2" max="2" width="15.3828125" customWidth="1"/>
    <col min="3" max="3" width="14.69140625" customWidth="1"/>
  </cols>
  <sheetData>
    <row r="1" spans="1:3" ht="18.45">
      <c r="A1" s="1" t="s">
        <v>0</v>
      </c>
    </row>
    <row r="3" spans="1:3">
      <c r="A3" s="60"/>
      <c r="B3" s="176" t="s">
        <v>22</v>
      </c>
      <c r="C3" s="177"/>
    </row>
    <row r="4" spans="1:3">
      <c r="A4" s="61" t="s">
        <v>15</v>
      </c>
      <c r="B4" s="62" t="s">
        <v>16</v>
      </c>
      <c r="C4" s="63" t="s">
        <v>17</v>
      </c>
    </row>
    <row r="5" spans="1:3">
      <c r="A5" s="64" t="s">
        <v>18</v>
      </c>
      <c r="B5" s="65">
        <v>0</v>
      </c>
      <c r="C5" s="66">
        <v>0</v>
      </c>
    </row>
    <row r="6" spans="1:3">
      <c r="A6" s="72" t="s">
        <v>24</v>
      </c>
      <c r="B6" s="65">
        <v>1000</v>
      </c>
      <c r="C6" s="67">
        <v>0</v>
      </c>
    </row>
    <row r="7" spans="1:3">
      <c r="A7" s="68" t="s">
        <v>19</v>
      </c>
      <c r="B7" s="69">
        <f>SUM(B5:B6)</f>
        <v>1000</v>
      </c>
      <c r="C7" s="69">
        <f>SUM(C5:C6)</f>
        <v>0</v>
      </c>
    </row>
    <row r="8" spans="1:3">
      <c r="A8" s="72" t="s">
        <v>43</v>
      </c>
      <c r="B8" s="87">
        <v>0</v>
      </c>
      <c r="C8" s="87">
        <v>0</v>
      </c>
    </row>
    <row r="9" spans="1:3">
      <c r="A9" s="71" t="s">
        <v>23</v>
      </c>
      <c r="B9" s="69">
        <f>SUM(B7:B8)</f>
        <v>1000</v>
      </c>
      <c r="C9" s="69">
        <f>SUM(C7:C8)</f>
        <v>0</v>
      </c>
    </row>
    <row r="10" spans="1:3">
      <c r="A10" s="72" t="s">
        <v>20</v>
      </c>
      <c r="B10" s="67">
        <v>0</v>
      </c>
      <c r="C10" s="67">
        <v>0</v>
      </c>
    </row>
    <row r="11" spans="1:3">
      <c r="A11" s="88" t="s">
        <v>25</v>
      </c>
      <c r="B11" s="89">
        <v>-1000</v>
      </c>
      <c r="C11" s="70">
        <v>1000</v>
      </c>
    </row>
    <row r="12" spans="1:3">
      <c r="A12" s="71" t="s">
        <v>44</v>
      </c>
      <c r="B12" s="69">
        <f>SUM(B9:B11)</f>
        <v>0</v>
      </c>
      <c r="C12" s="69">
        <f>SUM(C9:C11)</f>
        <v>1000</v>
      </c>
    </row>
    <row r="13" spans="1:3">
      <c r="A13" s="72" t="s">
        <v>21</v>
      </c>
      <c r="B13" s="67">
        <v>0</v>
      </c>
      <c r="C13" s="67">
        <v>0</v>
      </c>
    </row>
    <row r="14" spans="1:3">
      <c r="A14" s="71" t="s">
        <v>45</v>
      </c>
      <c r="B14" s="69">
        <f>SUM(B12:B13)</f>
        <v>0</v>
      </c>
      <c r="C14" s="69">
        <f>SUM(C12:C13)</f>
        <v>1000</v>
      </c>
    </row>
    <row r="15" spans="1:3">
      <c r="B15" s="73"/>
      <c r="C15" s="73"/>
    </row>
    <row r="16" spans="1:3">
      <c r="B16" s="73"/>
      <c r="C16" s="73"/>
    </row>
    <row r="17" spans="2:3">
      <c r="B17" s="73"/>
      <c r="C17" s="73"/>
    </row>
    <row r="18" spans="2:3">
      <c r="B18" s="73"/>
      <c r="C18" s="73"/>
    </row>
    <row r="19" spans="2:3">
      <c r="B19" s="73"/>
      <c r="C19" s="73"/>
    </row>
    <row r="20" spans="2:3">
      <c r="B20" s="73"/>
      <c r="C20" s="73"/>
    </row>
    <row r="21" spans="2:3">
      <c r="B21" s="73"/>
      <c r="C21" s="73"/>
    </row>
    <row r="22" spans="2:3">
      <c r="B22" s="73"/>
      <c r="C22" s="73"/>
    </row>
    <row r="23" spans="2:3">
      <c r="B23" s="73"/>
      <c r="C23" s="73"/>
    </row>
    <row r="24" spans="2:3">
      <c r="B24" s="73"/>
      <c r="C24" s="73"/>
    </row>
    <row r="25" spans="2:3">
      <c r="B25" s="73"/>
      <c r="C25" s="73"/>
    </row>
    <row r="26" spans="2:3">
      <c r="B26" s="73"/>
      <c r="C26" s="73"/>
    </row>
    <row r="27" spans="2:3">
      <c r="B27" s="73"/>
      <c r="C27" s="73"/>
    </row>
    <row r="28" spans="2:3">
      <c r="B28" s="73"/>
      <c r="C28" s="73"/>
    </row>
    <row r="29" spans="2:3">
      <c r="B29" s="73"/>
      <c r="C29" s="73"/>
    </row>
    <row r="30" spans="2:3">
      <c r="B30" s="73"/>
      <c r="C30" s="73"/>
    </row>
  </sheetData>
  <mergeCells count="1">
    <mergeCell ref="B3:C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44"/>
  <sheetViews>
    <sheetView topLeftCell="A22" workbookViewId="0">
      <selection activeCell="M32" sqref="M32"/>
    </sheetView>
  </sheetViews>
  <sheetFormatPr defaultRowHeight="14.6"/>
  <cols>
    <col min="1" max="1" width="44.69140625" customWidth="1"/>
    <col min="2" max="2" width="16" customWidth="1"/>
    <col min="3" max="3" width="2" customWidth="1"/>
    <col min="4" max="4" width="12.15234375" customWidth="1"/>
    <col min="5" max="5" width="13.3828125" customWidth="1"/>
    <col min="6" max="6" width="12.3828125" customWidth="1"/>
  </cols>
  <sheetData>
    <row r="1" spans="1:7" ht="18.45">
      <c r="A1" s="1" t="s">
        <v>0</v>
      </c>
    </row>
    <row r="2" spans="1:7">
      <c r="A2" s="2" t="s">
        <v>1</v>
      </c>
      <c r="B2" s="3"/>
      <c r="C2" s="3"/>
      <c r="D2" s="3"/>
      <c r="E2" s="3"/>
      <c r="F2" s="3"/>
    </row>
    <row r="3" spans="1:7">
      <c r="A3" s="2"/>
      <c r="B3" s="3"/>
      <c r="C3" s="3"/>
      <c r="D3" s="3"/>
      <c r="E3" s="3"/>
      <c r="F3" s="3"/>
    </row>
    <row r="4" spans="1:7">
      <c r="A4" s="90" t="s">
        <v>13</v>
      </c>
      <c r="B4" s="3"/>
      <c r="C4" s="3"/>
      <c r="D4" s="3"/>
      <c r="E4" s="3"/>
      <c r="F4" s="3"/>
    </row>
    <row r="5" spans="1:7">
      <c r="A5" s="5"/>
      <c r="B5" s="3"/>
      <c r="C5" s="3"/>
      <c r="D5" s="3"/>
      <c r="E5" s="3"/>
      <c r="F5" s="3"/>
    </row>
    <row r="6" spans="1:7">
      <c r="A6" s="6"/>
      <c r="B6" s="7"/>
      <c r="C6" s="8"/>
      <c r="D6" s="9" t="s">
        <v>2</v>
      </c>
      <c r="E6" s="7" t="s">
        <v>3</v>
      </c>
      <c r="F6" s="10"/>
    </row>
    <row r="7" spans="1:7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7">
      <c r="A8" s="16"/>
      <c r="B8" s="16"/>
      <c r="C8" s="16"/>
      <c r="D8" s="17"/>
      <c r="E8" s="18"/>
      <c r="F8" s="19"/>
    </row>
    <row r="9" spans="1:7">
      <c r="A9" s="20" t="s">
        <v>78</v>
      </c>
      <c r="B9" s="21"/>
      <c r="C9" s="21"/>
      <c r="D9" s="17"/>
      <c r="E9" s="18"/>
      <c r="F9" s="19"/>
    </row>
    <row r="10" spans="1:7">
      <c r="A10" s="22" t="s">
        <v>7</v>
      </c>
      <c r="B10" s="23"/>
      <c r="C10" s="23"/>
      <c r="D10" s="24">
        <f>'ye 19 TTR-2020'!D22</f>
        <v>2.12E-2</v>
      </c>
      <c r="E10" s="25">
        <f>'ye 19 TTR-2020'!E22</f>
        <v>0.9788</v>
      </c>
      <c r="F10" s="26">
        <f>+D10+E10</f>
        <v>1</v>
      </c>
      <c r="G10" s="91" t="s">
        <v>52</v>
      </c>
    </row>
    <row r="11" spans="1:7">
      <c r="A11" s="82" t="s">
        <v>72</v>
      </c>
      <c r="B11" s="83">
        <v>204388.6</v>
      </c>
      <c r="C11" s="83"/>
      <c r="D11" s="84">
        <f>+B11*D10</f>
        <v>4333.0383200000006</v>
      </c>
      <c r="E11" s="85">
        <f>+B11*E10</f>
        <v>200055.56168000001</v>
      </c>
      <c r="F11" s="86">
        <f>+D11+E11</f>
        <v>204388.6</v>
      </c>
      <c r="G11" s="91" t="s">
        <v>53</v>
      </c>
    </row>
    <row r="12" spans="1:7">
      <c r="A12" s="27"/>
      <c r="B12" s="23"/>
      <c r="C12" s="23"/>
      <c r="D12" s="28"/>
      <c r="E12" s="29"/>
      <c r="F12" s="19"/>
    </row>
    <row r="13" spans="1:7">
      <c r="A13" s="31"/>
      <c r="B13" s="32"/>
      <c r="C13" s="23"/>
      <c r="D13" s="33"/>
      <c r="E13" s="34"/>
      <c r="F13" s="35"/>
    </row>
    <row r="14" spans="1:7">
      <c r="A14" s="20" t="s">
        <v>9</v>
      </c>
      <c r="B14" s="23"/>
      <c r="C14" s="23"/>
      <c r="D14" s="36"/>
      <c r="E14" s="37"/>
      <c r="F14" s="19"/>
    </row>
    <row r="15" spans="1:7">
      <c r="A15" s="38" t="s">
        <v>73</v>
      </c>
      <c r="B15" s="23">
        <f>15976.77-800</f>
        <v>15176.77</v>
      </c>
      <c r="C15" s="23"/>
      <c r="D15" s="39">
        <v>0</v>
      </c>
      <c r="E15" s="40">
        <f>+B15</f>
        <v>15176.77</v>
      </c>
      <c r="F15" s="30">
        <f>+D15+E15</f>
        <v>15176.77</v>
      </c>
    </row>
    <row r="16" spans="1:7">
      <c r="A16" s="38" t="s">
        <v>74</v>
      </c>
      <c r="B16" s="23">
        <v>800</v>
      </c>
      <c r="C16" s="23"/>
      <c r="D16" s="41">
        <f>+B16</f>
        <v>800</v>
      </c>
      <c r="E16" s="42">
        <v>0</v>
      </c>
      <c r="F16" s="30">
        <f>+D16+E16</f>
        <v>800</v>
      </c>
      <c r="G16" t="s">
        <v>82</v>
      </c>
    </row>
    <row r="17" spans="1:8">
      <c r="A17" s="43" t="s">
        <v>72</v>
      </c>
      <c r="B17" s="44">
        <f>SUM(B15:B16)</f>
        <v>15976.77</v>
      </c>
      <c r="C17" s="23"/>
      <c r="D17" s="45">
        <f>SUM(D15:D16)</f>
        <v>800</v>
      </c>
      <c r="E17" s="46">
        <f>SUM(E15:E16)</f>
        <v>15176.77</v>
      </c>
      <c r="F17" s="46">
        <f>SUM(F15:F16)</f>
        <v>15976.77</v>
      </c>
    </row>
    <row r="18" spans="1:8">
      <c r="A18" s="22"/>
      <c r="B18" s="23"/>
      <c r="C18" s="23"/>
      <c r="D18" s="45"/>
      <c r="E18" s="21"/>
      <c r="F18" s="74"/>
    </row>
    <row r="19" spans="1:8">
      <c r="A19" s="43" t="s">
        <v>75</v>
      </c>
      <c r="B19" s="44">
        <f>+B11+B17</f>
        <v>220365.37</v>
      </c>
      <c r="C19" s="44"/>
      <c r="D19" s="79">
        <f>+D11+D17</f>
        <v>5133.0383200000006</v>
      </c>
      <c r="E19" s="46">
        <f>+E11+E17</f>
        <v>215232.33168</v>
      </c>
      <c r="F19" s="80">
        <f>+F11+F17</f>
        <v>220365.37</v>
      </c>
    </row>
    <row r="20" spans="1:8">
      <c r="A20" s="81" t="s">
        <v>36</v>
      </c>
      <c r="B20" s="48"/>
      <c r="C20" s="49"/>
      <c r="D20" s="50"/>
      <c r="E20" s="48"/>
      <c r="F20" s="19"/>
    </row>
    <row r="21" spans="1:8">
      <c r="A21" s="51" t="s">
        <v>76</v>
      </c>
      <c r="B21" s="52">
        <f>+B11+B17</f>
        <v>220365.37</v>
      </c>
      <c r="C21" s="52"/>
      <c r="D21" s="53">
        <f>+D11+D17</f>
        <v>5133.0383200000006</v>
      </c>
      <c r="E21" s="54">
        <f>+E11+E17</f>
        <v>215232.33168</v>
      </c>
      <c r="F21" s="55">
        <f>+D21+E21</f>
        <v>220365.37</v>
      </c>
    </row>
    <row r="22" spans="1:8" ht="15" thickBot="1">
      <c r="A22" s="56" t="s">
        <v>12</v>
      </c>
      <c r="B22" s="57">
        <f>+E22+D22</f>
        <v>1</v>
      </c>
      <c r="C22" s="37"/>
      <c r="D22" s="58">
        <f>ROUND(D21/F21,4)</f>
        <v>2.3300000000000001E-2</v>
      </c>
      <c r="E22" s="57">
        <f>ROUND(E21/F21,4)</f>
        <v>0.97670000000000001</v>
      </c>
      <c r="F22" s="59">
        <f>+D22+E22</f>
        <v>1</v>
      </c>
      <c r="G22" s="92" t="s">
        <v>54</v>
      </c>
      <c r="H22" s="91"/>
    </row>
    <row r="23" spans="1:8" ht="15" thickTop="1"/>
    <row r="25" spans="1:8">
      <c r="A25" s="90" t="s">
        <v>13</v>
      </c>
      <c r="B25" s="3"/>
      <c r="C25" s="3"/>
      <c r="D25" s="3"/>
      <c r="E25" s="3"/>
      <c r="F25" s="3"/>
    </row>
    <row r="26" spans="1:8" ht="26.15">
      <c r="A26" s="169" t="s">
        <v>113</v>
      </c>
      <c r="B26" s="3"/>
      <c r="C26" s="3"/>
      <c r="D26" s="3"/>
      <c r="E26" s="3"/>
      <c r="F26" s="3"/>
    </row>
    <row r="27" spans="1:8">
      <c r="A27" s="6"/>
      <c r="B27" s="7"/>
      <c r="C27" s="8"/>
      <c r="D27" s="9" t="s">
        <v>2</v>
      </c>
      <c r="E27" s="7" t="s">
        <v>3</v>
      </c>
      <c r="F27" s="10"/>
    </row>
    <row r="28" spans="1:8">
      <c r="A28" s="11"/>
      <c r="B28" s="12" t="s">
        <v>4</v>
      </c>
      <c r="C28" s="8"/>
      <c r="D28" s="13" t="s">
        <v>5</v>
      </c>
      <c r="E28" s="14" t="s">
        <v>5</v>
      </c>
      <c r="F28" s="15" t="s">
        <v>6</v>
      </c>
    </row>
    <row r="29" spans="1:8">
      <c r="A29" s="16"/>
      <c r="B29" s="16"/>
      <c r="C29" s="16"/>
      <c r="D29" s="17"/>
      <c r="E29" s="18"/>
      <c r="F29" s="19"/>
    </row>
    <row r="30" spans="1:8">
      <c r="A30" s="20" t="s">
        <v>78</v>
      </c>
      <c r="B30" s="21"/>
      <c r="C30" s="21"/>
      <c r="D30" s="17"/>
      <c r="E30" s="18"/>
      <c r="F30" s="19"/>
    </row>
    <row r="31" spans="1:8">
      <c r="A31" s="22" t="s">
        <v>7</v>
      </c>
      <c r="B31" s="23"/>
      <c r="C31" s="23"/>
      <c r="D31" s="24">
        <f>'ye 19 TTR-2020'!D22</f>
        <v>2.12E-2</v>
      </c>
      <c r="E31" s="25">
        <f>'ye 19 TTR-2020'!E22</f>
        <v>0.9788</v>
      </c>
      <c r="F31" s="26">
        <f>+D31+E31</f>
        <v>1</v>
      </c>
    </row>
    <row r="32" spans="1:8">
      <c r="A32" s="82" t="s">
        <v>72</v>
      </c>
      <c r="B32" s="83">
        <v>204388.6</v>
      </c>
      <c r="C32" s="83"/>
      <c r="D32" s="84">
        <f>+B32*D31</f>
        <v>4333.0383200000006</v>
      </c>
      <c r="E32" s="85">
        <f>+B32*E31</f>
        <v>200055.56168000001</v>
      </c>
      <c r="F32" s="86">
        <f>+D32+E32</f>
        <v>204388.6</v>
      </c>
    </row>
    <row r="33" spans="1:7">
      <c r="A33" s="27"/>
      <c r="B33" s="23"/>
      <c r="C33" s="23"/>
      <c r="D33" s="28"/>
      <c r="E33" s="29"/>
      <c r="F33" s="19"/>
    </row>
    <row r="34" spans="1:7">
      <c r="A34" s="31"/>
      <c r="B34" s="32"/>
      <c r="C34" s="23"/>
      <c r="D34" s="33"/>
      <c r="E34" s="34"/>
      <c r="F34" s="35"/>
    </row>
    <row r="35" spans="1:7">
      <c r="A35" s="20" t="s">
        <v>9</v>
      </c>
      <c r="B35" s="23"/>
      <c r="C35" s="23"/>
      <c r="D35" s="36"/>
      <c r="E35" s="37"/>
      <c r="F35" s="19"/>
    </row>
    <row r="36" spans="1:7">
      <c r="A36" s="38" t="s">
        <v>81</v>
      </c>
      <c r="B36" s="23">
        <f>15976.77-B37</f>
        <v>14976.77</v>
      </c>
      <c r="C36" s="23"/>
      <c r="D36" s="39">
        <v>0</v>
      </c>
      <c r="E36" s="40">
        <f>+B36</f>
        <v>14976.77</v>
      </c>
      <c r="F36" s="30">
        <f>+D36+E36</f>
        <v>14976.77</v>
      </c>
    </row>
    <row r="37" spans="1:7">
      <c r="A37" s="38" t="s">
        <v>74</v>
      </c>
      <c r="B37" s="23">
        <v>1000</v>
      </c>
      <c r="C37" s="23"/>
      <c r="D37" s="41">
        <f>+B37</f>
        <v>1000</v>
      </c>
      <c r="E37" s="42">
        <v>0</v>
      </c>
      <c r="F37" s="30">
        <f>+D37+E37</f>
        <v>1000</v>
      </c>
      <c r="G37" t="s">
        <v>83</v>
      </c>
    </row>
    <row r="38" spans="1:7">
      <c r="A38" s="43" t="s">
        <v>72</v>
      </c>
      <c r="B38" s="44">
        <f>SUM(B36:B37)</f>
        <v>15976.77</v>
      </c>
      <c r="C38" s="23"/>
      <c r="D38" s="45">
        <f>SUM(D36:D37)</f>
        <v>1000</v>
      </c>
      <c r="E38" s="46">
        <f>SUM(E36:E37)</f>
        <v>14976.77</v>
      </c>
      <c r="F38" s="46">
        <f>SUM(F36:F37)</f>
        <v>15976.77</v>
      </c>
    </row>
    <row r="39" spans="1:7">
      <c r="A39" s="22"/>
      <c r="B39" s="23"/>
      <c r="C39" s="23"/>
      <c r="D39" s="45"/>
      <c r="E39" s="21"/>
      <c r="F39" s="74"/>
    </row>
    <row r="40" spans="1:7">
      <c r="A40" s="43" t="s">
        <v>75</v>
      </c>
      <c r="B40" s="44">
        <f>+B32+B38</f>
        <v>220365.37</v>
      </c>
      <c r="C40" s="44"/>
      <c r="D40" s="79">
        <f>+D32+D38</f>
        <v>5333.0383200000006</v>
      </c>
      <c r="E40" s="46">
        <f>+E32+E38</f>
        <v>215032.33168</v>
      </c>
      <c r="F40" s="80">
        <f>+F32+F38</f>
        <v>220365.37</v>
      </c>
    </row>
    <row r="41" spans="1:7">
      <c r="A41" s="81" t="s">
        <v>36</v>
      </c>
      <c r="B41" s="48"/>
      <c r="C41" s="49"/>
      <c r="D41" s="50"/>
      <c r="E41" s="48"/>
      <c r="F41" s="19"/>
    </row>
    <row r="42" spans="1:7">
      <c r="A42" s="51" t="s">
        <v>76</v>
      </c>
      <c r="B42" s="52">
        <f>+B32+B38</f>
        <v>220365.37</v>
      </c>
      <c r="C42" s="52"/>
      <c r="D42" s="53">
        <f>+D32+D38</f>
        <v>5333.0383200000006</v>
      </c>
      <c r="E42" s="54">
        <f>+E32+E38</f>
        <v>215032.33168</v>
      </c>
      <c r="F42" s="55">
        <f>+D42+E42</f>
        <v>220365.37</v>
      </c>
      <c r="G42" s="92" t="s">
        <v>84</v>
      </c>
    </row>
    <row r="43" spans="1:7" ht="15" thickBot="1">
      <c r="A43" s="56" t="s">
        <v>12</v>
      </c>
      <c r="B43" s="57">
        <f>+E43+D43</f>
        <v>1</v>
      </c>
      <c r="C43" s="37"/>
      <c r="D43" s="58">
        <f>ROUND(D42/F42,4)</f>
        <v>2.4199999999999999E-2</v>
      </c>
      <c r="E43" s="57">
        <f>ROUND(E42/F42,4)</f>
        <v>0.9758</v>
      </c>
      <c r="F43" s="59">
        <f>+D43+E43</f>
        <v>1</v>
      </c>
    </row>
    <row r="44" spans="1:7" ht="15" thickTop="1"/>
  </sheetData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67"/>
  <sheetViews>
    <sheetView tabSelected="1" workbookViewId="0">
      <selection activeCell="K19" sqref="K19"/>
    </sheetView>
  </sheetViews>
  <sheetFormatPr defaultRowHeight="14.6"/>
  <cols>
    <col min="1" max="1" width="39" customWidth="1"/>
    <col min="2" max="2" width="9.69140625" customWidth="1"/>
    <col min="3" max="3" width="12.84375" customWidth="1"/>
    <col min="4" max="4" width="10.53515625" customWidth="1"/>
    <col min="5" max="5" width="15" customWidth="1"/>
    <col min="7" max="7" width="13.69140625" customWidth="1"/>
    <col min="8" max="8" width="13.15234375" customWidth="1"/>
  </cols>
  <sheetData>
    <row r="1" spans="1:8" ht="15" thickBot="1">
      <c r="A1" s="175" t="s">
        <v>109</v>
      </c>
    </row>
    <row r="2" spans="1:8" ht="15" thickTop="1">
      <c r="A2" s="93"/>
      <c r="B2" s="94"/>
      <c r="C2" s="178" t="s">
        <v>85</v>
      </c>
      <c r="D2" s="178"/>
      <c r="E2" s="178"/>
      <c r="F2" s="179"/>
      <c r="G2" s="95"/>
      <c r="H2" s="73"/>
    </row>
    <row r="3" spans="1:8" ht="15" thickBot="1">
      <c r="A3" s="96"/>
      <c r="B3" s="97" t="s">
        <v>86</v>
      </c>
      <c r="C3" s="98" t="s">
        <v>87</v>
      </c>
      <c r="D3" s="99" t="s">
        <v>88</v>
      </c>
      <c r="E3" s="100" t="s">
        <v>89</v>
      </c>
      <c r="F3" s="101" t="s">
        <v>88</v>
      </c>
      <c r="G3" s="102" t="s">
        <v>6</v>
      </c>
      <c r="H3" s="103" t="s">
        <v>90</v>
      </c>
    </row>
    <row r="4" spans="1:8" ht="15" thickTop="1">
      <c r="A4" s="104" t="s">
        <v>110</v>
      </c>
      <c r="B4" s="105">
        <v>44013</v>
      </c>
      <c r="C4" s="154">
        <v>4333.04</v>
      </c>
      <c r="D4" s="157">
        <f>C4/G4</f>
        <v>2.1200008219636517E-2</v>
      </c>
      <c r="E4" s="155">
        <v>200055.56</v>
      </c>
      <c r="F4" s="156">
        <f>E4/G4</f>
        <v>0.97879999178036348</v>
      </c>
      <c r="G4" s="153">
        <v>204388.6</v>
      </c>
      <c r="H4" s="103"/>
    </row>
    <row r="5" spans="1:8">
      <c r="A5" s="104" t="s">
        <v>111</v>
      </c>
      <c r="B5" s="105">
        <v>44013</v>
      </c>
      <c r="C5" s="158">
        <f>-C42</f>
        <v>1000</v>
      </c>
      <c r="D5" s="151"/>
      <c r="E5" s="159">
        <f>-E42</f>
        <v>14976.77</v>
      </c>
      <c r="F5" s="152"/>
      <c r="G5" s="153">
        <f>-G42</f>
        <v>15976.77</v>
      </c>
      <c r="H5" s="103"/>
    </row>
    <row r="6" spans="1:8">
      <c r="A6" s="143" t="s">
        <v>115</v>
      </c>
      <c r="B6" s="144">
        <v>44013</v>
      </c>
      <c r="C6" s="145">
        <f>SUM(C4:C5)</f>
        <v>5333.04</v>
      </c>
      <c r="D6" s="146">
        <f>ROUND(C6/G6,4)</f>
        <v>2.4199999999999999E-2</v>
      </c>
      <c r="E6" s="147">
        <f>SUM(E4:E5)</f>
        <v>215032.33</v>
      </c>
      <c r="F6" s="148">
        <f>ROUND(E6/G6,4)</f>
        <v>0.9758</v>
      </c>
      <c r="G6" s="149">
        <f>SUM(G4:G5)</f>
        <v>220365.37</v>
      </c>
    </row>
    <row r="7" spans="1:8">
      <c r="A7" s="110" t="s">
        <v>92</v>
      </c>
      <c r="B7" s="105"/>
      <c r="C7" s="111">
        <f>+G7*D6</f>
        <v>-533.12599999999998</v>
      </c>
      <c r="D7" s="106">
        <f>C7/G7</f>
        <v>2.4199999999999999E-2</v>
      </c>
      <c r="E7" s="112">
        <f>+G7-C7</f>
        <v>-21496.874</v>
      </c>
      <c r="F7" s="108">
        <f>+E7/G7</f>
        <v>0.9758</v>
      </c>
      <c r="G7" s="113">
        <v>-22030</v>
      </c>
    </row>
    <row r="8" spans="1:8">
      <c r="A8" s="104" t="s">
        <v>93</v>
      </c>
      <c r="B8" s="114"/>
      <c r="C8" s="115">
        <v>0</v>
      </c>
      <c r="D8" s="116">
        <f>C8/G8</f>
        <v>0</v>
      </c>
      <c r="E8" s="117">
        <f>G8-C8</f>
        <v>17062.61</v>
      </c>
      <c r="F8" s="118">
        <f>E8/G8</f>
        <v>1</v>
      </c>
      <c r="G8" s="119">
        <f>16845.93+216.68</f>
        <v>17062.61</v>
      </c>
    </row>
    <row r="9" spans="1:8">
      <c r="A9" s="161" t="s">
        <v>94</v>
      </c>
      <c r="B9" s="162">
        <v>44377</v>
      </c>
      <c r="C9" s="163">
        <f>SUM(C6:C8)</f>
        <v>4799.9139999999998</v>
      </c>
      <c r="D9" s="164">
        <f>ROUND(C9/G9,4)</f>
        <v>2.23E-2</v>
      </c>
      <c r="E9" s="165">
        <f>SUM(E6:E8)</f>
        <v>210598.06599999999</v>
      </c>
      <c r="F9" s="166">
        <f>ROUND(E9/G9,4)</f>
        <v>0.97770000000000001</v>
      </c>
      <c r="G9" s="167">
        <f>SUM(G6:G8)</f>
        <v>215397.97999999998</v>
      </c>
      <c r="H9" s="168">
        <f>+C9+E9</f>
        <v>215397.97999999998</v>
      </c>
    </row>
    <row r="10" spans="1:8">
      <c r="A10" s="125"/>
      <c r="B10" s="126"/>
      <c r="C10" s="127"/>
      <c r="D10" s="106"/>
      <c r="E10" s="128"/>
      <c r="F10" s="108"/>
      <c r="G10" s="109"/>
      <c r="H10" s="73"/>
    </row>
    <row r="11" spans="1:8">
      <c r="A11" s="104" t="s">
        <v>91</v>
      </c>
      <c r="B11" s="105">
        <v>44378</v>
      </c>
      <c r="C11" s="73">
        <f>+C9</f>
        <v>4799.9139999999998</v>
      </c>
      <c r="D11" s="106">
        <f>+D9</f>
        <v>2.23E-2</v>
      </c>
      <c r="E11" s="107">
        <f>+E9</f>
        <v>210598.06599999999</v>
      </c>
      <c r="F11" s="108">
        <f>+F9</f>
        <v>0.97770000000000001</v>
      </c>
      <c r="G11" s="109">
        <f>+G9</f>
        <v>215397.97999999998</v>
      </c>
      <c r="H11" s="73"/>
    </row>
    <row r="12" spans="1:8">
      <c r="A12" s="104" t="s">
        <v>111</v>
      </c>
      <c r="B12" s="105">
        <v>44378</v>
      </c>
      <c r="C12" s="73">
        <f>-C49</f>
        <v>800</v>
      </c>
      <c r="D12" s="106"/>
      <c r="E12" s="107">
        <f>-E49</f>
        <v>19431.34</v>
      </c>
      <c r="F12" s="108"/>
      <c r="G12" s="109">
        <f>-G49</f>
        <v>20231.34</v>
      </c>
      <c r="H12" s="73"/>
    </row>
    <row r="13" spans="1:8">
      <c r="A13" s="143" t="s">
        <v>116</v>
      </c>
      <c r="B13" s="144">
        <v>44378</v>
      </c>
      <c r="C13" s="145">
        <f>SUM(C11:C12)</f>
        <v>5599.9139999999998</v>
      </c>
      <c r="D13" s="146">
        <f>+C13/G13</f>
        <v>2.3765777535664917E-2</v>
      </c>
      <c r="E13" s="147">
        <f>SUM(E11:E12)</f>
        <v>230029.40599999999</v>
      </c>
      <c r="F13" s="148">
        <f>+E13/G13</f>
        <v>0.97623422246433511</v>
      </c>
      <c r="G13" s="149">
        <f>SUM(G11:G12)</f>
        <v>235629.31999999998</v>
      </c>
      <c r="H13" s="73"/>
    </row>
    <row r="14" spans="1:8">
      <c r="A14" s="110" t="s">
        <v>95</v>
      </c>
      <c r="B14" s="105"/>
      <c r="C14" s="111">
        <f>G14*D13</f>
        <v>-559.92171874026542</v>
      </c>
      <c r="D14" s="106">
        <f>+C14/G14</f>
        <v>2.3765777535664917E-2</v>
      </c>
      <c r="E14" s="112">
        <f>+G14-C14</f>
        <v>-23000.078281259735</v>
      </c>
      <c r="F14" s="108">
        <f>+E14/G14</f>
        <v>0.97623422246433511</v>
      </c>
      <c r="G14" s="113">
        <v>-23560</v>
      </c>
      <c r="H14" s="73"/>
    </row>
    <row r="15" spans="1:8">
      <c r="A15" s="104" t="s">
        <v>96</v>
      </c>
      <c r="B15" s="105"/>
      <c r="C15" s="73">
        <v>0</v>
      </c>
      <c r="D15" s="106">
        <f>C15/G15</f>
        <v>0</v>
      </c>
      <c r="E15" s="107">
        <f>G15-C15</f>
        <v>-5440.75</v>
      </c>
      <c r="F15" s="108">
        <f>E15/G15</f>
        <v>1</v>
      </c>
      <c r="G15" s="109">
        <f>-5516.36+75.61</f>
        <v>-5440.75</v>
      </c>
      <c r="H15" s="73"/>
    </row>
    <row r="16" spans="1:8">
      <c r="A16" s="161" t="s">
        <v>94</v>
      </c>
      <c r="B16" s="162">
        <v>44742</v>
      </c>
      <c r="C16" s="163">
        <f>SUM(C13:C15)</f>
        <v>5039.9922812597342</v>
      </c>
      <c r="D16" s="164">
        <f>ROUND(C16/G16,4)</f>
        <v>2.4400000000000002E-2</v>
      </c>
      <c r="E16" s="165">
        <f>SUM(E13:E15)</f>
        <v>201588.57771874024</v>
      </c>
      <c r="F16" s="166">
        <f>ROUND(E16/G16,4)</f>
        <v>0.97560000000000002</v>
      </c>
      <c r="G16" s="167">
        <f>SUM(G13:G15)</f>
        <v>206628.56999999998</v>
      </c>
      <c r="H16" s="168">
        <f>+C16+E16</f>
        <v>206628.56999999998</v>
      </c>
    </row>
    <row r="17" spans="1:8">
      <c r="A17" s="125"/>
      <c r="B17" s="126"/>
      <c r="C17" s="127"/>
      <c r="D17" s="106"/>
      <c r="E17" s="128"/>
      <c r="F17" s="108"/>
      <c r="G17" s="109"/>
      <c r="H17" s="73"/>
    </row>
    <row r="18" spans="1:8">
      <c r="A18" s="104" t="s">
        <v>91</v>
      </c>
      <c r="B18" s="105">
        <v>44743</v>
      </c>
      <c r="C18" s="73">
        <f>+C16</f>
        <v>5039.9922812597342</v>
      </c>
      <c r="D18" s="106">
        <f>+D16</f>
        <v>2.4400000000000002E-2</v>
      </c>
      <c r="E18" s="107">
        <f>+E16</f>
        <v>201588.57771874024</v>
      </c>
      <c r="F18" s="108">
        <f>+F16</f>
        <v>0.97560000000000002</v>
      </c>
      <c r="G18" s="109">
        <f>+G16</f>
        <v>206628.56999999998</v>
      </c>
      <c r="H18" s="73"/>
    </row>
    <row r="19" spans="1:8">
      <c r="A19" s="104" t="s">
        <v>111</v>
      </c>
      <c r="B19" s="105">
        <v>44743</v>
      </c>
      <c r="C19" s="73">
        <f>C56</f>
        <v>0</v>
      </c>
      <c r="D19" s="106"/>
      <c r="E19" s="107">
        <f>-E56</f>
        <v>946.82999999999993</v>
      </c>
      <c r="F19" s="108"/>
      <c r="G19" s="109">
        <f>-G56</f>
        <v>946.82999999999993</v>
      </c>
      <c r="H19" s="73"/>
    </row>
    <row r="20" spans="1:8">
      <c r="A20" s="143" t="s">
        <v>117</v>
      </c>
      <c r="B20" s="144">
        <v>44743</v>
      </c>
      <c r="C20" s="145">
        <f>SUM(C18:C19)</f>
        <v>5039.9922812597342</v>
      </c>
      <c r="D20" s="146">
        <f>C20/G20</f>
        <v>2.4280296611543253E-2</v>
      </c>
      <c r="E20" s="147">
        <f>SUM(E18:E19)</f>
        <v>202535.40771874023</v>
      </c>
      <c r="F20" s="148">
        <f>E20/G20</f>
        <v>0.97571970338845671</v>
      </c>
      <c r="G20" s="149">
        <f>SUM(G18:G19)</f>
        <v>207575.39999999997</v>
      </c>
      <c r="H20" s="73"/>
    </row>
    <row r="21" spans="1:8">
      <c r="A21" s="110" t="s">
        <v>97</v>
      </c>
      <c r="B21" s="105"/>
      <c r="C21" s="111">
        <f>+G21*D20</f>
        <v>-502.60213985894535</v>
      </c>
      <c r="D21" s="106">
        <f>+C21/G21</f>
        <v>2.4280296611543253E-2</v>
      </c>
      <c r="E21" s="112">
        <f>+G21-C21</f>
        <v>-20197.397860141056</v>
      </c>
      <c r="F21" s="108">
        <f>+E21/G21</f>
        <v>0.97571970338845682</v>
      </c>
      <c r="G21" s="113">
        <v>-20700</v>
      </c>
      <c r="H21" s="73"/>
    </row>
    <row r="22" spans="1:8">
      <c r="A22" s="104" t="s">
        <v>98</v>
      </c>
      <c r="B22" s="126"/>
      <c r="C22" s="73">
        <v>0</v>
      </c>
      <c r="D22" s="106">
        <v>0</v>
      </c>
      <c r="E22" s="107">
        <f>+G22-C22</f>
        <v>17734.93</v>
      </c>
      <c r="F22" s="108">
        <f>+E22/G22</f>
        <v>1</v>
      </c>
      <c r="G22" s="109">
        <f>18388.65-653.72</f>
        <v>17734.93</v>
      </c>
      <c r="H22" s="73"/>
    </row>
    <row r="23" spans="1:8">
      <c r="A23" s="161" t="s">
        <v>94</v>
      </c>
      <c r="B23" s="162">
        <v>45107</v>
      </c>
      <c r="C23" s="163">
        <f>SUM(C20:C22)</f>
        <v>4537.3901414007887</v>
      </c>
      <c r="D23" s="164">
        <f>ROUND(C23/G23,4)</f>
        <v>2.2200000000000001E-2</v>
      </c>
      <c r="E23" s="165">
        <f>SUM(E20:E22)</f>
        <v>200072.93985859916</v>
      </c>
      <c r="F23" s="166">
        <f>ROUND(E23/G23,4)</f>
        <v>0.9778</v>
      </c>
      <c r="G23" s="167">
        <f>SUM(G20:G22)</f>
        <v>204610.32999999996</v>
      </c>
      <c r="H23" s="168">
        <f>+C23+E23</f>
        <v>204610.32999999996</v>
      </c>
    </row>
    <row r="25" spans="1:8">
      <c r="A25" s="104" t="s">
        <v>91</v>
      </c>
      <c r="B25" s="105">
        <v>45108</v>
      </c>
      <c r="C25" s="73">
        <f>+C23</f>
        <v>4537.3901414007887</v>
      </c>
      <c r="D25" s="106">
        <f>+D23</f>
        <v>2.2200000000000001E-2</v>
      </c>
      <c r="E25" s="107">
        <f>+E23</f>
        <v>200072.93985859916</v>
      </c>
      <c r="F25" s="108">
        <f>+F23</f>
        <v>0.9778</v>
      </c>
      <c r="G25" s="109">
        <f>+G23</f>
        <v>204610.32999999996</v>
      </c>
      <c r="H25" s="73"/>
    </row>
    <row r="26" spans="1:8">
      <c r="A26" s="104" t="s">
        <v>111</v>
      </c>
      <c r="B26" s="105">
        <v>45108</v>
      </c>
      <c r="C26" s="73">
        <f>C62</f>
        <v>330598</v>
      </c>
      <c r="D26" s="106"/>
      <c r="E26" s="107">
        <f>E62</f>
        <v>24698.219999999998</v>
      </c>
      <c r="F26" s="108"/>
      <c r="G26" s="109">
        <f>G62</f>
        <v>355296.22000000003</v>
      </c>
      <c r="H26" s="73"/>
    </row>
    <row r="27" spans="1:8">
      <c r="A27" s="143" t="s">
        <v>118</v>
      </c>
      <c r="B27" s="144">
        <v>45108</v>
      </c>
      <c r="C27" s="145">
        <f>SUM(C25:C26)</f>
        <v>335135.3901414008</v>
      </c>
      <c r="D27" s="146">
        <f>C27/G27</f>
        <v>0.59855593784605798</v>
      </c>
      <c r="E27" s="147">
        <f>SUM(E25:E26)</f>
        <v>224771.15985859916</v>
      </c>
      <c r="F27" s="148">
        <f>E27/G27</f>
        <v>0.40144406215394185</v>
      </c>
      <c r="G27" s="149">
        <f>SUM(G25:G26)</f>
        <v>559906.55000000005</v>
      </c>
      <c r="H27" s="73"/>
    </row>
    <row r="28" spans="1:8">
      <c r="A28" s="110" t="s">
        <v>120</v>
      </c>
      <c r="B28" s="105"/>
      <c r="C28" s="111">
        <f>+G28*D27</f>
        <v>0</v>
      </c>
      <c r="D28" s="106" t="e">
        <f>+C28/G28</f>
        <v>#DIV/0!</v>
      </c>
      <c r="E28" s="112">
        <f>+G28-C28</f>
        <v>0</v>
      </c>
      <c r="F28" s="108" t="e">
        <f>+E28/G28</f>
        <v>#DIV/0!</v>
      </c>
      <c r="G28" s="113">
        <v>0</v>
      </c>
      <c r="H28" s="73"/>
    </row>
    <row r="29" spans="1:8">
      <c r="A29" s="104" t="s">
        <v>121</v>
      </c>
      <c r="B29" s="126"/>
      <c r="C29" s="73">
        <v>0</v>
      </c>
      <c r="D29" s="106">
        <v>0</v>
      </c>
      <c r="E29" s="107">
        <f>+G29-C29</f>
        <v>0</v>
      </c>
      <c r="F29" s="108" t="e">
        <f>+E29/G29</f>
        <v>#DIV/0!</v>
      </c>
      <c r="G29" s="109">
        <v>0</v>
      </c>
      <c r="H29" s="73"/>
    </row>
    <row r="30" spans="1:8">
      <c r="A30" s="120" t="s">
        <v>94</v>
      </c>
      <c r="B30" s="180">
        <v>45473</v>
      </c>
      <c r="C30" s="121">
        <f>SUM(C27:C29)</f>
        <v>335135.3901414008</v>
      </c>
      <c r="D30" s="122">
        <f>ROUND(C30/G30,4)</f>
        <v>0.59860000000000002</v>
      </c>
      <c r="E30" s="123">
        <f>SUM(E27:E29)</f>
        <v>224771.15985859916</v>
      </c>
      <c r="F30" s="124">
        <f>ROUND(E30/G30,4)</f>
        <v>0.40139999999999998</v>
      </c>
      <c r="G30" s="160">
        <f>SUM(G27:G29)</f>
        <v>559906.55000000005</v>
      </c>
      <c r="H30" s="73">
        <f>+C30+E30</f>
        <v>559906.54999999993</v>
      </c>
    </row>
    <row r="38" spans="1:8" ht="15" thickBot="1">
      <c r="A38" s="150" t="s">
        <v>99</v>
      </c>
    </row>
    <row r="39" spans="1:8" ht="15" thickTop="1">
      <c r="A39" s="93"/>
      <c r="B39" s="94"/>
      <c r="C39" s="178" t="s">
        <v>85</v>
      </c>
      <c r="D39" s="178"/>
      <c r="E39" s="178"/>
      <c r="F39" s="179"/>
      <c r="G39" s="95"/>
    </row>
    <row r="40" spans="1:8" ht="15" thickBot="1">
      <c r="A40" s="96"/>
      <c r="B40" s="97" t="s">
        <v>86</v>
      </c>
      <c r="C40" s="98" t="s">
        <v>87</v>
      </c>
      <c r="D40" s="99" t="s">
        <v>88</v>
      </c>
      <c r="E40" s="100" t="s">
        <v>89</v>
      </c>
      <c r="F40" s="101" t="s">
        <v>88</v>
      </c>
      <c r="G40" s="102" t="s">
        <v>6</v>
      </c>
      <c r="H40" s="129" t="s">
        <v>90</v>
      </c>
    </row>
    <row r="41" spans="1:8" ht="15" thickTop="1">
      <c r="A41" s="130" t="s">
        <v>91</v>
      </c>
      <c r="B41" s="105">
        <v>44013</v>
      </c>
      <c r="C41" s="131">
        <v>1000</v>
      </c>
      <c r="D41" s="132"/>
      <c r="E41" s="107">
        <f>G41-C41</f>
        <v>14976.77</v>
      </c>
      <c r="F41" s="108"/>
      <c r="G41" s="67">
        <v>15976.77</v>
      </c>
    </row>
    <row r="42" spans="1:8">
      <c r="A42" s="130" t="s">
        <v>112</v>
      </c>
      <c r="B42" s="105">
        <v>44013</v>
      </c>
      <c r="C42" s="133">
        <f>-C41</f>
        <v>-1000</v>
      </c>
      <c r="D42" s="132"/>
      <c r="E42" s="112">
        <f>-E41</f>
        <v>-14976.77</v>
      </c>
      <c r="F42" s="108"/>
      <c r="G42" s="134">
        <f>-G41</f>
        <v>-15976.77</v>
      </c>
    </row>
    <row r="43" spans="1:8">
      <c r="A43" s="130" t="s">
        <v>100</v>
      </c>
      <c r="B43" s="105"/>
      <c r="C43" s="131">
        <v>0</v>
      </c>
      <c r="D43" s="132">
        <f>C43/G43</f>
        <v>0</v>
      </c>
      <c r="E43" s="107">
        <f>G43-C43</f>
        <v>23169.33</v>
      </c>
      <c r="F43" s="108">
        <f>E43/G43</f>
        <v>1</v>
      </c>
      <c r="G43" s="67">
        <f>4169.33+19000</f>
        <v>23169.33</v>
      </c>
    </row>
    <row r="44" spans="1:8">
      <c r="A44" s="104" t="s">
        <v>101</v>
      </c>
      <c r="B44" s="105"/>
      <c r="C44" s="131">
        <v>800</v>
      </c>
      <c r="D44" s="132">
        <f>C44/G44</f>
        <v>1</v>
      </c>
      <c r="E44" s="107">
        <f>G44-C44</f>
        <v>0</v>
      </c>
      <c r="F44" s="108">
        <f>E44/G44</f>
        <v>0</v>
      </c>
      <c r="G44" s="67">
        <v>800</v>
      </c>
    </row>
    <row r="45" spans="1:8">
      <c r="A45" s="104" t="s">
        <v>102</v>
      </c>
      <c r="B45" s="105"/>
      <c r="C45" s="131">
        <v>0</v>
      </c>
      <c r="D45" s="132">
        <f>C45/G45</f>
        <v>0</v>
      </c>
      <c r="E45" s="112">
        <f>G45-C45</f>
        <v>-3737.9900000000002</v>
      </c>
      <c r="F45" s="108">
        <f>E45/G45</f>
        <v>1</v>
      </c>
      <c r="G45" s="134">
        <f>333.13+4.28-3475.4-600</f>
        <v>-3737.9900000000002</v>
      </c>
    </row>
    <row r="46" spans="1:8">
      <c r="A46" s="161" t="s">
        <v>94</v>
      </c>
      <c r="B46" s="162">
        <v>44377</v>
      </c>
      <c r="C46" s="170">
        <f>SUM(C41:C45)</f>
        <v>800</v>
      </c>
      <c r="D46" s="171">
        <f>C46/G46</f>
        <v>3.9542610622924627E-2</v>
      </c>
      <c r="E46" s="165">
        <f>SUM(E41:E45)</f>
        <v>19431.34</v>
      </c>
      <c r="F46" s="166">
        <f>E46/G46</f>
        <v>0.96045738937707537</v>
      </c>
      <c r="G46" s="172">
        <f>SUM(G41:G45)</f>
        <v>20231.34</v>
      </c>
      <c r="H46" s="168">
        <f>+C46+E46</f>
        <v>20231.34</v>
      </c>
    </row>
    <row r="47" spans="1:8">
      <c r="A47" s="138"/>
      <c r="B47" s="138"/>
      <c r="C47" s="139"/>
      <c r="D47" s="140"/>
      <c r="E47" s="141"/>
      <c r="F47" s="142"/>
      <c r="G47" s="138"/>
    </row>
    <row r="48" spans="1:8">
      <c r="A48" s="130" t="s">
        <v>91</v>
      </c>
      <c r="B48" s="105">
        <v>44378</v>
      </c>
      <c r="C48" s="131">
        <f>+C46</f>
        <v>800</v>
      </c>
      <c r="D48" s="132">
        <f>+D46</f>
        <v>3.9542610622924627E-2</v>
      </c>
      <c r="E48" s="107">
        <f>+E46</f>
        <v>19431.34</v>
      </c>
      <c r="F48" s="108">
        <f>+F46</f>
        <v>0.96045738937707537</v>
      </c>
      <c r="G48" s="67">
        <f>+G46</f>
        <v>20231.34</v>
      </c>
    </row>
    <row r="49" spans="1:8">
      <c r="A49" s="130" t="s">
        <v>112</v>
      </c>
      <c r="B49" s="105">
        <v>44378</v>
      </c>
      <c r="C49" s="133">
        <f>-C48</f>
        <v>-800</v>
      </c>
      <c r="D49" s="132"/>
      <c r="E49" s="112">
        <f>-E48</f>
        <v>-19431.34</v>
      </c>
      <c r="F49" s="108"/>
      <c r="G49" s="134">
        <f>-G48</f>
        <v>-20231.34</v>
      </c>
    </row>
    <row r="50" spans="1:8">
      <c r="A50" s="130" t="s">
        <v>103</v>
      </c>
      <c r="B50" s="105"/>
      <c r="C50" s="131">
        <v>0</v>
      </c>
      <c r="D50" s="132">
        <f>C50/G50</f>
        <v>0</v>
      </c>
      <c r="E50" s="107">
        <f>G50-C50</f>
        <v>2425</v>
      </c>
      <c r="F50" s="108">
        <f>E50/G50</f>
        <v>1</v>
      </c>
      <c r="G50" s="67">
        <v>2425</v>
      </c>
    </row>
    <row r="51" spans="1:8">
      <c r="A51" s="104" t="s">
        <v>104</v>
      </c>
      <c r="B51" s="105"/>
      <c r="C51" s="131">
        <v>0</v>
      </c>
      <c r="D51" s="132" t="e">
        <f>C51/G51</f>
        <v>#DIV/0!</v>
      </c>
      <c r="E51" s="107">
        <f>G51-C51</f>
        <v>0</v>
      </c>
      <c r="F51" s="108" t="e">
        <f>E51/G51</f>
        <v>#DIV/0!</v>
      </c>
      <c r="G51" s="67">
        <v>0</v>
      </c>
    </row>
    <row r="52" spans="1:8">
      <c r="A52" s="104" t="s">
        <v>105</v>
      </c>
      <c r="B52" s="105"/>
      <c r="C52" s="131">
        <v>0</v>
      </c>
      <c r="D52" s="132">
        <f>C52/G52</f>
        <v>0</v>
      </c>
      <c r="E52" s="107">
        <f>G52-C52</f>
        <v>-1478.17</v>
      </c>
      <c r="F52" s="108">
        <f>E52/G52</f>
        <v>1</v>
      </c>
      <c r="G52" s="67">
        <f>-19.69+0.27-363.75-1095</f>
        <v>-1478.17</v>
      </c>
    </row>
    <row r="53" spans="1:8">
      <c r="A53" s="161" t="s">
        <v>94</v>
      </c>
      <c r="B53" s="162">
        <v>44742</v>
      </c>
      <c r="C53" s="173">
        <f>SUM(C48:C52)</f>
        <v>0</v>
      </c>
      <c r="D53" s="171">
        <f>C53/G53</f>
        <v>0</v>
      </c>
      <c r="E53" s="165">
        <f>SUM(E48:E52)</f>
        <v>946.82999999999993</v>
      </c>
      <c r="F53" s="166">
        <f>E53/G53</f>
        <v>1</v>
      </c>
      <c r="G53" s="174">
        <f>SUM(G48:G52)</f>
        <v>946.82999999999993</v>
      </c>
      <c r="H53" s="168">
        <f>+C53+E53</f>
        <v>946.82999999999993</v>
      </c>
    </row>
    <row r="54" spans="1:8">
      <c r="A54" s="138"/>
      <c r="B54" s="138"/>
      <c r="C54" s="139"/>
      <c r="D54" s="140"/>
      <c r="E54" s="141"/>
      <c r="F54" s="142"/>
      <c r="G54" s="138"/>
    </row>
    <row r="55" spans="1:8">
      <c r="A55" s="130" t="s">
        <v>91</v>
      </c>
      <c r="B55" s="105">
        <v>44743</v>
      </c>
      <c r="C55" s="131">
        <f>+C53</f>
        <v>0</v>
      </c>
      <c r="D55" s="132">
        <f>+D53</f>
        <v>0</v>
      </c>
      <c r="E55" s="107">
        <f>+E53</f>
        <v>946.82999999999993</v>
      </c>
      <c r="F55" s="108">
        <f>+F53</f>
        <v>1</v>
      </c>
      <c r="G55" s="67">
        <f>+G53</f>
        <v>946.82999999999993</v>
      </c>
    </row>
    <row r="56" spans="1:8">
      <c r="A56" s="130" t="s">
        <v>114</v>
      </c>
      <c r="B56" s="105">
        <v>44743</v>
      </c>
      <c r="C56" s="133">
        <f>-C55</f>
        <v>0</v>
      </c>
      <c r="D56" s="132"/>
      <c r="E56" s="112">
        <f>-E55</f>
        <v>-946.82999999999993</v>
      </c>
      <c r="F56" s="108"/>
      <c r="G56" s="134">
        <f>-G55</f>
        <v>-946.82999999999993</v>
      </c>
    </row>
    <row r="57" spans="1:8">
      <c r="A57" s="130" t="s">
        <v>106</v>
      </c>
      <c r="B57" s="105"/>
      <c r="C57" s="131">
        <v>0</v>
      </c>
      <c r="D57" s="132">
        <f>C57/G57</f>
        <v>0</v>
      </c>
      <c r="E57" s="107">
        <f>G57-C57</f>
        <v>4275.1399999999994</v>
      </c>
      <c r="F57" s="108">
        <f>E57/G57</f>
        <v>1</v>
      </c>
      <c r="G57" s="67">
        <f>2000+2275.14</f>
        <v>4275.1399999999994</v>
      </c>
    </row>
    <row r="58" spans="1:8">
      <c r="A58" s="104" t="s">
        <v>107</v>
      </c>
      <c r="B58" s="105"/>
      <c r="C58" s="131">
        <v>330598</v>
      </c>
      <c r="D58" s="132">
        <f>C58/G58</f>
        <v>1</v>
      </c>
      <c r="E58" s="107">
        <f>G58-C58</f>
        <v>0</v>
      </c>
      <c r="F58" s="108">
        <f>E58/G58</f>
        <v>0</v>
      </c>
      <c r="G58" s="67">
        <v>330598</v>
      </c>
    </row>
    <row r="59" spans="1:8">
      <c r="A59" s="104" t="s">
        <v>119</v>
      </c>
      <c r="B59" s="105"/>
      <c r="C59" s="131">
        <v>0</v>
      </c>
      <c r="D59" s="132">
        <f>C59/G59</f>
        <v>0</v>
      </c>
      <c r="E59" s="107">
        <f>G59-C59</f>
        <v>20423.079999999998</v>
      </c>
      <c r="F59" s="108">
        <f>E59/G59</f>
        <v>1</v>
      </c>
      <c r="G59" s="67">
        <f>21840.78-776.45-641.25</f>
        <v>20423.079999999998</v>
      </c>
    </row>
    <row r="60" spans="1:8">
      <c r="A60" s="161" t="s">
        <v>94</v>
      </c>
      <c r="B60" s="162">
        <v>45107</v>
      </c>
      <c r="C60" s="173">
        <f>SUM(C55:C59)</f>
        <v>330598</v>
      </c>
      <c r="D60" s="171">
        <f>C60/G60</f>
        <v>0.93048555371627639</v>
      </c>
      <c r="E60" s="165">
        <f>SUM(E55:E59)</f>
        <v>24698.219999999998</v>
      </c>
      <c r="F60" s="166">
        <f>E60/G60</f>
        <v>6.9514446283723469E-2</v>
      </c>
      <c r="G60" s="174">
        <f>SUM(G55:G59)</f>
        <v>355296.22000000003</v>
      </c>
      <c r="H60" s="168">
        <f>+C60+E60</f>
        <v>355296.22</v>
      </c>
    </row>
    <row r="62" spans="1:8">
      <c r="A62" s="130" t="s">
        <v>91</v>
      </c>
      <c r="B62" s="105">
        <v>45108</v>
      </c>
      <c r="C62" s="131">
        <f>+C60</f>
        <v>330598</v>
      </c>
      <c r="D62" s="132">
        <f>+D60</f>
        <v>0.93048555371627639</v>
      </c>
      <c r="E62" s="107">
        <f>+E60</f>
        <v>24698.219999999998</v>
      </c>
      <c r="F62" s="108">
        <f>+F60</f>
        <v>6.9514446283723469E-2</v>
      </c>
      <c r="G62" s="67">
        <f>+G60</f>
        <v>355296.22000000003</v>
      </c>
    </row>
    <row r="63" spans="1:8">
      <c r="A63" s="130" t="s">
        <v>114</v>
      </c>
      <c r="B63" s="105">
        <v>45108</v>
      </c>
      <c r="C63" s="133">
        <f>-C62</f>
        <v>-330598</v>
      </c>
      <c r="D63" s="132"/>
      <c r="E63" s="112">
        <f>-E62</f>
        <v>-24698.219999999998</v>
      </c>
      <c r="F63" s="108"/>
      <c r="G63" s="134">
        <f>-G62</f>
        <v>-355296.22000000003</v>
      </c>
    </row>
    <row r="64" spans="1:8">
      <c r="A64" s="130" t="s">
        <v>106</v>
      </c>
      <c r="B64" s="105"/>
      <c r="C64" s="131">
        <v>0</v>
      </c>
      <c r="D64" s="132" t="e">
        <f>C64/G64</f>
        <v>#DIV/0!</v>
      </c>
      <c r="E64" s="107">
        <f>G64-C64</f>
        <v>0</v>
      </c>
      <c r="F64" s="108" t="e">
        <f>E64/G64</f>
        <v>#DIV/0!</v>
      </c>
      <c r="G64" s="67">
        <v>0</v>
      </c>
    </row>
    <row r="65" spans="1:8">
      <c r="A65" s="104" t="s">
        <v>107</v>
      </c>
      <c r="B65" s="105"/>
      <c r="C65" s="131">
        <v>0</v>
      </c>
      <c r="D65" s="132" t="e">
        <f>C65/G65</f>
        <v>#DIV/0!</v>
      </c>
      <c r="E65" s="107">
        <f>G65-C65</f>
        <v>0</v>
      </c>
      <c r="F65" s="108" t="e">
        <f>E65/G65</f>
        <v>#DIV/0!</v>
      </c>
      <c r="G65" s="67">
        <v>0</v>
      </c>
    </row>
    <row r="66" spans="1:8">
      <c r="A66" s="104" t="s">
        <v>108</v>
      </c>
      <c r="B66" s="105"/>
      <c r="C66" s="131">
        <v>0</v>
      </c>
      <c r="D66" s="132" t="e">
        <f>C66/G66</f>
        <v>#DIV/0!</v>
      </c>
      <c r="E66" s="107">
        <f>G66-C66</f>
        <v>0</v>
      </c>
      <c r="F66" s="108" t="e">
        <f>E66/G66</f>
        <v>#DIV/0!</v>
      </c>
      <c r="G66" s="67">
        <v>0</v>
      </c>
    </row>
    <row r="67" spans="1:8">
      <c r="A67" s="120" t="s">
        <v>94</v>
      </c>
      <c r="B67" s="180">
        <v>45473</v>
      </c>
      <c r="C67" s="135">
        <f>SUM(C62:C66)</f>
        <v>0</v>
      </c>
      <c r="D67" s="136" t="e">
        <f>C67/G67</f>
        <v>#DIV/0!</v>
      </c>
      <c r="E67" s="123">
        <f>SUM(E62:E66)</f>
        <v>0</v>
      </c>
      <c r="F67" s="124" t="e">
        <f>E67/G67</f>
        <v>#DIV/0!</v>
      </c>
      <c r="G67" s="137">
        <f>SUM(G62:G66)</f>
        <v>0</v>
      </c>
      <c r="H67" s="73">
        <f>+C67+E67</f>
        <v>0</v>
      </c>
    </row>
  </sheetData>
  <mergeCells count="2">
    <mergeCell ref="C2:F2"/>
    <mergeCell ref="C39:F39"/>
  </mergeCells>
  <pageMargins left="0.25" right="0.25" top="0.75" bottom="0.75" header="0.3" footer="0.3"/>
  <pageSetup paperSize="9" scale="89" orientation="portrait" r:id="rId1"/>
  <rowBreaks count="1" manualBreakCount="1">
    <brk id="36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E10" sqref="E10"/>
    </sheetView>
  </sheetViews>
  <sheetFormatPr defaultRowHeight="14.6"/>
  <cols>
    <col min="1" max="1" width="40.15234375" customWidth="1"/>
    <col min="2" max="2" width="12.69140625" customWidth="1"/>
    <col min="3" max="3" width="1.69140625" customWidth="1"/>
    <col min="4" max="4" width="17.69140625" customWidth="1"/>
    <col min="5" max="5" width="12.69140625" customWidth="1"/>
    <col min="6" max="6" width="12" customWidth="1"/>
  </cols>
  <sheetData>
    <row r="1" spans="1:6" ht="18.45">
      <c r="A1" s="1" t="s">
        <v>0</v>
      </c>
    </row>
    <row r="2" spans="1:6">
      <c r="A2" s="2" t="s">
        <v>1</v>
      </c>
      <c r="B2" s="3"/>
      <c r="C2" s="3"/>
      <c r="D2" s="3"/>
      <c r="E2" s="3"/>
      <c r="F2" s="3"/>
    </row>
    <row r="3" spans="1:6">
      <c r="A3" s="2"/>
      <c r="B3" s="3"/>
      <c r="C3" s="3"/>
      <c r="D3" s="3"/>
      <c r="E3" s="3"/>
      <c r="F3" s="3"/>
    </row>
    <row r="4" spans="1:6">
      <c r="A4" s="4" t="s">
        <v>13</v>
      </c>
      <c r="B4" s="3"/>
      <c r="C4" s="3"/>
      <c r="D4" s="3"/>
      <c r="E4" s="3"/>
      <c r="F4" s="3"/>
    </row>
    <row r="5" spans="1:6">
      <c r="A5" s="5" t="s">
        <v>28</v>
      </c>
      <c r="B5" s="3"/>
      <c r="C5" s="3"/>
      <c r="D5" s="3"/>
      <c r="E5" s="3"/>
      <c r="F5" s="3"/>
    </row>
    <row r="6" spans="1:6">
      <c r="A6" s="6"/>
      <c r="B6" s="7"/>
      <c r="C6" s="8"/>
      <c r="D6" s="9" t="s">
        <v>2</v>
      </c>
      <c r="E6" s="7" t="s">
        <v>3</v>
      </c>
      <c r="F6" s="10"/>
    </row>
    <row r="7" spans="1:6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6">
      <c r="A8" s="16"/>
      <c r="B8" s="16"/>
      <c r="C8" s="16"/>
      <c r="D8" s="17"/>
      <c r="E8" s="18"/>
      <c r="F8" s="19"/>
    </row>
    <row r="9" spans="1:6">
      <c r="A9" s="20" t="s">
        <v>14</v>
      </c>
      <c r="B9" s="21"/>
      <c r="C9" s="21"/>
      <c r="D9" s="17"/>
      <c r="E9" s="18"/>
      <c r="F9" s="19"/>
    </row>
    <row r="10" spans="1:6">
      <c r="A10" s="22" t="s">
        <v>7</v>
      </c>
      <c r="B10" s="23"/>
      <c r="C10" s="23"/>
      <c r="D10" s="24"/>
      <c r="E10" s="25"/>
      <c r="F10" s="26">
        <f>+D10+E10</f>
        <v>0</v>
      </c>
    </row>
    <row r="11" spans="1:6">
      <c r="A11" s="27" t="s">
        <v>8</v>
      </c>
      <c r="B11" s="23">
        <v>0</v>
      </c>
      <c r="C11" s="23"/>
      <c r="D11" s="28">
        <f>+B11*D10</f>
        <v>0</v>
      </c>
      <c r="E11" s="29">
        <f>+B11*E10</f>
        <v>0</v>
      </c>
      <c r="F11" s="30">
        <f>+D11+E11</f>
        <v>0</v>
      </c>
    </row>
    <row r="12" spans="1:6">
      <c r="A12" s="27"/>
      <c r="B12" s="23"/>
      <c r="C12" s="23"/>
      <c r="D12" s="28"/>
      <c r="E12" s="29"/>
      <c r="F12" s="19"/>
    </row>
    <row r="13" spans="1:6">
      <c r="A13" s="31"/>
      <c r="B13" s="32"/>
      <c r="C13" s="23"/>
      <c r="D13" s="33"/>
      <c r="E13" s="34"/>
      <c r="F13" s="35"/>
    </row>
    <row r="14" spans="1:6">
      <c r="A14" s="20" t="s">
        <v>9</v>
      </c>
      <c r="B14" s="23"/>
      <c r="C14" s="23"/>
      <c r="D14" s="36"/>
      <c r="E14" s="37"/>
      <c r="F14" s="19"/>
    </row>
    <row r="15" spans="1:6">
      <c r="A15" s="38" t="s">
        <v>10</v>
      </c>
      <c r="B15" s="23">
        <v>75122.87</v>
      </c>
      <c r="C15" s="23"/>
      <c r="D15" s="39">
        <v>0</v>
      </c>
      <c r="E15" s="40">
        <f>+B15</f>
        <v>75122.87</v>
      </c>
      <c r="F15" s="30">
        <f>+D15+E15</f>
        <v>75122.87</v>
      </c>
    </row>
    <row r="16" spans="1:6">
      <c r="A16" s="38" t="s">
        <v>11</v>
      </c>
      <c r="B16" s="23">
        <v>1000</v>
      </c>
      <c r="C16" s="23"/>
      <c r="D16" s="41">
        <f>+B16</f>
        <v>1000</v>
      </c>
      <c r="E16" s="42">
        <v>0</v>
      </c>
      <c r="F16" s="30">
        <f>+D16+E16</f>
        <v>1000</v>
      </c>
    </row>
    <row r="17" spans="1:6">
      <c r="A17" s="43" t="s">
        <v>8</v>
      </c>
      <c r="B17" s="44">
        <f>SUM(B15:B16)</f>
        <v>76122.87</v>
      </c>
      <c r="C17" s="23"/>
      <c r="D17" s="45">
        <f>SUM(D15:D16)</f>
        <v>1000</v>
      </c>
      <c r="E17" s="46">
        <f>SUM(E15:E16)</f>
        <v>75122.87</v>
      </c>
      <c r="F17" s="46">
        <f>SUM(F15:F16)</f>
        <v>76122.87</v>
      </c>
    </row>
    <row r="18" spans="1:6" ht="15" thickBot="1">
      <c r="A18" s="75"/>
      <c r="B18" s="76"/>
      <c r="C18" s="76"/>
      <c r="D18" s="77"/>
      <c r="E18" s="76"/>
      <c r="F18" s="78"/>
    </row>
    <row r="19" spans="1:6" ht="1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16" sqref="D16"/>
    </sheetView>
  </sheetViews>
  <sheetFormatPr defaultRowHeight="14.6"/>
  <cols>
    <col min="1" max="1" width="40.15234375" customWidth="1"/>
    <col min="2" max="2" width="12.69140625" customWidth="1"/>
    <col min="3" max="3" width="1.69140625" customWidth="1"/>
    <col min="4" max="4" width="17.69140625" customWidth="1"/>
    <col min="5" max="5" width="12.69140625" customWidth="1"/>
    <col min="6" max="6" width="12" customWidth="1"/>
  </cols>
  <sheetData>
    <row r="1" spans="1:6" ht="18.45">
      <c r="A1" s="1" t="s">
        <v>0</v>
      </c>
    </row>
    <row r="2" spans="1:6">
      <c r="A2" s="2" t="s">
        <v>1</v>
      </c>
      <c r="B2" s="3"/>
      <c r="C2" s="3"/>
      <c r="D2" s="3"/>
      <c r="E2" s="3"/>
      <c r="F2" s="3"/>
    </row>
    <row r="3" spans="1:6">
      <c r="A3" s="2"/>
      <c r="B3" s="3"/>
      <c r="C3" s="3"/>
      <c r="D3" s="3"/>
      <c r="E3" s="3"/>
      <c r="F3" s="3"/>
    </row>
    <row r="4" spans="1:6">
      <c r="A4" s="4" t="s">
        <v>13</v>
      </c>
      <c r="B4" s="3"/>
      <c r="C4" s="3"/>
      <c r="D4" s="3"/>
      <c r="E4" s="3"/>
      <c r="F4" s="3"/>
    </row>
    <row r="5" spans="1:6">
      <c r="A5" s="5" t="s">
        <v>28</v>
      </c>
      <c r="B5" s="3"/>
      <c r="C5" s="3"/>
      <c r="D5" s="3"/>
      <c r="E5" s="3"/>
      <c r="F5" s="3"/>
    </row>
    <row r="6" spans="1:6">
      <c r="A6" s="6"/>
      <c r="B6" s="7"/>
      <c r="C6" s="8"/>
      <c r="D6" s="9" t="s">
        <v>2</v>
      </c>
      <c r="E6" s="7" t="s">
        <v>3</v>
      </c>
      <c r="F6" s="10"/>
    </row>
    <row r="7" spans="1:6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6">
      <c r="A8" s="16"/>
      <c r="B8" s="16"/>
      <c r="C8" s="16"/>
      <c r="D8" s="17"/>
      <c r="E8" s="18"/>
      <c r="F8" s="19"/>
    </row>
    <row r="9" spans="1:6">
      <c r="A9" s="20" t="s">
        <v>14</v>
      </c>
      <c r="B9" s="21"/>
      <c r="C9" s="21"/>
      <c r="D9" s="17"/>
      <c r="E9" s="18"/>
      <c r="F9" s="19"/>
    </row>
    <row r="10" spans="1:6">
      <c r="A10" s="22" t="s">
        <v>7</v>
      </c>
      <c r="B10" s="23"/>
      <c r="C10" s="23"/>
      <c r="D10" s="24"/>
      <c r="E10" s="25"/>
      <c r="F10" s="26">
        <f>+D10+E10</f>
        <v>0</v>
      </c>
    </row>
    <row r="11" spans="1:6">
      <c r="A11" s="27" t="s">
        <v>8</v>
      </c>
      <c r="B11" s="23">
        <v>0</v>
      </c>
      <c r="C11" s="23"/>
      <c r="D11" s="28">
        <f>+B11*D10</f>
        <v>0</v>
      </c>
      <c r="E11" s="29">
        <f>+B11*E10</f>
        <v>0</v>
      </c>
      <c r="F11" s="30">
        <f>+D11+E11</f>
        <v>0</v>
      </c>
    </row>
    <row r="12" spans="1:6">
      <c r="A12" s="27"/>
      <c r="B12" s="23"/>
      <c r="C12" s="23"/>
      <c r="D12" s="28"/>
      <c r="E12" s="29"/>
      <c r="F12" s="19"/>
    </row>
    <row r="13" spans="1:6">
      <c r="A13" s="31"/>
      <c r="B13" s="32"/>
      <c r="C13" s="23"/>
      <c r="D13" s="33"/>
      <c r="E13" s="34"/>
      <c r="F13" s="35"/>
    </row>
    <row r="14" spans="1:6">
      <c r="A14" s="20" t="s">
        <v>9</v>
      </c>
      <c r="B14" s="23"/>
      <c r="C14" s="23"/>
      <c r="D14" s="36"/>
      <c r="E14" s="37"/>
      <c r="F14" s="19"/>
    </row>
    <row r="15" spans="1:6">
      <c r="A15" s="27" t="s">
        <v>8</v>
      </c>
      <c r="B15" s="23">
        <v>76122.87</v>
      </c>
      <c r="C15" s="23"/>
      <c r="D15" s="28">
        <f>+'ye 12-Accum'!D16</f>
        <v>1000</v>
      </c>
      <c r="E15" s="29">
        <v>75122.87</v>
      </c>
      <c r="F15" s="30">
        <f>+D15+E15</f>
        <v>76122.87</v>
      </c>
    </row>
    <row r="16" spans="1:6">
      <c r="A16" s="38" t="s">
        <v>31</v>
      </c>
      <c r="B16" s="23">
        <v>18143.7</v>
      </c>
      <c r="C16" s="23"/>
      <c r="D16" s="39">
        <v>0</v>
      </c>
      <c r="E16" s="40">
        <f>+B16</f>
        <v>18143.7</v>
      </c>
      <c r="F16" s="30">
        <f>+D16+E16</f>
        <v>18143.7</v>
      </c>
    </row>
    <row r="17" spans="1:6">
      <c r="A17" s="38" t="s">
        <v>32</v>
      </c>
      <c r="B17" s="23">
        <v>0</v>
      </c>
      <c r="C17" s="23"/>
      <c r="D17" s="41">
        <v>0</v>
      </c>
      <c r="E17" s="42">
        <v>0</v>
      </c>
      <c r="F17" s="30">
        <f>+D17+E17</f>
        <v>0</v>
      </c>
    </row>
    <row r="18" spans="1:6">
      <c r="A18" s="43" t="s">
        <v>26</v>
      </c>
      <c r="B18" s="44">
        <f>SUM(B15:B17)</f>
        <v>94266.569999999992</v>
      </c>
      <c r="C18" s="23"/>
      <c r="D18" s="45">
        <f>SUM(D15:D17)</f>
        <v>1000</v>
      </c>
      <c r="E18" s="46">
        <f>SUM(E15:E17)</f>
        <v>93266.569999999992</v>
      </c>
      <c r="F18" s="46">
        <f>SUM(F15:F17)</f>
        <v>94266.569999999992</v>
      </c>
    </row>
    <row r="19" spans="1:6">
      <c r="A19" s="47"/>
      <c r="B19" s="48"/>
      <c r="C19" s="49"/>
      <c r="D19" s="50"/>
      <c r="E19" s="48"/>
      <c r="F19" s="19"/>
    </row>
    <row r="20" spans="1:6">
      <c r="A20" s="51" t="s">
        <v>27</v>
      </c>
      <c r="B20" s="52">
        <f>+B11+B18</f>
        <v>94266.569999999992</v>
      </c>
      <c r="C20" s="52"/>
      <c r="D20" s="53">
        <f>+D11+D18</f>
        <v>1000</v>
      </c>
      <c r="E20" s="54">
        <f>+E11+E18</f>
        <v>93266.569999999992</v>
      </c>
      <c r="F20" s="55">
        <f>+D20+E20</f>
        <v>94266.569999999992</v>
      </c>
    </row>
    <row r="21" spans="1:6" ht="15" thickBot="1">
      <c r="A21" s="56" t="s">
        <v>12</v>
      </c>
      <c r="B21" s="57">
        <f>+E21+D21</f>
        <v>1</v>
      </c>
      <c r="C21" s="37"/>
      <c r="D21" s="58">
        <f>ROUND(D20/F20,4)</f>
        <v>1.06E-2</v>
      </c>
      <c r="E21" s="57">
        <f>ROUND(E20/F20,4)</f>
        <v>0.98939999999999995</v>
      </c>
      <c r="F21" s="59">
        <f>+D21+E21</f>
        <v>1</v>
      </c>
    </row>
    <row r="22" spans="1:6" ht="15" thickTop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17" sqref="A17"/>
    </sheetView>
  </sheetViews>
  <sheetFormatPr defaultRowHeight="14.6"/>
  <cols>
    <col min="1" max="1" width="40.15234375" customWidth="1"/>
    <col min="2" max="2" width="12.69140625" customWidth="1"/>
    <col min="3" max="3" width="1.69140625" customWidth="1"/>
    <col min="4" max="4" width="17.69140625" customWidth="1"/>
    <col min="5" max="5" width="12.69140625" customWidth="1"/>
    <col min="6" max="6" width="13.3828125" customWidth="1"/>
  </cols>
  <sheetData>
    <row r="1" spans="1:6" ht="18.45">
      <c r="A1" s="1" t="s">
        <v>0</v>
      </c>
    </row>
    <row r="2" spans="1:6">
      <c r="A2" s="2" t="s">
        <v>1</v>
      </c>
      <c r="B2" s="3"/>
      <c r="C2" s="3"/>
      <c r="D2" s="3"/>
      <c r="E2" s="3"/>
      <c r="F2" s="3"/>
    </row>
    <row r="3" spans="1:6">
      <c r="A3" s="2"/>
      <c r="B3" s="3"/>
      <c r="C3" s="3"/>
      <c r="D3" s="3"/>
      <c r="E3" s="3"/>
      <c r="F3" s="3"/>
    </row>
    <row r="4" spans="1:6">
      <c r="A4" s="4" t="s">
        <v>13</v>
      </c>
      <c r="B4" s="3"/>
      <c r="C4" s="3"/>
      <c r="D4" s="3"/>
      <c r="E4" s="3"/>
      <c r="F4" s="3"/>
    </row>
    <row r="5" spans="1:6">
      <c r="A5" s="5" t="s">
        <v>28</v>
      </c>
      <c r="B5" s="3"/>
      <c r="C5" s="3"/>
      <c r="D5" s="3"/>
      <c r="E5" s="3"/>
      <c r="F5" s="3"/>
    </row>
    <row r="6" spans="1:6">
      <c r="A6" s="6"/>
      <c r="B6" s="7"/>
      <c r="C6" s="8"/>
      <c r="D6" s="9" t="s">
        <v>2</v>
      </c>
      <c r="E6" s="7" t="s">
        <v>3</v>
      </c>
      <c r="F6" s="10"/>
    </row>
    <row r="7" spans="1:6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6">
      <c r="A8" s="16"/>
      <c r="B8" s="16"/>
      <c r="C8" s="16"/>
      <c r="D8" s="17"/>
      <c r="E8" s="18"/>
      <c r="F8" s="19"/>
    </row>
    <row r="9" spans="1:6">
      <c r="A9" s="20" t="s">
        <v>33</v>
      </c>
      <c r="B9" s="21"/>
      <c r="C9" s="21"/>
      <c r="D9" s="17"/>
      <c r="E9" s="18"/>
      <c r="F9" s="19"/>
    </row>
    <row r="10" spans="1:6">
      <c r="A10" s="22" t="s">
        <v>7</v>
      </c>
      <c r="B10" s="23"/>
      <c r="C10" s="23"/>
      <c r="D10" s="24">
        <f>+'ye 13-Accum'!D21</f>
        <v>1.06E-2</v>
      </c>
      <c r="E10" s="25">
        <f>'ye 13-Accum'!E21</f>
        <v>0.98939999999999995</v>
      </c>
      <c r="F10" s="26">
        <f>+D10+E10</f>
        <v>1</v>
      </c>
    </row>
    <row r="11" spans="1:6">
      <c r="A11" s="27" t="s">
        <v>30</v>
      </c>
      <c r="B11" s="23">
        <v>97332.04</v>
      </c>
      <c r="C11" s="23"/>
      <c r="D11" s="28">
        <f>+B11*D10</f>
        <v>1031.7196239999998</v>
      </c>
      <c r="E11" s="29">
        <f>+B11*E10</f>
        <v>96300.320375999989</v>
      </c>
      <c r="F11" s="30">
        <f>+D11+E11</f>
        <v>97332.04</v>
      </c>
    </row>
    <row r="12" spans="1:6">
      <c r="A12" s="27"/>
      <c r="B12" s="23"/>
      <c r="C12" s="23"/>
      <c r="D12" s="28"/>
      <c r="E12" s="29"/>
      <c r="F12" s="19"/>
    </row>
    <row r="13" spans="1:6">
      <c r="A13" s="31"/>
      <c r="B13" s="32"/>
      <c r="C13" s="23"/>
      <c r="D13" s="33"/>
      <c r="E13" s="34"/>
      <c r="F13" s="35"/>
    </row>
    <row r="14" spans="1:6">
      <c r="A14" s="20" t="s">
        <v>9</v>
      </c>
      <c r="B14" s="23"/>
      <c r="C14" s="23"/>
      <c r="D14" s="36"/>
      <c r="E14" s="37"/>
      <c r="F14" s="19"/>
    </row>
    <row r="15" spans="1:6">
      <c r="A15" s="38" t="s">
        <v>34</v>
      </c>
      <c r="B15" s="23">
        <v>10003.42</v>
      </c>
      <c r="C15" s="23"/>
      <c r="D15" s="39">
        <v>0</v>
      </c>
      <c r="E15" s="40">
        <f>+B15</f>
        <v>10003.42</v>
      </c>
      <c r="F15" s="30">
        <f>+D15+E15</f>
        <v>10003.42</v>
      </c>
    </row>
    <row r="16" spans="1:6">
      <c r="A16" s="38" t="s">
        <v>79</v>
      </c>
      <c r="B16" s="23">
        <v>0</v>
      </c>
      <c r="C16" s="23"/>
      <c r="D16" s="41">
        <f>+B16</f>
        <v>0</v>
      </c>
      <c r="E16" s="42">
        <v>0</v>
      </c>
      <c r="F16" s="30">
        <f>+D16+E16</f>
        <v>0</v>
      </c>
    </row>
    <row r="17" spans="1:6">
      <c r="A17" s="43" t="s">
        <v>30</v>
      </c>
      <c r="B17" s="44">
        <f>SUM(B15:B16)</f>
        <v>10003.42</v>
      </c>
      <c r="C17" s="23"/>
      <c r="D17" s="45">
        <f>SUM(D15:D16)</f>
        <v>0</v>
      </c>
      <c r="E17" s="46">
        <f>SUM(E15:E16)</f>
        <v>10003.42</v>
      </c>
      <c r="F17" s="46">
        <f>SUM(F15:F16)</f>
        <v>10003.42</v>
      </c>
    </row>
    <row r="18" spans="1:6">
      <c r="A18" s="22"/>
      <c r="B18" s="23"/>
      <c r="C18" s="23"/>
      <c r="D18" s="45"/>
      <c r="E18" s="21"/>
      <c r="F18" s="74"/>
    </row>
    <row r="19" spans="1:6">
      <c r="A19" s="43" t="s">
        <v>35</v>
      </c>
      <c r="B19" s="44">
        <f>+B11+B17</f>
        <v>107335.45999999999</v>
      </c>
      <c r="C19" s="44"/>
      <c r="D19" s="79">
        <f>+D11+D17</f>
        <v>1031.7196239999998</v>
      </c>
      <c r="E19" s="46">
        <f>+E11+E17</f>
        <v>106303.74037599999</v>
      </c>
      <c r="F19" s="80">
        <f>+F11+F17</f>
        <v>107335.45999999999</v>
      </c>
    </row>
    <row r="20" spans="1:6">
      <c r="A20" s="81" t="s">
        <v>36</v>
      </c>
      <c r="B20" s="48"/>
      <c r="C20" s="49"/>
      <c r="D20" s="50"/>
      <c r="E20" s="48"/>
      <c r="F20" s="19"/>
    </row>
    <row r="21" spans="1:6">
      <c r="A21" s="51" t="s">
        <v>29</v>
      </c>
      <c r="B21" s="52">
        <f>+B11+B17</f>
        <v>107335.45999999999</v>
      </c>
      <c r="C21" s="52"/>
      <c r="D21" s="53">
        <f>+D11+D17</f>
        <v>1031.7196239999998</v>
      </c>
      <c r="E21" s="54">
        <f>+E11+E17</f>
        <v>106303.74037599999</v>
      </c>
      <c r="F21" s="55">
        <f>+D21+E21</f>
        <v>107335.45999999999</v>
      </c>
    </row>
    <row r="22" spans="1:6" ht="15" thickBot="1">
      <c r="A22" s="56" t="s">
        <v>12</v>
      </c>
      <c r="B22" s="57">
        <f>+E22+D22</f>
        <v>1</v>
      </c>
      <c r="C22" s="37"/>
      <c r="D22" s="58">
        <f>ROUND(D21/F21,4)</f>
        <v>9.5999999999999992E-3</v>
      </c>
      <c r="E22" s="57">
        <f>ROUND(E21/F21,4)</f>
        <v>0.99039999999999995</v>
      </c>
      <c r="F22" s="59">
        <f>+D22+E22</f>
        <v>1</v>
      </c>
    </row>
    <row r="23" spans="1:6" ht="15" thickTop="1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E31" sqref="E31"/>
    </sheetView>
  </sheetViews>
  <sheetFormatPr defaultRowHeight="14.6"/>
  <cols>
    <col min="1" max="1" width="40.15234375" customWidth="1"/>
    <col min="2" max="2" width="12.69140625" customWidth="1"/>
    <col min="3" max="3" width="1.69140625" customWidth="1"/>
    <col min="4" max="4" width="17.69140625" customWidth="1"/>
    <col min="5" max="5" width="12.69140625" customWidth="1"/>
    <col min="6" max="6" width="13.3828125" customWidth="1"/>
  </cols>
  <sheetData>
    <row r="1" spans="1:6" ht="18.45">
      <c r="A1" s="1" t="s">
        <v>0</v>
      </c>
    </row>
    <row r="2" spans="1:6">
      <c r="A2" s="2" t="s">
        <v>1</v>
      </c>
      <c r="B2" s="3"/>
      <c r="C2" s="3"/>
      <c r="D2" s="3"/>
      <c r="E2" s="3"/>
      <c r="F2" s="3"/>
    </row>
    <row r="3" spans="1:6">
      <c r="A3" s="2"/>
      <c r="B3" s="3"/>
      <c r="C3" s="3"/>
      <c r="D3" s="3"/>
      <c r="E3" s="3"/>
      <c r="F3" s="3"/>
    </row>
    <row r="4" spans="1:6">
      <c r="A4" s="90" t="s">
        <v>13</v>
      </c>
      <c r="B4" s="3"/>
      <c r="C4" s="3"/>
      <c r="D4" s="3"/>
      <c r="E4" s="3"/>
      <c r="F4" s="3"/>
    </row>
    <row r="5" spans="1:6">
      <c r="A5" s="5"/>
      <c r="B5" s="3"/>
      <c r="C5" s="3"/>
      <c r="D5" s="3"/>
      <c r="E5" s="3"/>
      <c r="F5" s="3"/>
    </row>
    <row r="6" spans="1:6">
      <c r="A6" s="6"/>
      <c r="B6" s="7"/>
      <c r="C6" s="8"/>
      <c r="D6" s="9" t="s">
        <v>2</v>
      </c>
      <c r="E6" s="7" t="s">
        <v>3</v>
      </c>
      <c r="F6" s="10"/>
    </row>
    <row r="7" spans="1:6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6">
      <c r="A8" s="16"/>
      <c r="B8" s="16"/>
      <c r="C8" s="16"/>
      <c r="D8" s="17"/>
      <c r="E8" s="18"/>
      <c r="F8" s="19"/>
    </row>
    <row r="9" spans="1:6">
      <c r="A9" s="20" t="s">
        <v>37</v>
      </c>
      <c r="B9" s="21"/>
      <c r="C9" s="21"/>
      <c r="D9" s="17"/>
      <c r="E9" s="18"/>
      <c r="F9" s="19"/>
    </row>
    <row r="10" spans="1:6">
      <c r="A10" s="22" t="s">
        <v>7</v>
      </c>
      <c r="B10" s="23"/>
      <c r="C10" s="23"/>
      <c r="D10" s="24">
        <f>+'ye 14-ABP 2015'!D22</f>
        <v>9.5999999999999992E-3</v>
      </c>
      <c r="E10" s="25">
        <f>+'ye 14-ABP 2015'!E22</f>
        <v>0.99039999999999995</v>
      </c>
      <c r="F10" s="26">
        <f>+D10+E10</f>
        <v>1</v>
      </c>
    </row>
    <row r="11" spans="1:6">
      <c r="A11" s="82" t="s">
        <v>38</v>
      </c>
      <c r="B11" s="83">
        <v>108859.68</v>
      </c>
      <c r="C11" s="83"/>
      <c r="D11" s="84">
        <f>+B11*D10</f>
        <v>1045.0529279999998</v>
      </c>
      <c r="E11" s="85">
        <f>+B11*E10</f>
        <v>107814.62707199999</v>
      </c>
      <c r="F11" s="86">
        <f>+D11+E11</f>
        <v>108859.68</v>
      </c>
    </row>
    <row r="12" spans="1:6">
      <c r="A12" s="27"/>
      <c r="B12" s="23"/>
      <c r="C12" s="23"/>
      <c r="D12" s="28"/>
      <c r="E12" s="29"/>
      <c r="F12" s="19"/>
    </row>
    <row r="13" spans="1:6">
      <c r="A13" s="31"/>
      <c r="B13" s="32"/>
      <c r="C13" s="23"/>
      <c r="D13" s="33"/>
      <c r="E13" s="34"/>
      <c r="F13" s="35"/>
    </row>
    <row r="14" spans="1:6">
      <c r="A14" s="20" t="s">
        <v>9</v>
      </c>
      <c r="B14" s="23"/>
      <c r="C14" s="23"/>
      <c r="D14" s="36"/>
      <c r="E14" s="37"/>
      <c r="F14" s="19"/>
    </row>
    <row r="15" spans="1:6">
      <c r="A15" s="38" t="s">
        <v>39</v>
      </c>
      <c r="B15" s="23">
        <v>15422.62</v>
      </c>
      <c r="C15" s="23"/>
      <c r="D15" s="39">
        <v>0</v>
      </c>
      <c r="E15" s="40">
        <f>+B15</f>
        <v>15422.62</v>
      </c>
      <c r="F15" s="30">
        <f>+D15+E15</f>
        <v>15422.62</v>
      </c>
    </row>
    <row r="16" spans="1:6">
      <c r="A16" s="38" t="s">
        <v>40</v>
      </c>
      <c r="B16" s="23">
        <v>0</v>
      </c>
      <c r="C16" s="23"/>
      <c r="D16" s="41">
        <f>+B16</f>
        <v>0</v>
      </c>
      <c r="E16" s="42">
        <v>0</v>
      </c>
      <c r="F16" s="30">
        <f>+D16+E16</f>
        <v>0</v>
      </c>
    </row>
    <row r="17" spans="1:6">
      <c r="A17" s="43" t="s">
        <v>38</v>
      </c>
      <c r="B17" s="44">
        <f>SUM(B15:B16)</f>
        <v>15422.62</v>
      </c>
      <c r="C17" s="23"/>
      <c r="D17" s="45">
        <f>SUM(D15:D16)</f>
        <v>0</v>
      </c>
      <c r="E17" s="46">
        <f>SUM(E15:E16)</f>
        <v>15422.62</v>
      </c>
      <c r="F17" s="46">
        <f>SUM(F15:F16)</f>
        <v>15422.62</v>
      </c>
    </row>
    <row r="18" spans="1:6">
      <c r="A18" s="22"/>
      <c r="B18" s="23"/>
      <c r="C18" s="23"/>
      <c r="D18" s="45"/>
      <c r="E18" s="21"/>
      <c r="F18" s="74"/>
    </row>
    <row r="19" spans="1:6">
      <c r="A19" s="43" t="s">
        <v>41</v>
      </c>
      <c r="B19" s="44">
        <f>+B11+B17</f>
        <v>124282.29999999999</v>
      </c>
      <c r="C19" s="44"/>
      <c r="D19" s="79">
        <f>+D11+D17</f>
        <v>1045.0529279999998</v>
      </c>
      <c r="E19" s="46">
        <f>+E11+E17</f>
        <v>123237.24707199998</v>
      </c>
      <c r="F19" s="80">
        <f>+F11+F17</f>
        <v>124282.29999999999</v>
      </c>
    </row>
    <row r="20" spans="1:6">
      <c r="A20" s="81" t="s">
        <v>36</v>
      </c>
      <c r="B20" s="48"/>
      <c r="C20" s="49"/>
      <c r="D20" s="50"/>
      <c r="E20" s="48"/>
      <c r="F20" s="19"/>
    </row>
    <row r="21" spans="1:6">
      <c r="A21" s="51" t="s">
        <v>42</v>
      </c>
      <c r="B21" s="52">
        <f>+B11+B17</f>
        <v>124282.29999999999</v>
      </c>
      <c r="C21" s="52"/>
      <c r="D21" s="53">
        <f>+D11+D17</f>
        <v>1045.0529279999998</v>
      </c>
      <c r="E21" s="54">
        <f>+E11+E17</f>
        <v>123237.24707199998</v>
      </c>
      <c r="F21" s="55">
        <f>+D21+E21</f>
        <v>124282.29999999999</v>
      </c>
    </row>
    <row r="22" spans="1:6" ht="15" thickBot="1">
      <c r="A22" s="56" t="s">
        <v>12</v>
      </c>
      <c r="B22" s="57">
        <f>+E22+D22</f>
        <v>1</v>
      </c>
      <c r="C22" s="37"/>
      <c r="D22" s="58">
        <f>ROUND(D21/F21,4)</f>
        <v>8.3999999999999995E-3</v>
      </c>
      <c r="E22" s="57">
        <f>ROUND(E21/F21,4)</f>
        <v>0.99160000000000004</v>
      </c>
      <c r="F22" s="59">
        <f>+D22+E22</f>
        <v>1</v>
      </c>
    </row>
    <row r="23" spans="1:6" ht="15" thickTop="1"/>
  </sheetData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D10" sqref="D10"/>
    </sheetView>
  </sheetViews>
  <sheetFormatPr defaultRowHeight="14.6"/>
  <cols>
    <col min="1" max="1" width="40.15234375" customWidth="1"/>
    <col min="2" max="2" width="12.69140625" customWidth="1"/>
    <col min="3" max="3" width="1.69140625" customWidth="1"/>
    <col min="4" max="4" width="17.69140625" customWidth="1"/>
    <col min="5" max="5" width="12.69140625" customWidth="1"/>
    <col min="6" max="6" width="13.3828125" customWidth="1"/>
  </cols>
  <sheetData>
    <row r="1" spans="1:7" ht="18.45">
      <c r="A1" s="1" t="s">
        <v>0</v>
      </c>
    </row>
    <row r="2" spans="1:7">
      <c r="A2" s="2" t="s">
        <v>1</v>
      </c>
      <c r="B2" s="3"/>
      <c r="C2" s="3"/>
      <c r="D2" s="3"/>
      <c r="E2" s="3"/>
      <c r="F2" s="3"/>
    </row>
    <row r="3" spans="1:7">
      <c r="A3" s="2"/>
      <c r="B3" s="3"/>
      <c r="C3" s="3"/>
      <c r="D3" s="3"/>
      <c r="E3" s="3"/>
      <c r="F3" s="3"/>
    </row>
    <row r="4" spans="1:7">
      <c r="A4" s="90" t="s">
        <v>13</v>
      </c>
      <c r="B4" s="3"/>
      <c r="C4" s="3"/>
      <c r="D4" s="3"/>
      <c r="E4" s="3"/>
      <c r="F4" s="3"/>
    </row>
    <row r="5" spans="1:7">
      <c r="A5" s="5"/>
      <c r="B5" s="3"/>
      <c r="C5" s="3"/>
      <c r="D5" s="3"/>
      <c r="E5" s="3"/>
      <c r="F5" s="3"/>
    </row>
    <row r="6" spans="1:7">
      <c r="A6" s="6"/>
      <c r="B6" s="7"/>
      <c r="C6" s="8"/>
      <c r="D6" s="9" t="s">
        <v>2</v>
      </c>
      <c r="E6" s="7" t="s">
        <v>3</v>
      </c>
      <c r="F6" s="10"/>
    </row>
    <row r="7" spans="1:7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7">
      <c r="A8" s="16"/>
      <c r="B8" s="16"/>
      <c r="C8" s="16"/>
      <c r="D8" s="17"/>
      <c r="E8" s="18"/>
      <c r="F8" s="19"/>
    </row>
    <row r="9" spans="1:7">
      <c r="A9" s="20" t="s">
        <v>46</v>
      </c>
      <c r="B9" s="21"/>
      <c r="C9" s="21"/>
      <c r="D9" s="17"/>
      <c r="E9" s="18"/>
      <c r="F9" s="19"/>
    </row>
    <row r="10" spans="1:7">
      <c r="A10" s="22" t="s">
        <v>7</v>
      </c>
      <c r="B10" s="23"/>
      <c r="C10" s="23"/>
      <c r="D10" s="24">
        <f>'ye 15 ABP-2016'!D22</f>
        <v>8.3999999999999995E-3</v>
      </c>
      <c r="E10" s="25">
        <f>'ye 15 ABP-2016'!E22</f>
        <v>0.99160000000000004</v>
      </c>
      <c r="F10" s="26">
        <f>+D10+E10</f>
        <v>1</v>
      </c>
      <c r="G10" s="91" t="s">
        <v>52</v>
      </c>
    </row>
    <row r="11" spans="1:7">
      <c r="A11" s="82" t="s">
        <v>47</v>
      </c>
      <c r="B11" s="83">
        <v>123262.92</v>
      </c>
      <c r="C11" s="83"/>
      <c r="D11" s="84">
        <f>+B11*D10</f>
        <v>1035.4085279999999</v>
      </c>
      <c r="E11" s="85">
        <f>+B11*E10</f>
        <v>122227.511472</v>
      </c>
      <c r="F11" s="86">
        <f>+D11+E11</f>
        <v>123262.92</v>
      </c>
      <c r="G11" s="91" t="s">
        <v>53</v>
      </c>
    </row>
    <row r="12" spans="1:7">
      <c r="A12" s="27"/>
      <c r="B12" s="23"/>
      <c r="C12" s="23"/>
      <c r="D12" s="28"/>
      <c r="E12" s="29"/>
      <c r="F12" s="19"/>
    </row>
    <row r="13" spans="1:7">
      <c r="A13" s="31"/>
      <c r="B13" s="32"/>
      <c r="C13" s="23"/>
      <c r="D13" s="33"/>
      <c r="E13" s="34"/>
      <c r="F13" s="35"/>
    </row>
    <row r="14" spans="1:7">
      <c r="A14" s="20" t="s">
        <v>9</v>
      </c>
      <c r="B14" s="23"/>
      <c r="C14" s="23"/>
      <c r="D14" s="36"/>
      <c r="E14" s="37"/>
      <c r="F14" s="19"/>
    </row>
    <row r="15" spans="1:7">
      <c r="A15" s="38" t="s">
        <v>48</v>
      </c>
      <c r="B15" s="23">
        <v>28452.639999999999</v>
      </c>
      <c r="C15" s="23"/>
      <c r="D15" s="39">
        <v>0</v>
      </c>
      <c r="E15" s="40">
        <f>+B15</f>
        <v>28452.639999999999</v>
      </c>
      <c r="F15" s="30">
        <f>+D15+E15</f>
        <v>28452.639999999999</v>
      </c>
    </row>
    <row r="16" spans="1:7">
      <c r="A16" s="38" t="s">
        <v>49</v>
      </c>
      <c r="B16" s="23">
        <v>0</v>
      </c>
      <c r="C16" s="23"/>
      <c r="D16" s="41">
        <f>+B16</f>
        <v>0</v>
      </c>
      <c r="E16" s="42">
        <v>0</v>
      </c>
      <c r="F16" s="30">
        <f>+D16+E16</f>
        <v>0</v>
      </c>
    </row>
    <row r="17" spans="1:8">
      <c r="A17" s="43" t="s">
        <v>47</v>
      </c>
      <c r="B17" s="44">
        <f>SUM(B15:B16)</f>
        <v>28452.639999999999</v>
      </c>
      <c r="C17" s="23"/>
      <c r="D17" s="45">
        <f>SUM(D15:D16)</f>
        <v>0</v>
      </c>
      <c r="E17" s="46">
        <f>SUM(E15:E16)</f>
        <v>28452.639999999999</v>
      </c>
      <c r="F17" s="46">
        <f>SUM(F15:F16)</f>
        <v>28452.639999999999</v>
      </c>
    </row>
    <row r="18" spans="1:8">
      <c r="A18" s="22"/>
      <c r="B18" s="23"/>
      <c r="C18" s="23"/>
      <c r="D18" s="45"/>
      <c r="E18" s="21"/>
      <c r="F18" s="74"/>
    </row>
    <row r="19" spans="1:8">
      <c r="A19" s="43" t="s">
        <v>50</v>
      </c>
      <c r="B19" s="44">
        <f>+B11+B17</f>
        <v>151715.56</v>
      </c>
      <c r="C19" s="44"/>
      <c r="D19" s="79">
        <f>+D11+D17</f>
        <v>1035.4085279999999</v>
      </c>
      <c r="E19" s="46">
        <f>+E11+E17</f>
        <v>150680.151472</v>
      </c>
      <c r="F19" s="80">
        <f>+F11+F17</f>
        <v>151715.56</v>
      </c>
    </row>
    <row r="20" spans="1:8">
      <c r="A20" s="81" t="s">
        <v>36</v>
      </c>
      <c r="B20" s="48"/>
      <c r="C20" s="49"/>
      <c r="D20" s="50"/>
      <c r="E20" s="48"/>
      <c r="F20" s="19"/>
    </row>
    <row r="21" spans="1:8">
      <c r="A21" s="51" t="s">
        <v>51</v>
      </c>
      <c r="B21" s="52">
        <f>+B11+B17</f>
        <v>151715.56</v>
      </c>
      <c r="C21" s="52"/>
      <c r="D21" s="53">
        <f>+D11+D17</f>
        <v>1035.4085279999999</v>
      </c>
      <c r="E21" s="54">
        <f>+E11+E17</f>
        <v>150680.151472</v>
      </c>
      <c r="F21" s="55">
        <f>+D21+E21</f>
        <v>151715.56</v>
      </c>
    </row>
    <row r="22" spans="1:8" ht="15" thickBot="1">
      <c r="A22" s="56" t="s">
        <v>12</v>
      </c>
      <c r="B22" s="57">
        <f>+E22+D22</f>
        <v>1</v>
      </c>
      <c r="C22" s="37"/>
      <c r="D22" s="58">
        <f>ROUND(D21/F21,4)</f>
        <v>6.7999999999999996E-3</v>
      </c>
      <c r="E22" s="57">
        <f>ROUND(E21/F21,4)</f>
        <v>0.99319999999999997</v>
      </c>
      <c r="F22" s="59">
        <f>+D22+E22</f>
        <v>1</v>
      </c>
      <c r="G22" s="92" t="s">
        <v>54</v>
      </c>
      <c r="H22" s="91"/>
    </row>
    <row r="23" spans="1:8" ht="15" thickTop="1"/>
  </sheetData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A20" sqref="A20"/>
    </sheetView>
  </sheetViews>
  <sheetFormatPr defaultRowHeight="14.6"/>
  <cols>
    <col min="1" max="1" width="44.69140625" customWidth="1"/>
    <col min="2" max="2" width="16" customWidth="1"/>
    <col min="3" max="3" width="2" customWidth="1"/>
    <col min="4" max="4" width="12.15234375" customWidth="1"/>
    <col min="5" max="5" width="13.3828125" customWidth="1"/>
    <col min="6" max="6" width="12.3828125" customWidth="1"/>
  </cols>
  <sheetData>
    <row r="1" spans="1:7" ht="18.45">
      <c r="A1" s="1" t="s">
        <v>0</v>
      </c>
    </row>
    <row r="2" spans="1:7">
      <c r="A2" s="2" t="s">
        <v>1</v>
      </c>
      <c r="B2" s="3"/>
      <c r="C2" s="3"/>
      <c r="D2" s="3"/>
      <c r="E2" s="3"/>
      <c r="F2" s="3"/>
    </row>
    <row r="3" spans="1:7">
      <c r="A3" s="2"/>
      <c r="B3" s="3"/>
      <c r="C3" s="3"/>
      <c r="D3" s="3"/>
      <c r="E3" s="3"/>
      <c r="F3" s="3"/>
    </row>
    <row r="4" spans="1:7">
      <c r="A4" s="90" t="s">
        <v>13</v>
      </c>
      <c r="B4" s="3"/>
      <c r="C4" s="3"/>
      <c r="D4" s="3"/>
      <c r="E4" s="3"/>
      <c r="F4" s="3"/>
    </row>
    <row r="5" spans="1:7">
      <c r="A5" s="5"/>
      <c r="B5" s="3"/>
      <c r="C5" s="3"/>
      <c r="D5" s="3"/>
      <c r="E5" s="3"/>
      <c r="F5" s="3"/>
    </row>
    <row r="6" spans="1:7">
      <c r="A6" s="6"/>
      <c r="B6" s="7"/>
      <c r="C6" s="8"/>
      <c r="D6" s="9" t="s">
        <v>2</v>
      </c>
      <c r="E6" s="7" t="s">
        <v>3</v>
      </c>
      <c r="F6" s="10"/>
    </row>
    <row r="7" spans="1:7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7">
      <c r="A8" s="16"/>
      <c r="B8" s="16"/>
      <c r="C8" s="16"/>
      <c r="D8" s="17"/>
      <c r="E8" s="18"/>
      <c r="F8" s="19"/>
    </row>
    <row r="9" spans="1:7">
      <c r="A9" s="20" t="s">
        <v>55</v>
      </c>
      <c r="B9" s="21"/>
      <c r="C9" s="21"/>
      <c r="D9" s="17"/>
      <c r="E9" s="18"/>
      <c r="F9" s="19"/>
    </row>
    <row r="10" spans="1:7">
      <c r="A10" s="22" t="s">
        <v>7</v>
      </c>
      <c r="B10" s="23"/>
      <c r="C10" s="23"/>
      <c r="D10" s="24">
        <f>'ye 16 ABP-2017'!D22</f>
        <v>6.7999999999999996E-3</v>
      </c>
      <c r="E10" s="25">
        <f>'ye 16 ABP-2017'!E22</f>
        <v>0.99319999999999997</v>
      </c>
      <c r="F10" s="26">
        <f>+D10+E10</f>
        <v>1</v>
      </c>
      <c r="G10" s="91" t="s">
        <v>52</v>
      </c>
    </row>
    <row r="11" spans="1:7">
      <c r="A11" s="82" t="s">
        <v>56</v>
      </c>
      <c r="B11" s="83">
        <v>146454.32999999999</v>
      </c>
      <c r="C11" s="83"/>
      <c r="D11" s="84">
        <f>+B11*D10</f>
        <v>995.88944399999991</v>
      </c>
      <c r="E11" s="85">
        <f>+B11*E10</f>
        <v>145458.44055599999</v>
      </c>
      <c r="F11" s="86">
        <f>+D11+E11</f>
        <v>146454.32999999999</v>
      </c>
      <c r="G11" s="91" t="s">
        <v>53</v>
      </c>
    </row>
    <row r="12" spans="1:7">
      <c r="A12" s="27"/>
      <c r="B12" s="23"/>
      <c r="C12" s="23"/>
      <c r="D12" s="28"/>
      <c r="E12" s="29"/>
      <c r="F12" s="19"/>
    </row>
    <row r="13" spans="1:7">
      <c r="A13" s="31"/>
      <c r="B13" s="32"/>
      <c r="C13" s="23"/>
      <c r="D13" s="33"/>
      <c r="E13" s="34"/>
      <c r="F13" s="35"/>
    </row>
    <row r="14" spans="1:7">
      <c r="A14" s="20" t="s">
        <v>9</v>
      </c>
      <c r="B14" s="23"/>
      <c r="C14" s="23"/>
      <c r="D14" s="36"/>
      <c r="E14" s="37"/>
      <c r="F14" s="19"/>
    </row>
    <row r="15" spans="1:7">
      <c r="A15" s="38" t="s">
        <v>61</v>
      </c>
      <c r="B15" s="23">
        <v>20869.37</v>
      </c>
      <c r="C15" s="23"/>
      <c r="D15" s="39">
        <v>0</v>
      </c>
      <c r="E15" s="40">
        <f>+B15</f>
        <v>20869.37</v>
      </c>
      <c r="F15" s="30">
        <f>+D15+E15</f>
        <v>20869.37</v>
      </c>
    </row>
    <row r="16" spans="1:7">
      <c r="A16" s="38" t="s">
        <v>62</v>
      </c>
      <c r="B16" s="23">
        <v>1854</v>
      </c>
      <c r="C16" s="23"/>
      <c r="D16" s="41">
        <f>+B16</f>
        <v>1854</v>
      </c>
      <c r="E16" s="42">
        <v>0</v>
      </c>
      <c r="F16" s="30">
        <f>+D16+E16</f>
        <v>1854</v>
      </c>
    </row>
    <row r="17" spans="1:8">
      <c r="A17" s="43" t="s">
        <v>56</v>
      </c>
      <c r="B17" s="44">
        <f>SUM(B15:B16)</f>
        <v>22723.37</v>
      </c>
      <c r="C17" s="23"/>
      <c r="D17" s="45">
        <f>SUM(D15:D16)</f>
        <v>1854</v>
      </c>
      <c r="E17" s="46">
        <f>SUM(E15:E16)</f>
        <v>20869.37</v>
      </c>
      <c r="F17" s="46">
        <f>SUM(F15:F16)</f>
        <v>22723.37</v>
      </c>
    </row>
    <row r="18" spans="1:8">
      <c r="A18" s="22"/>
      <c r="B18" s="23"/>
      <c r="C18" s="23"/>
      <c r="D18" s="45"/>
      <c r="E18" s="21"/>
      <c r="F18" s="74"/>
    </row>
    <row r="19" spans="1:8">
      <c r="A19" s="43" t="s">
        <v>80</v>
      </c>
      <c r="B19" s="44">
        <f>+B11+B17</f>
        <v>169177.69999999998</v>
      </c>
      <c r="C19" s="44"/>
      <c r="D19" s="79">
        <f>+D11+D17</f>
        <v>2849.8894439999999</v>
      </c>
      <c r="E19" s="46">
        <f>+E11+E17</f>
        <v>166327.81055599998</v>
      </c>
      <c r="F19" s="80">
        <f>+F11+F17</f>
        <v>169177.69999999998</v>
      </c>
    </row>
    <row r="20" spans="1:8">
      <c r="A20" s="81" t="s">
        <v>36</v>
      </c>
      <c r="B20" s="48"/>
      <c r="C20" s="49"/>
      <c r="D20" s="50"/>
      <c r="E20" s="48"/>
      <c r="F20" s="19"/>
    </row>
    <row r="21" spans="1:8">
      <c r="A21" s="51" t="s">
        <v>63</v>
      </c>
      <c r="B21" s="52">
        <f>+B11+B17</f>
        <v>169177.69999999998</v>
      </c>
      <c r="C21" s="52"/>
      <c r="D21" s="53">
        <f>+D11+D17</f>
        <v>2849.8894439999999</v>
      </c>
      <c r="E21" s="54">
        <f>+E11+E17</f>
        <v>166327.81055599998</v>
      </c>
      <c r="F21" s="55">
        <f>+D21+E21</f>
        <v>169177.69999999998</v>
      </c>
    </row>
    <row r="22" spans="1:8" ht="15" thickBot="1">
      <c r="A22" s="56" t="s">
        <v>12</v>
      </c>
      <c r="B22" s="57">
        <f>+E22+D22</f>
        <v>1</v>
      </c>
      <c r="C22" s="37"/>
      <c r="D22" s="58">
        <f>ROUND(D21/F21,4)</f>
        <v>1.6799999999999999E-2</v>
      </c>
      <c r="E22" s="57">
        <f>ROUND(E21/F21,4)</f>
        <v>0.98319999999999996</v>
      </c>
      <c r="F22" s="59">
        <f>+D22+E22</f>
        <v>1</v>
      </c>
      <c r="G22" s="92" t="s">
        <v>54</v>
      </c>
      <c r="H22" s="91"/>
    </row>
    <row r="23" spans="1:8" ht="15" thickTop="1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D10" sqref="D10"/>
    </sheetView>
  </sheetViews>
  <sheetFormatPr defaultRowHeight="14.6"/>
  <cols>
    <col min="1" max="1" width="44.69140625" customWidth="1"/>
    <col min="2" max="2" width="16" customWidth="1"/>
    <col min="3" max="3" width="2" customWidth="1"/>
    <col min="4" max="4" width="12.15234375" customWidth="1"/>
    <col min="5" max="5" width="13.3828125" customWidth="1"/>
    <col min="6" max="6" width="12.3828125" customWidth="1"/>
  </cols>
  <sheetData>
    <row r="1" spans="1:7" ht="18.45">
      <c r="A1" s="1" t="s">
        <v>0</v>
      </c>
    </row>
    <row r="2" spans="1:7">
      <c r="A2" s="2" t="s">
        <v>1</v>
      </c>
      <c r="B2" s="3"/>
      <c r="C2" s="3"/>
      <c r="D2" s="3"/>
      <c r="E2" s="3"/>
      <c r="F2" s="3"/>
    </row>
    <row r="3" spans="1:7">
      <c r="A3" s="2"/>
      <c r="B3" s="3"/>
      <c r="C3" s="3"/>
      <c r="D3" s="3"/>
      <c r="E3" s="3"/>
      <c r="F3" s="3"/>
    </row>
    <row r="4" spans="1:7">
      <c r="A4" s="90" t="s">
        <v>13</v>
      </c>
      <c r="B4" s="3"/>
      <c r="C4" s="3"/>
      <c r="D4" s="3"/>
      <c r="E4" s="3"/>
      <c r="F4" s="3"/>
    </row>
    <row r="5" spans="1:7">
      <c r="A5" s="5"/>
      <c r="B5" s="3"/>
      <c r="C5" s="3"/>
      <c r="D5" s="3"/>
      <c r="E5" s="3"/>
      <c r="F5" s="3"/>
    </row>
    <row r="6" spans="1:7">
      <c r="A6" s="6"/>
      <c r="B6" s="7"/>
      <c r="C6" s="8"/>
      <c r="D6" s="9" t="s">
        <v>2</v>
      </c>
      <c r="E6" s="7" t="s">
        <v>3</v>
      </c>
      <c r="F6" s="10"/>
    </row>
    <row r="7" spans="1:7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7">
      <c r="A8" s="16"/>
      <c r="B8" s="16"/>
      <c r="C8" s="16"/>
      <c r="D8" s="17"/>
      <c r="E8" s="18"/>
      <c r="F8" s="19"/>
    </row>
    <row r="9" spans="1:7">
      <c r="A9" s="20" t="s">
        <v>57</v>
      </c>
      <c r="B9" s="21"/>
      <c r="C9" s="21"/>
      <c r="D9" s="17"/>
      <c r="E9" s="18"/>
      <c r="F9" s="19"/>
    </row>
    <row r="10" spans="1:7">
      <c r="A10" s="22" t="s">
        <v>7</v>
      </c>
      <c r="B10" s="23"/>
      <c r="C10" s="23"/>
      <c r="D10" s="24">
        <f>'ye 17 ABP-2018'!D22</f>
        <v>1.6799999999999999E-2</v>
      </c>
      <c r="E10" s="25">
        <f>'ye 17 ABP-2018'!E22</f>
        <v>0.98319999999999996</v>
      </c>
      <c r="F10" s="26">
        <f>+D10+E10</f>
        <v>1</v>
      </c>
      <c r="G10" s="91" t="s">
        <v>52</v>
      </c>
    </row>
    <row r="11" spans="1:7">
      <c r="A11" s="82" t="s">
        <v>58</v>
      </c>
      <c r="B11" s="83">
        <v>170683.03</v>
      </c>
      <c r="C11" s="83"/>
      <c r="D11" s="84">
        <f>+B11*D10</f>
        <v>2867.4749039999997</v>
      </c>
      <c r="E11" s="85">
        <f>+B11*E10</f>
        <v>167815.555096</v>
      </c>
      <c r="F11" s="86">
        <f>+D11+E11</f>
        <v>170683.03</v>
      </c>
      <c r="G11" s="91" t="s">
        <v>53</v>
      </c>
    </row>
    <row r="12" spans="1:7">
      <c r="A12" s="27"/>
      <c r="B12" s="23"/>
      <c r="C12" s="23"/>
      <c r="D12" s="28"/>
      <c r="E12" s="29"/>
      <c r="F12" s="19"/>
    </row>
    <row r="13" spans="1:7">
      <c r="A13" s="31"/>
      <c r="B13" s="32"/>
      <c r="C13" s="23"/>
      <c r="D13" s="33"/>
      <c r="E13" s="34"/>
      <c r="F13" s="35"/>
    </row>
    <row r="14" spans="1:7">
      <c r="A14" s="20" t="s">
        <v>9</v>
      </c>
      <c r="B14" s="23"/>
      <c r="C14" s="23"/>
      <c r="D14" s="36"/>
      <c r="E14" s="37"/>
      <c r="F14" s="19"/>
    </row>
    <row r="15" spans="1:7">
      <c r="A15" s="38" t="s">
        <v>59</v>
      </c>
      <c r="B15" s="23">
        <v>8513.7000000000007</v>
      </c>
      <c r="C15" s="23"/>
      <c r="D15" s="39">
        <v>0</v>
      </c>
      <c r="E15" s="40">
        <f>+B15</f>
        <v>8513.7000000000007</v>
      </c>
      <c r="F15" s="30">
        <f>+D15+E15</f>
        <v>8513.7000000000007</v>
      </c>
    </row>
    <row r="16" spans="1:7">
      <c r="A16" s="38" t="s">
        <v>64</v>
      </c>
      <c r="B16" s="23">
        <v>46116.65</v>
      </c>
      <c r="C16" s="23"/>
      <c r="D16" s="39">
        <v>0</v>
      </c>
      <c r="E16" s="40">
        <f>+B16</f>
        <v>46116.65</v>
      </c>
      <c r="F16" s="30">
        <f>+D16+E16</f>
        <v>46116.65</v>
      </c>
    </row>
    <row r="17" spans="1:8">
      <c r="A17" s="38" t="s">
        <v>60</v>
      </c>
      <c r="B17" s="23">
        <v>0</v>
      </c>
      <c r="C17" s="23"/>
      <c r="D17" s="41">
        <f>+B17</f>
        <v>0</v>
      </c>
      <c r="E17" s="42">
        <v>0</v>
      </c>
      <c r="F17" s="30">
        <f>+D17+E17</f>
        <v>0</v>
      </c>
    </row>
    <row r="18" spans="1:8">
      <c r="A18" s="43" t="s">
        <v>58</v>
      </c>
      <c r="B18" s="44">
        <f>SUM(B15:B17)</f>
        <v>54630.350000000006</v>
      </c>
      <c r="C18" s="23"/>
      <c r="D18" s="45">
        <f>SUM(D15:D17)</f>
        <v>0</v>
      </c>
      <c r="E18" s="46">
        <f>SUM(E15:E17)</f>
        <v>54630.350000000006</v>
      </c>
      <c r="F18" s="46">
        <f>SUM(F15:F17)</f>
        <v>54630.350000000006</v>
      </c>
    </row>
    <row r="19" spans="1:8">
      <c r="A19" s="22"/>
      <c r="B19" s="23"/>
      <c r="C19" s="23"/>
      <c r="D19" s="45"/>
      <c r="E19" s="21"/>
      <c r="F19" s="74"/>
    </row>
    <row r="20" spans="1:8">
      <c r="A20" s="43" t="s">
        <v>65</v>
      </c>
      <c r="B20" s="44">
        <f>+B11+B18</f>
        <v>225313.38</v>
      </c>
      <c r="C20" s="44"/>
      <c r="D20" s="79">
        <f>+D11+D18</f>
        <v>2867.4749039999997</v>
      </c>
      <c r="E20" s="46">
        <f>+E11+E18</f>
        <v>222445.905096</v>
      </c>
      <c r="F20" s="80">
        <f>+F11+F18</f>
        <v>225313.38</v>
      </c>
    </row>
    <row r="21" spans="1:8">
      <c r="A21" s="81" t="s">
        <v>36</v>
      </c>
      <c r="B21" s="48"/>
      <c r="C21" s="49"/>
      <c r="D21" s="50"/>
      <c r="E21" s="48"/>
      <c r="F21" s="19"/>
    </row>
    <row r="22" spans="1:8">
      <c r="A22" s="51" t="s">
        <v>66</v>
      </c>
      <c r="B22" s="52">
        <f>+B11+B18</f>
        <v>225313.38</v>
      </c>
      <c r="C22" s="52"/>
      <c r="D22" s="53">
        <f>+D11+D18</f>
        <v>2867.4749039999997</v>
      </c>
      <c r="E22" s="54">
        <f>+E11+E18</f>
        <v>222445.905096</v>
      </c>
      <c r="F22" s="55">
        <f>+D22+E22</f>
        <v>225313.38</v>
      </c>
    </row>
    <row r="23" spans="1:8" ht="15" thickBot="1">
      <c r="A23" s="56" t="s">
        <v>12</v>
      </c>
      <c r="B23" s="57">
        <f>+E23+D23</f>
        <v>1</v>
      </c>
      <c r="C23" s="37"/>
      <c r="D23" s="58">
        <f>ROUND(D22/F22,4)</f>
        <v>1.2699999999999999E-2</v>
      </c>
      <c r="E23" s="57">
        <f>ROUND(E22/F22,4)</f>
        <v>0.98729999999999996</v>
      </c>
      <c r="F23" s="59">
        <f>+D23+E23</f>
        <v>1</v>
      </c>
      <c r="G23" s="92" t="s">
        <v>54</v>
      </c>
      <c r="H23" s="91"/>
    </row>
    <row r="24" spans="1:8" ht="15" thickTop="1"/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topLeftCell="A16" workbookViewId="0">
      <selection activeCell="A29" sqref="A29"/>
    </sheetView>
  </sheetViews>
  <sheetFormatPr defaultRowHeight="14.6"/>
  <cols>
    <col min="1" max="1" width="44.69140625" customWidth="1"/>
    <col min="2" max="2" width="16" customWidth="1"/>
    <col min="3" max="3" width="2" customWidth="1"/>
    <col min="4" max="4" width="12.15234375" customWidth="1"/>
    <col min="5" max="5" width="13.3828125" customWidth="1"/>
    <col min="6" max="6" width="12.3828125" customWidth="1"/>
  </cols>
  <sheetData>
    <row r="1" spans="1:7" ht="18.45">
      <c r="A1" s="1" t="s">
        <v>0</v>
      </c>
    </row>
    <row r="2" spans="1:7">
      <c r="A2" s="2" t="s">
        <v>1</v>
      </c>
      <c r="B2" s="3"/>
      <c r="C2" s="3"/>
      <c r="D2" s="3"/>
      <c r="E2" s="3"/>
      <c r="F2" s="3"/>
    </row>
    <row r="3" spans="1:7">
      <c r="A3" s="2"/>
      <c r="B3" s="3"/>
      <c r="C3" s="3"/>
      <c r="D3" s="3"/>
      <c r="E3" s="3"/>
      <c r="F3" s="3"/>
    </row>
    <row r="4" spans="1:7">
      <c r="A4" s="90" t="s">
        <v>13</v>
      </c>
      <c r="B4" s="3"/>
      <c r="C4" s="3"/>
      <c r="D4" s="3"/>
      <c r="E4" s="3"/>
      <c r="F4" s="3"/>
    </row>
    <row r="5" spans="1:7">
      <c r="A5" s="5"/>
      <c r="B5" s="3"/>
      <c r="C5" s="3"/>
      <c r="D5" s="3"/>
      <c r="E5" s="3"/>
      <c r="F5" s="3"/>
    </row>
    <row r="6" spans="1:7">
      <c r="A6" s="6"/>
      <c r="B6" s="7"/>
      <c r="C6" s="8"/>
      <c r="D6" s="9" t="s">
        <v>2</v>
      </c>
      <c r="E6" s="7" t="s">
        <v>3</v>
      </c>
      <c r="F6" s="10"/>
    </row>
    <row r="7" spans="1:7">
      <c r="A7" s="11"/>
      <c r="B7" s="12" t="s">
        <v>4</v>
      </c>
      <c r="C7" s="8"/>
      <c r="D7" s="13" t="s">
        <v>5</v>
      </c>
      <c r="E7" s="14" t="s">
        <v>5</v>
      </c>
      <c r="F7" s="15" t="s">
        <v>6</v>
      </c>
    </row>
    <row r="8" spans="1:7">
      <c r="A8" s="16"/>
      <c r="B8" s="16"/>
      <c r="C8" s="16"/>
      <c r="D8" s="17"/>
      <c r="E8" s="18"/>
      <c r="F8" s="19"/>
    </row>
    <row r="9" spans="1:7">
      <c r="A9" s="20" t="s">
        <v>68</v>
      </c>
      <c r="B9" s="21"/>
      <c r="C9" s="21"/>
      <c r="D9" s="17"/>
      <c r="E9" s="18"/>
      <c r="F9" s="19"/>
    </row>
    <row r="10" spans="1:7">
      <c r="A10" s="22" t="s">
        <v>7</v>
      </c>
      <c r="B10" s="23"/>
      <c r="C10" s="23"/>
      <c r="D10" s="24">
        <f>'ye 18 TTR-2019'!D23</f>
        <v>1.2699999999999999E-2</v>
      </c>
      <c r="E10" s="25">
        <f>'ye 18 TTR-2019'!E23</f>
        <v>0.98729999999999996</v>
      </c>
      <c r="F10" s="26">
        <f>+D10+E10</f>
        <v>1</v>
      </c>
      <c r="G10" s="91" t="s">
        <v>52</v>
      </c>
    </row>
    <row r="11" spans="1:7">
      <c r="A11" s="82" t="s">
        <v>67</v>
      </c>
      <c r="B11" s="83">
        <v>217361.3</v>
      </c>
      <c r="C11" s="83"/>
      <c r="D11" s="84">
        <f>+B11*D10</f>
        <v>2760.4885099999997</v>
      </c>
      <c r="E11" s="85">
        <f>+B11*E10</f>
        <v>214600.81148999999</v>
      </c>
      <c r="F11" s="86">
        <f>+D11+E11</f>
        <v>217361.3</v>
      </c>
      <c r="G11" s="91" t="s">
        <v>53</v>
      </c>
    </row>
    <row r="12" spans="1:7">
      <c r="A12" s="27"/>
      <c r="B12" s="23"/>
      <c r="C12" s="23"/>
      <c r="D12" s="28"/>
      <c r="E12" s="29"/>
      <c r="F12" s="19"/>
    </row>
    <row r="13" spans="1:7">
      <c r="A13" s="31"/>
      <c r="B13" s="32"/>
      <c r="C13" s="23"/>
      <c r="D13" s="33"/>
      <c r="E13" s="34"/>
      <c r="F13" s="35"/>
    </row>
    <row r="14" spans="1:7">
      <c r="A14" s="20" t="s">
        <v>9</v>
      </c>
      <c r="B14" s="23"/>
      <c r="C14" s="23"/>
      <c r="D14" s="36"/>
      <c r="E14" s="37"/>
      <c r="F14" s="19"/>
    </row>
    <row r="15" spans="1:7">
      <c r="A15" s="38" t="s">
        <v>69</v>
      </c>
      <c r="B15" s="23">
        <v>4767.0200000000004</v>
      </c>
      <c r="C15" s="23"/>
      <c r="D15" s="39">
        <v>0</v>
      </c>
      <c r="E15" s="40">
        <f>+B15</f>
        <v>4767.0200000000004</v>
      </c>
      <c r="F15" s="30">
        <f>+D15+E15</f>
        <v>4767.0200000000004</v>
      </c>
    </row>
    <row r="16" spans="1:7">
      <c r="A16" s="38" t="s">
        <v>77</v>
      </c>
      <c r="B16" s="23">
        <v>2000</v>
      </c>
      <c r="C16" s="23"/>
      <c r="D16" s="41">
        <f>+B16</f>
        <v>2000</v>
      </c>
      <c r="E16" s="42">
        <v>0</v>
      </c>
      <c r="F16" s="30">
        <f>+D16+E16</f>
        <v>2000</v>
      </c>
    </row>
    <row r="17" spans="1:8">
      <c r="A17" s="43" t="s">
        <v>67</v>
      </c>
      <c r="B17" s="44">
        <f>SUM(B15:B16)</f>
        <v>6767.02</v>
      </c>
      <c r="C17" s="23"/>
      <c r="D17" s="45">
        <f>SUM(D15:D16)</f>
        <v>2000</v>
      </c>
      <c r="E17" s="46">
        <f>SUM(E15:E16)</f>
        <v>4767.0200000000004</v>
      </c>
      <c r="F17" s="46">
        <f>SUM(F15:F16)</f>
        <v>6767.02</v>
      </c>
    </row>
    <row r="18" spans="1:8">
      <c r="A18" s="22"/>
      <c r="B18" s="23"/>
      <c r="C18" s="23"/>
      <c r="D18" s="45"/>
      <c r="E18" s="21"/>
      <c r="F18" s="74"/>
    </row>
    <row r="19" spans="1:8">
      <c r="A19" s="43" t="s">
        <v>70</v>
      </c>
      <c r="B19" s="44">
        <f>+B11+B17</f>
        <v>224128.31999999998</v>
      </c>
      <c r="C19" s="44"/>
      <c r="D19" s="79">
        <f>+D11+D17</f>
        <v>4760.4885099999992</v>
      </c>
      <c r="E19" s="46">
        <f>+E11+E17</f>
        <v>219367.83148999998</v>
      </c>
      <c r="F19" s="80">
        <f>+F11+F17</f>
        <v>224128.31999999998</v>
      </c>
    </row>
    <row r="20" spans="1:8">
      <c r="A20" s="81" t="s">
        <v>36</v>
      </c>
      <c r="B20" s="48"/>
      <c r="C20" s="49"/>
      <c r="D20" s="50"/>
      <c r="E20" s="48"/>
      <c r="F20" s="19"/>
    </row>
    <row r="21" spans="1:8">
      <c r="A21" s="51" t="s">
        <v>71</v>
      </c>
      <c r="B21" s="52">
        <f>+B11+B17</f>
        <v>224128.31999999998</v>
      </c>
      <c r="C21" s="52"/>
      <c r="D21" s="53">
        <f>+D11+D17</f>
        <v>4760.4885099999992</v>
      </c>
      <c r="E21" s="54">
        <f>+E11+E17</f>
        <v>219367.83148999998</v>
      </c>
      <c r="F21" s="55">
        <f>+D21+E21</f>
        <v>224128.31999999998</v>
      </c>
    </row>
    <row r="22" spans="1:8" ht="15" thickBot="1">
      <c r="A22" s="56" t="s">
        <v>12</v>
      </c>
      <c r="B22" s="57">
        <f>+E22+D22</f>
        <v>1</v>
      </c>
      <c r="C22" s="37"/>
      <c r="D22" s="58">
        <f>ROUND(D21/F21,4)</f>
        <v>2.12E-2</v>
      </c>
      <c r="E22" s="57">
        <f>ROUND(E21/F21,4)</f>
        <v>0.9788</v>
      </c>
      <c r="F22" s="59">
        <f>+D22+E22</f>
        <v>1</v>
      </c>
      <c r="G22" s="92" t="s">
        <v>54</v>
      </c>
      <c r="H22" s="91"/>
    </row>
    <row r="23" spans="1:8" ht="1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Unded Cont</vt:lpstr>
      <vt:lpstr>ye 12-Accum</vt:lpstr>
      <vt:lpstr>ye 13-Accum</vt:lpstr>
      <vt:lpstr>ye 14-ABP 2015</vt:lpstr>
      <vt:lpstr>ye 15 ABP-2016</vt:lpstr>
      <vt:lpstr>ye 16 ABP-2017</vt:lpstr>
      <vt:lpstr>ye 17 ABP-2018</vt:lpstr>
      <vt:lpstr>ye 18 TTR-2019</vt:lpstr>
      <vt:lpstr>ye 19 TTR-2020</vt:lpstr>
      <vt:lpstr>ye 20 TTR-2021</vt:lpstr>
      <vt:lpstr>EOY Tax Component</vt:lpstr>
      <vt:lpstr>'EOY Tax Component'!Print_Area</vt:lpstr>
      <vt:lpstr>'ye 18 TTR-2019'!Print_Area</vt:lpstr>
    </vt:vector>
  </TitlesOfParts>
  <Company>Courtney &amp;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CherieD</dc:creator>
  <cp:lastModifiedBy>cherie deacon</cp:lastModifiedBy>
  <cp:lastPrinted>2023-12-05T06:00:37Z</cp:lastPrinted>
  <dcterms:created xsi:type="dcterms:W3CDTF">2015-10-08T02:29:45Z</dcterms:created>
  <dcterms:modified xsi:type="dcterms:W3CDTF">2023-12-05T06:03:40Z</dcterms:modified>
</cp:coreProperties>
</file>