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4240" windowHeight="13140" activeTab="1"/>
  </bookViews>
  <sheets>
    <sheet name="Tax Rec" sheetId="1" r:id="rId1"/>
    <sheet name="Exempt Inc Calc" sheetId="4" r:id="rId2"/>
    <sheet name="Dist %" sheetId="5" r:id="rId3"/>
    <sheet name="Cap Losses cfwd" sheetId="3" r:id="rId4"/>
    <sheet name="HUB Cash Acct Rec" sheetId="6" r:id="rId5"/>
    <sheet name="Temp Jnls" sheetId="7" r:id="rId6"/>
    <sheet name="Journals" sheetId="9" r:id="rId7"/>
  </sheets>
  <definedNames>
    <definedName name="_xlnm.Print_Area" localSheetId="4">'HUB Cash Acct Rec'!$A$1:$E$33</definedName>
    <definedName name="_xlnm.Print_Area" localSheetId="6">Journals!$A$1:$E$82</definedName>
    <definedName name="_xlnm.Print_Area" localSheetId="0">'Tax Rec'!$A$1:$F$98</definedName>
    <definedName name="_xlnm.Print_Area" localSheetId="5">'Temp Jnls'!$A$1:$E$22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4"/>
  <c r="D46" s="1"/>
  <c r="D94" i="1"/>
  <c r="D68" i="9" s="1"/>
  <c r="D93" i="1"/>
  <c r="D67" i="9" s="1"/>
  <c r="D95" i="1"/>
  <c r="D69" i="9" s="1"/>
  <c r="D12" i="7"/>
  <c r="B95" i="1"/>
  <c r="C88"/>
  <c r="C90" s="1"/>
  <c r="B90"/>
  <c r="B89"/>
  <c r="B88"/>
  <c r="E70" i="9" l="1"/>
  <c r="B78" i="1"/>
  <c r="C71"/>
  <c r="B73"/>
  <c r="B72"/>
  <c r="B71"/>
  <c r="J52" i="5"/>
  <c r="H7"/>
  <c r="D8"/>
  <c r="D7"/>
  <c r="F25"/>
  <c r="I12"/>
  <c r="I47"/>
  <c r="I29"/>
  <c r="I10"/>
  <c r="F29"/>
  <c r="D62" i="9"/>
  <c r="C23" i="4" l="1"/>
  <c r="C16"/>
  <c r="C18"/>
  <c r="C12"/>
  <c r="C11"/>
  <c r="C13"/>
  <c r="C9"/>
  <c r="E7" i="1"/>
  <c r="E10" l="1"/>
  <c r="D61" i="9" l="1"/>
  <c r="E59"/>
  <c r="E48" l="1"/>
  <c r="D33"/>
  <c r="E7"/>
  <c r="C29" i="4" l="1"/>
  <c r="J8" i="5" l="1"/>
  <c r="I14" l="1"/>
  <c r="E63" i="9"/>
  <c r="D50"/>
  <c r="D37"/>
  <c r="E36"/>
  <c r="D44" s="1"/>
  <c r="E16" i="6"/>
  <c r="E19" s="1"/>
  <c r="E10" i="9" l="1"/>
  <c r="E29" i="6" l="1"/>
  <c r="E31" l="1"/>
  <c r="E17" i="3"/>
  <c r="D32" s="1"/>
  <c r="D33" s="1"/>
  <c r="C17"/>
  <c r="B17"/>
  <c r="B21" s="1"/>
  <c r="D13"/>
  <c r="D8"/>
  <c r="D17" l="1"/>
  <c r="C20" s="1"/>
  <c r="D35" s="1"/>
  <c r="B22"/>
  <c r="B26" s="1"/>
  <c r="C21" l="1"/>
  <c r="D36" s="1"/>
  <c r="D38" s="1"/>
  <c r="C22" l="1"/>
  <c r="C26" s="1"/>
  <c r="E94" i="1"/>
  <c r="E93"/>
  <c r="E11"/>
  <c r="D53"/>
  <c r="D47"/>
  <c r="D19" i="4"/>
  <c r="D17" i="1" s="1"/>
  <c r="D17" i="4"/>
  <c r="D16" i="1" s="1"/>
  <c r="D9" i="4"/>
  <c r="D52" i="1"/>
  <c r="E96" l="1"/>
  <c r="E54"/>
  <c r="D13" i="4"/>
  <c r="D14" i="1"/>
  <c r="J19" i="5"/>
  <c r="D10"/>
  <c r="D14" s="1"/>
  <c r="D17" s="1"/>
  <c r="D22" s="1"/>
  <c r="D27" s="1"/>
  <c r="D30" s="1"/>
  <c r="D34" s="1"/>
  <c r="D37" s="1"/>
  <c r="D41" s="1"/>
  <c r="D44" s="1"/>
  <c r="D48" s="1"/>
  <c r="D52" s="1"/>
  <c r="D15" i="1" l="1"/>
  <c r="E19" s="1"/>
  <c r="D20" i="4"/>
  <c r="D54" i="5"/>
  <c r="D33" i="1" l="1"/>
  <c r="F73" l="1"/>
  <c r="F79" s="1"/>
  <c r="D82"/>
  <c r="E73" l="1"/>
  <c r="D71" s="1"/>
  <c r="E75" i="9" s="1"/>
  <c r="D42" i="4"/>
  <c r="J24" i="5" l="1"/>
  <c r="J7"/>
  <c r="E49" i="1" l="1"/>
  <c r="E41"/>
  <c r="D30"/>
  <c r="E33" s="1"/>
  <c r="J51" i="5"/>
  <c r="J47"/>
  <c r="J43"/>
  <c r="J40"/>
  <c r="J36"/>
  <c r="J33"/>
  <c r="J29"/>
  <c r="J25"/>
  <c r="J21"/>
  <c r="J16"/>
  <c r="J13"/>
  <c r="G10"/>
  <c r="G14" s="1"/>
  <c r="G17" s="1"/>
  <c r="H10"/>
  <c r="H14" s="1"/>
  <c r="H17" s="1"/>
  <c r="H22" s="1"/>
  <c r="H27" s="1"/>
  <c r="H30" s="1"/>
  <c r="H34" s="1"/>
  <c r="H37" s="1"/>
  <c r="H41" s="1"/>
  <c r="J5"/>
  <c r="E10"/>
  <c r="F10"/>
  <c r="F14" s="1"/>
  <c r="F17" s="1"/>
  <c r="F22" s="1"/>
  <c r="F27" s="1"/>
  <c r="F30" s="1"/>
  <c r="F34" s="1"/>
  <c r="F37" s="1"/>
  <c r="F41" s="1"/>
  <c r="F44" s="1"/>
  <c r="F48" s="1"/>
  <c r="F52" s="1"/>
  <c r="C10"/>
  <c r="B49" i="4"/>
  <c r="D41"/>
  <c r="D25"/>
  <c r="D26" s="1"/>
  <c r="E79" i="1"/>
  <c r="I17" i="5"/>
  <c r="B42" i="1" l="1"/>
  <c r="E42" s="1"/>
  <c r="D29" i="4"/>
  <c r="C45" s="1"/>
  <c r="D45" s="1"/>
  <c r="E80" i="1"/>
  <c r="G22" i="5"/>
  <c r="G27" s="1"/>
  <c r="G30" s="1"/>
  <c r="G34" s="1"/>
  <c r="G37" s="1"/>
  <c r="G41" s="1"/>
  <c r="G44" s="1"/>
  <c r="G48" s="1"/>
  <c r="G52" s="1"/>
  <c r="E14"/>
  <c r="E17" s="1"/>
  <c r="E22" s="1"/>
  <c r="E27" s="1"/>
  <c r="E30" s="1"/>
  <c r="E34" s="1"/>
  <c r="E37" s="1"/>
  <c r="E41" s="1"/>
  <c r="E44" s="1"/>
  <c r="E48" s="1"/>
  <c r="E52" s="1"/>
  <c r="H44"/>
  <c r="H48" s="1"/>
  <c r="H52" s="1"/>
  <c r="I22"/>
  <c r="F54"/>
  <c r="J10"/>
  <c r="C14"/>
  <c r="E20" i="1"/>
  <c r="I27" i="5" l="1"/>
  <c r="E54"/>
  <c r="E22" i="1"/>
  <c r="E23" s="1"/>
  <c r="D43" i="4"/>
  <c r="C44"/>
  <c r="D44" s="1"/>
  <c r="C48"/>
  <c r="D48" s="1"/>
  <c r="C47"/>
  <c r="D47" s="1"/>
  <c r="G54" i="5"/>
  <c r="H54"/>
  <c r="B76" i="1"/>
  <c r="B93"/>
  <c r="J14" i="5"/>
  <c r="C17"/>
  <c r="I30" l="1"/>
  <c r="D49" i="4"/>
  <c r="C49"/>
  <c r="J17" i="5"/>
  <c r="C22"/>
  <c r="I54" l="1"/>
  <c r="B94" i="1" s="1"/>
  <c r="B96" s="1"/>
  <c r="C93" s="1"/>
  <c r="I34" i="5"/>
  <c r="I37" s="1"/>
  <c r="I41" s="1"/>
  <c r="I44" s="1"/>
  <c r="I48" s="1"/>
  <c r="I52" s="1"/>
  <c r="E24" i="1"/>
  <c r="E25" s="1"/>
  <c r="B40" s="1"/>
  <c r="D32" i="4"/>
  <c r="D34" s="1"/>
  <c r="C27" i="5"/>
  <c r="J22"/>
  <c r="B77" i="1" l="1"/>
  <c r="B79" s="1"/>
  <c r="C77" s="1"/>
  <c r="D77" s="1"/>
  <c r="E77" i="9" s="1"/>
  <c r="C94" i="1"/>
  <c r="C95"/>
  <c r="E35"/>
  <c r="J27" i="5"/>
  <c r="C30"/>
  <c r="C78" i="1" l="1"/>
  <c r="D78" s="1"/>
  <c r="E78" i="9" s="1"/>
  <c r="C76" i="1"/>
  <c r="F95"/>
  <c r="F93"/>
  <c r="F94"/>
  <c r="E43"/>
  <c r="E50" s="1"/>
  <c r="E55" s="1"/>
  <c r="E59" s="1"/>
  <c r="E64" s="1"/>
  <c r="C96"/>
  <c r="C34" i="5"/>
  <c r="J30"/>
  <c r="D76" i="1" l="1"/>
  <c r="C79"/>
  <c r="F96"/>
  <c r="J34" i="5"/>
  <c r="C37"/>
  <c r="D79" i="1" l="1"/>
  <c r="E74" i="9"/>
  <c r="D96" i="1"/>
  <c r="J37" i="5"/>
  <c r="C41"/>
  <c r="C44" l="1"/>
  <c r="J41"/>
  <c r="C48" l="1"/>
  <c r="J44"/>
  <c r="C52" l="1"/>
  <c r="J48"/>
  <c r="K54" l="1"/>
  <c r="C54"/>
  <c r="C72" i="1" l="1"/>
  <c r="C73" s="1"/>
  <c r="C89"/>
  <c r="J54" i="5"/>
  <c r="D55" s="1"/>
  <c r="D72" i="1" l="1"/>
  <c r="C55" i="5"/>
  <c r="F55"/>
  <c r="G55"/>
  <c r="E55"/>
  <c r="I55"/>
  <c r="H55"/>
  <c r="D73" i="1" l="1"/>
  <c r="E76" i="9"/>
  <c r="D73" s="1"/>
  <c r="J55" i="5"/>
</calcChain>
</file>

<file path=xl/sharedStrings.xml><?xml version="1.0" encoding="utf-8"?>
<sst xmlns="http://schemas.openxmlformats.org/spreadsheetml/2006/main" count="405" uniqueCount="292">
  <si>
    <t>RECONCILIATION OF ACCOUNTING PROFIT WITH TAXABLE INCOME</t>
  </si>
  <si>
    <t>$</t>
  </si>
  <si>
    <t>Less:</t>
  </si>
  <si>
    <t>Add:</t>
  </si>
  <si>
    <t>Net Capital Gains</t>
  </si>
  <si>
    <t>Taxable Employer Contributions</t>
  </si>
  <si>
    <t>Taxable Income</t>
  </si>
  <si>
    <t>CALCULATION OF TAX PAYABLE</t>
  </si>
  <si>
    <t xml:space="preserve">Tax on Earnings: </t>
  </si>
  <si>
    <t>@ 15%</t>
  </si>
  <si>
    <t xml:space="preserve">Tax on Employer Contributions: </t>
  </si>
  <si>
    <t>Tax Offsets : -</t>
  </si>
  <si>
    <t>Total</t>
  </si>
  <si>
    <t>Distribution</t>
  </si>
  <si>
    <t>Discount</t>
  </si>
  <si>
    <t>Indexation</t>
  </si>
  <si>
    <t>Cap. Gain</t>
  </si>
  <si>
    <t>Capital Gain</t>
  </si>
  <si>
    <t>Total Current</t>
  </si>
  <si>
    <t>Eligible for</t>
  </si>
  <si>
    <t>Others /</t>
  </si>
  <si>
    <t>Year Capital</t>
  </si>
  <si>
    <t>Gains</t>
  </si>
  <si>
    <t>Losses</t>
  </si>
  <si>
    <t>Gain/Loss - Trust Distributions:</t>
  </si>
  <si>
    <t>Gain/Loss - Disposal of Investments:</t>
  </si>
  <si>
    <t>Total Current Yr Capital Gains &amp; Losses</t>
  </si>
  <si>
    <t>Current Year Capital Losses Recouped</t>
  </si>
  <si>
    <t>Prior Year Capital Losses Recouped</t>
  </si>
  <si>
    <t>General Capital Gain Discount (1/3)</t>
  </si>
  <si>
    <t>Total Net Capital Gains</t>
  </si>
  <si>
    <t>Summary of Capital Losses :-</t>
  </si>
  <si>
    <t xml:space="preserve">Add : </t>
  </si>
  <si>
    <t xml:space="preserve">Less : </t>
  </si>
  <si>
    <t>Capital Losses C/Fwd to Following Years</t>
  </si>
  <si>
    <t>Refundable Franking Credits : -</t>
  </si>
  <si>
    <t xml:space="preserve">Credit for TFN Withholding Tax </t>
  </si>
  <si>
    <t>Credit for PAYG Tax Instalments Paid</t>
  </si>
  <si>
    <t>Assessable Investment Income :</t>
  </si>
  <si>
    <t>Gross Rent</t>
  </si>
  <si>
    <t>Interest Received</t>
  </si>
  <si>
    <t>Dividends Received :</t>
  </si>
  <si>
    <t xml:space="preserve"> - Franked</t>
  </si>
  <si>
    <t xml:space="preserve"> - Unfranked</t>
  </si>
  <si>
    <t xml:space="preserve"> - Franking Credits</t>
  </si>
  <si>
    <t>Trust Distributions :</t>
  </si>
  <si>
    <t xml:space="preserve"> - Foreign Income</t>
  </si>
  <si>
    <t xml:space="preserve"> - Other Aus Income</t>
  </si>
  <si>
    <t>Assessable Contributions :</t>
  </si>
  <si>
    <t xml:space="preserve"> - Employer Contributions</t>
  </si>
  <si>
    <t xml:space="preserve"> - Member Contributions</t>
  </si>
  <si>
    <t>Total Assessable Income</t>
  </si>
  <si>
    <t xml:space="preserve">Exempt Pension Income </t>
  </si>
  <si>
    <t>at</t>
  </si>
  <si>
    <t>E x p e n s e s</t>
  </si>
  <si>
    <t>Deductible</t>
  </si>
  <si>
    <t>Portion</t>
  </si>
  <si>
    <t>Management &amp; Admin. Exps :</t>
  </si>
  <si>
    <t xml:space="preserve"> - Bank Charges</t>
  </si>
  <si>
    <t>Deductible Portion of Admin &amp; Other Expenses :</t>
  </si>
  <si>
    <t>Expenses x (Total Assessable Income - Exempt Income) / Total Assessable Income</t>
  </si>
  <si>
    <t>Deductible Portion of Investment Expenses :</t>
  </si>
  <si>
    <t>Expenses x (Assessable Invmnt Income - Exempt Income) / Assessable Invmnt Income</t>
  </si>
  <si>
    <t>Non-Deductible Portion of Expenses :</t>
  </si>
  <si>
    <t xml:space="preserve">The difference between actual expenses and the deductible portion </t>
  </si>
  <si>
    <t>Exempt Pension Income (see following page)</t>
  </si>
  <si>
    <t>Add/Less:</t>
  </si>
  <si>
    <t>ATO Supervisory Levy</t>
  </si>
  <si>
    <t>Add/(Less):</t>
  </si>
  <si>
    <t>Total Assessable Investment Income</t>
  </si>
  <si>
    <t>Less</t>
  </si>
  <si>
    <t>Deductible Expenses</t>
  </si>
  <si>
    <t>Taxable Income/(Loss)</t>
  </si>
  <si>
    <t>Period</t>
  </si>
  <si>
    <t>Accum. A/c</t>
  </si>
  <si>
    <t>Accum A/c</t>
  </si>
  <si>
    <t>Contbns/(Pension Paid)</t>
  </si>
  <si>
    <t>Average Bal. for 12 months</t>
  </si>
  <si>
    <t>Average Bal.% for 12mths</t>
  </si>
  <si>
    <t>($)</t>
  </si>
  <si>
    <t>Allocation of Accounting Profits</t>
  </si>
  <si>
    <t>Distribution of Profits</t>
  </si>
  <si>
    <t>Non-Exempt Proportion of Income:</t>
  </si>
  <si>
    <t>(%)</t>
  </si>
  <si>
    <t>Members Accounts</t>
  </si>
  <si>
    <t>Exempt Proportion of Income:</t>
  </si>
  <si>
    <t>Av. Bal. ($)</t>
  </si>
  <si>
    <t>Per Actuarial Certificate</t>
  </si>
  <si>
    <t>Allocation of Tax Exp</t>
  </si>
  <si>
    <t>THE DEACON SUPERANNUATION FUND</t>
  </si>
  <si>
    <t>K Deacon</t>
  </si>
  <si>
    <t>C Vasas-Deacon</t>
  </si>
  <si>
    <t>K Deacon (Accum.)</t>
  </si>
  <si>
    <t>C Deacon (Accum.)</t>
  </si>
  <si>
    <t>Aug</t>
  </si>
  <si>
    <t>Sep</t>
  </si>
  <si>
    <t>Oct</t>
  </si>
  <si>
    <t>Nov</t>
  </si>
  <si>
    <t>Dec</t>
  </si>
  <si>
    <t>Feb</t>
  </si>
  <si>
    <t>Mar</t>
  </si>
  <si>
    <t>Apr</t>
  </si>
  <si>
    <t>May</t>
  </si>
  <si>
    <t>Transfer to new ABP</t>
  </si>
  <si>
    <t xml:space="preserve"> - Franking Credits on Distributions </t>
  </si>
  <si>
    <t>Non-Deductible</t>
  </si>
  <si>
    <t xml:space="preserve"> - Foreign Tax Credits  </t>
  </si>
  <si>
    <t>Taxable Individual Contributions</t>
  </si>
  <si>
    <t>Tax on Individual Contributions:</t>
  </si>
  <si>
    <r>
      <t xml:space="preserve">Less: </t>
    </r>
    <r>
      <rPr>
        <sz val="10"/>
        <rFont val="Arial"/>
        <family val="2"/>
      </rPr>
      <t xml:space="preserve"> [as per Accounts]</t>
    </r>
  </si>
  <si>
    <t>Credit for F/I WHTax</t>
  </si>
  <si>
    <t>Rollover-One Path</t>
  </si>
  <si>
    <t>Cross Check</t>
  </si>
  <si>
    <t>Less - nett income as per accounts</t>
  </si>
  <si>
    <t>Interest received</t>
  </si>
  <si>
    <t>Foreign Income</t>
  </si>
  <si>
    <t>Loss on disposal - non capital</t>
  </si>
  <si>
    <t>Super Levy - Fully Deductible</t>
  </si>
  <si>
    <r>
      <t xml:space="preserve">Less:  </t>
    </r>
    <r>
      <rPr>
        <b/>
        <sz val="10"/>
        <rFont val="Arial"/>
        <family val="2"/>
      </rPr>
      <t xml:space="preserve">Deductible </t>
    </r>
    <r>
      <rPr>
        <sz val="10"/>
        <rFont val="Arial"/>
        <family val="2"/>
      </rPr>
      <t>portion of Exps (see following page)</t>
    </r>
  </si>
  <si>
    <t>ie. Total revenue less contrib. revenue less exps (excl. insurance)</t>
  </si>
  <si>
    <t>NETT Profit / (Loss) as per accounts</t>
  </si>
  <si>
    <r>
      <t>Tax Payable/</t>
    </r>
    <r>
      <rPr>
        <b/>
        <sz val="10"/>
        <color rgb="FFFF0000"/>
        <rFont val="Arial"/>
        <family val="2"/>
      </rPr>
      <t>(Refundable)</t>
    </r>
  </si>
  <si>
    <t xml:space="preserve">C Deacon (TRIS) </t>
  </si>
  <si>
    <t>C Deacon (TRIS)</t>
  </si>
  <si>
    <t>HUB 24  [06 Gain/Loss Schedule]</t>
  </si>
  <si>
    <t>Jul</t>
  </si>
  <si>
    <t>Contributions</t>
  </si>
  <si>
    <t>FTC</t>
  </si>
  <si>
    <t>Filing Fees</t>
  </si>
  <si>
    <t xml:space="preserve"> - Franking Credits on Dividends</t>
  </si>
  <si>
    <t>Other Amts-Loss on Trad Secs</t>
  </si>
  <si>
    <t xml:space="preserve">Tax on </t>
  </si>
  <si>
    <t>Earnings ($)</t>
  </si>
  <si>
    <t>Contributions ($)</t>
  </si>
  <si>
    <t xml:space="preserve">Total </t>
  </si>
  <si>
    <t>Prior Year Capital Losses Available for Offset</t>
  </si>
  <si>
    <t>Current Year Cap Losses Available for Offset</t>
  </si>
  <si>
    <t>Total Capital Losses Available for Offset</t>
  </si>
  <si>
    <t>Current Year Capital Losses Applied in Current Period</t>
  </si>
  <si>
    <t>Prior Year Capital Losses Applied in Current Period</t>
  </si>
  <si>
    <t xml:space="preserve">HUB24 Cash Account </t>
  </si>
  <si>
    <t>Reference</t>
  </si>
  <si>
    <t>Add: Deposit</t>
  </si>
  <si>
    <t>* Interest Recvd</t>
  </si>
  <si>
    <t xml:space="preserve"> - HUB Cash Account</t>
  </si>
  <si>
    <t>* Cash Distributions</t>
  </si>
  <si>
    <t xml:space="preserve"> - Various </t>
  </si>
  <si>
    <t>Sells</t>
  </si>
  <si>
    <t>HUB Cash Transactions Report</t>
  </si>
  <si>
    <t>* Credit Adjustments</t>
  </si>
  <si>
    <t>Total Credit Transactions</t>
  </si>
  <si>
    <t>Less: Withdrawal</t>
  </si>
  <si>
    <t>* HUB24 Fees</t>
  </si>
  <si>
    <t>* Transfer of funds - to Macquarie Account</t>
  </si>
  <si>
    <t>Buys</t>
  </si>
  <si>
    <t>* Debit Adjustments</t>
  </si>
  <si>
    <t>Total Debit Transactions</t>
  </si>
  <si>
    <t>Date</t>
  </si>
  <si>
    <t>Code</t>
  </si>
  <si>
    <t>DR</t>
  </si>
  <si>
    <t>CR</t>
  </si>
  <si>
    <t>TEMP</t>
  </si>
  <si>
    <t>Distribution to Members</t>
  </si>
  <si>
    <t>550 03</t>
  </si>
  <si>
    <t>Alloc.Earnings - Kevin Accum</t>
  </si>
  <si>
    <t>551 02</t>
  </si>
  <si>
    <t>Alloc.Earnings - Cherie Accum</t>
  </si>
  <si>
    <t>552 02</t>
  </si>
  <si>
    <t>FINAL JOURNALS</t>
  </si>
  <si>
    <t>Benefits commuted to new ABP KD from Accum</t>
  </si>
  <si>
    <t>551 16</t>
  </si>
  <si>
    <t>552 16</t>
  </si>
  <si>
    <t>J.1</t>
  </si>
  <si>
    <t>JOURNALS</t>
  </si>
  <si>
    <t>795 00</t>
  </si>
  <si>
    <t>Shares at Cost - DRP IAG</t>
  </si>
  <si>
    <t>Div Rec'd - IAG</t>
  </si>
  <si>
    <t>198 01</t>
  </si>
  <si>
    <t>Imputation Credits - MPL</t>
  </si>
  <si>
    <t>198 10</t>
  </si>
  <si>
    <t>J.2</t>
  </si>
  <si>
    <t>Unrealised Gain/Loss on Shares</t>
  </si>
  <si>
    <t>795 01</t>
  </si>
  <si>
    <t>Movement in NMV</t>
  </si>
  <si>
    <t>204 00</t>
  </si>
  <si>
    <t>J.3</t>
  </si>
  <si>
    <t>Benefits commuted to new TRIS CVD from Accum</t>
  </si>
  <si>
    <t>J.4</t>
  </si>
  <si>
    <t>Management Fees</t>
  </si>
  <si>
    <t>HUB24 Bank (Macq c/-)</t>
  </si>
  <si>
    <t>J.5</t>
  </si>
  <si>
    <t>* HUB24 Cash a/c per Reconciliation</t>
  </si>
  <si>
    <t>197 01</t>
  </si>
  <si>
    <t>Dividends Rec'd HUB24</t>
  </si>
  <si>
    <t>198 15</t>
  </si>
  <si>
    <t>202 03</t>
  </si>
  <si>
    <t>Provision for I/Tax</t>
  </si>
  <si>
    <t>198 99</t>
  </si>
  <si>
    <t>Imp/Crs Dividends HUB24</t>
  </si>
  <si>
    <t>FTC Dividends HUB24</t>
  </si>
  <si>
    <t>202 99</t>
  </si>
  <si>
    <t>Distributions  c/- 1</t>
  </si>
  <si>
    <t>Distributions c/- 2</t>
  </si>
  <si>
    <t xml:space="preserve">Dist. F/I </t>
  </si>
  <si>
    <t>202 02</t>
  </si>
  <si>
    <t>Dist. Local</t>
  </si>
  <si>
    <t>Dist. Non-Assessable</t>
  </si>
  <si>
    <t>197 02</t>
  </si>
  <si>
    <t>Dist. Cap/Gain</t>
  </si>
  <si>
    <t>FTC Distribs</t>
  </si>
  <si>
    <t>Imp/Crs Distribs</t>
  </si>
  <si>
    <t>197 99</t>
  </si>
  <si>
    <t>Foreign Inc/Dividends Rec'd HUB24</t>
  </si>
  <si>
    <t>Capital Loss</t>
  </si>
  <si>
    <t>HUB24 - at cost</t>
  </si>
  <si>
    <t>799 00</t>
  </si>
  <si>
    <t>799 01</t>
  </si>
  <si>
    <t>HUB24 Unrealised Gains/Losses</t>
  </si>
  <si>
    <t>551 10</t>
  </si>
  <si>
    <t>552 10</t>
  </si>
  <si>
    <t>New TRIS/ABP 1/7/21</t>
  </si>
  <si>
    <t>Accum a/c - Kevin</t>
  </si>
  <si>
    <t>Accum a/c - Cherie</t>
  </si>
  <si>
    <t>552 05</t>
  </si>
  <si>
    <t>TRIS - Cherie</t>
  </si>
  <si>
    <t>--&gt; per Actuarial Certificate</t>
  </si>
  <si>
    <t>Cash Transactions 01/07/2022 - 30/06/2023</t>
  </si>
  <si>
    <t>Opening Balance as at 01/07/2022</t>
  </si>
  <si>
    <t>Investor Statement pg.8</t>
  </si>
  <si>
    <t>Annual Tax Statement  pg.54</t>
  </si>
  <si>
    <t>Annual Tax Statement  pg.48</t>
  </si>
  <si>
    <t>Closing Balance as at 30 June 2023</t>
  </si>
  <si>
    <t>* Transfer of funds - from Macquarie #120540000</t>
  </si>
  <si>
    <t>HUB Cash Transactions Report pg. 16</t>
  </si>
  <si>
    <t>Inv/Stmt-Cash Transactions  pg. 16</t>
  </si>
  <si>
    <t>Inv/Stmt-Cash Transactions  pg.16</t>
  </si>
  <si>
    <t xml:space="preserve">         "                 "           from KD ABP 1/7/21</t>
  </si>
  <si>
    <t>553 16</t>
  </si>
  <si>
    <t>Purch price new ABP KD 1/7/22</t>
  </si>
  <si>
    <t>555 14</t>
  </si>
  <si>
    <t xml:space="preserve">         "                 "           from CVD TRIS 1/7/21</t>
  </si>
  <si>
    <t>554 16</t>
  </si>
  <si>
    <t>Purch price new TRIS CVD 1/7/22</t>
  </si>
  <si>
    <t xml:space="preserve">556 14 </t>
  </si>
  <si>
    <t>Purch price new ABP KD 7/11/22</t>
  </si>
  <si>
    <t>558 14</t>
  </si>
  <si>
    <t>Prov. for I/Tax ye 23</t>
  </si>
  <si>
    <t>904 23</t>
  </si>
  <si>
    <t>Imputation Credits - IAG</t>
  </si>
  <si>
    <t>199 11</t>
  </si>
  <si>
    <t>Int Received</t>
  </si>
  <si>
    <t>Buys HUB24 - at cost</t>
  </si>
  <si>
    <t>HUB24 Bank</t>
  </si>
  <si>
    <t>J.6</t>
  </si>
  <si>
    <t>S/Debtors reversal ye 22</t>
  </si>
  <si>
    <t>S/Debtors ye 23</t>
  </si>
  <si>
    <t>J.7</t>
  </si>
  <si>
    <t>* HUB24 Dividends/Distributions ye 23</t>
  </si>
  <si>
    <t>J.8</t>
  </si>
  <si>
    <t>J.9</t>
  </si>
  <si>
    <t>J.10</t>
  </si>
  <si>
    <t>Income Tax on Contributions - KD ($1,129)</t>
  </si>
  <si>
    <t>Income Tax on Contributions - CVD ($2,275)</t>
  </si>
  <si>
    <t>CALCULATION OF CAPITAL GAIN - 2023</t>
  </si>
  <si>
    <t>FOR THE YEAR ENDED 30th JUNE 2023</t>
  </si>
  <si>
    <t>Calculation of Exempt Income &amp; Deductions 2023</t>
  </si>
  <si>
    <t>Dividends received (incl. $3756.64 I/C)</t>
  </si>
  <si>
    <t>Foreign Income (incl. $596.78 FTO)</t>
  </si>
  <si>
    <t>Trust distributions - HUB (incl. $0.39 I/C)</t>
  </si>
  <si>
    <t>DISTRIBUTION % ON NET EARNINGS Y/E: 2023</t>
  </si>
  <si>
    <t>Opening Bal. 01/07/22</t>
  </si>
  <si>
    <t>New ABP 1/7/22</t>
  </si>
  <si>
    <t>ABP 1/7/21</t>
  </si>
  <si>
    <t>Jun'23</t>
  </si>
  <si>
    <t>Jan 23</t>
  </si>
  <si>
    <t>ATO Contrib</t>
  </si>
  <si>
    <t>New ABP 7/11/22</t>
  </si>
  <si>
    <t>New TRIS/ABP 1/7/22</t>
  </si>
  <si>
    <t>K Deacon (ABP)  1/7/22</t>
  </si>
  <si>
    <t>K Deacon (ABP)  7/11/22</t>
  </si>
  <si>
    <t>Being Provision for Tax</t>
  </si>
  <si>
    <t>Alloc.Earnings - Kevin ABP 1/7/22</t>
  </si>
  <si>
    <t>555 02</t>
  </si>
  <si>
    <t>Alloc.Earnings - Cherie TRIS/ABP 1/7/22</t>
  </si>
  <si>
    <t>556 02</t>
  </si>
  <si>
    <t>Alloc.Earnings - Kevin ABP 7/11/22</t>
  </si>
  <si>
    <t>558 02</t>
  </si>
  <si>
    <t>TEMPORARY JOURNALS - for Actuarial purposes  Y/E:  2023</t>
  </si>
  <si>
    <t>556 05</t>
  </si>
  <si>
    <t>(i.e. $23,399.93 x 39.6%)</t>
  </si>
  <si>
    <t xml:space="preserve"> - Audit Fees</t>
  </si>
  <si>
    <t xml:space="preserve"> - Accout Fees</t>
  </si>
</sst>
</file>

<file path=xl/styles.xml><?xml version="1.0" encoding="utf-8"?>
<styleSheet xmlns="http://schemas.openxmlformats.org/spreadsheetml/2006/main">
  <numFmts count="7">
    <numFmt numFmtId="8" formatCode="&quot;$&quot;#,##0.00;[Red]\-&quot;$&quot;#,##0.00"/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.00;[Red]\(#,##0.00\)"/>
    <numFmt numFmtId="166" formatCode="dd/mm/yy;@"/>
    <numFmt numFmtId="167" formatCode="#,##0;[Red]\(#,##0\)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u/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2"/>
      <color rgb="FF00B050"/>
      <name val="Arial"/>
      <family val="2"/>
    </font>
    <font>
      <b/>
      <sz val="12"/>
      <color rgb="FF00B050"/>
      <name val="Arial"/>
      <family val="2"/>
    </font>
    <font>
      <b/>
      <sz val="12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43" fontId="0" fillId="0" borderId="0" xfId="0" applyNumberFormat="1"/>
    <xf numFmtId="0" fontId="3" fillId="0" borderId="0" xfId="0" applyFont="1"/>
    <xf numFmtId="0" fontId="4" fillId="0" borderId="0" xfId="0" applyFont="1"/>
    <xf numFmtId="43" fontId="0" fillId="0" borderId="1" xfId="0" applyNumberFormat="1" applyBorder="1"/>
    <xf numFmtId="10" fontId="0" fillId="0" borderId="0" xfId="0" applyNumberFormat="1"/>
    <xf numFmtId="41" fontId="0" fillId="0" borderId="0" xfId="0" applyNumberFormat="1"/>
    <xf numFmtId="0" fontId="0" fillId="0" borderId="0" xfId="0" quotePrefix="1" applyAlignment="1">
      <alignment horizontal="center"/>
    </xf>
    <xf numFmtId="43" fontId="0" fillId="0" borderId="0" xfId="0" applyNumberFormat="1" applyBorder="1"/>
    <xf numFmtId="165" fontId="3" fillId="0" borderId="2" xfId="0" applyNumberFormat="1" applyFont="1" applyBorder="1"/>
    <xf numFmtId="165" fontId="3" fillId="0" borderId="0" xfId="0" applyNumberFormat="1" applyFont="1" applyBorder="1"/>
    <xf numFmtId="43" fontId="4" fillId="0" borderId="0" xfId="0" applyNumberFormat="1" applyFont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43" fontId="0" fillId="0" borderId="7" xfId="0" applyNumberFormat="1" applyBorder="1"/>
    <xf numFmtId="43" fontId="0" fillId="0" borderId="8" xfId="0" applyNumberFormat="1" applyBorder="1"/>
    <xf numFmtId="43" fontId="0" fillId="0" borderId="11" xfId="0" applyNumberFormat="1" applyBorder="1"/>
    <xf numFmtId="0" fontId="0" fillId="0" borderId="1" xfId="0" applyBorder="1"/>
    <xf numFmtId="43" fontId="0" fillId="0" borderId="9" xfId="0" applyNumberFormat="1" applyBorder="1"/>
    <xf numFmtId="43" fontId="0" fillId="0" borderId="10" xfId="0" applyNumberFormat="1" applyBorder="1"/>
    <xf numFmtId="43" fontId="0" fillId="0" borderId="12" xfId="0" applyNumberFormat="1" applyBorder="1"/>
    <xf numFmtId="0" fontId="5" fillId="0" borderId="0" xfId="0" applyFont="1"/>
    <xf numFmtId="164" fontId="0" fillId="0" borderId="0" xfId="0" applyNumberFormat="1"/>
    <xf numFmtId="0" fontId="6" fillId="0" borderId="0" xfId="0" applyFont="1"/>
    <xf numFmtId="10" fontId="0" fillId="0" borderId="0" xfId="1" applyNumberFormat="1" applyFont="1" applyBorder="1"/>
    <xf numFmtId="43" fontId="0" fillId="0" borderId="0" xfId="1" applyNumberFormat="1" applyFont="1" applyBorder="1"/>
    <xf numFmtId="0" fontId="4" fillId="0" borderId="0" xfId="0" applyFont="1" applyBorder="1"/>
    <xf numFmtId="165" fontId="0" fillId="0" borderId="0" xfId="0" applyNumberFormat="1"/>
    <xf numFmtId="0" fontId="0" fillId="0" borderId="12" xfId="0" applyBorder="1" applyAlignment="1">
      <alignment horizontal="center"/>
    </xf>
    <xf numFmtId="0" fontId="9" fillId="0" borderId="0" xfId="0" applyFont="1" applyBorder="1"/>
    <xf numFmtId="43" fontId="0" fillId="0" borderId="0" xfId="0" applyNumberFormat="1" applyBorder="1" applyAlignment="1">
      <alignment horizontal="center"/>
    </xf>
    <xf numFmtId="0" fontId="4" fillId="0" borderId="0" xfId="0" applyFont="1" applyFill="1" applyBorder="1"/>
    <xf numFmtId="43" fontId="0" fillId="0" borderId="1" xfId="0" applyNumberFormat="1" applyFill="1" applyBorder="1"/>
    <xf numFmtId="0" fontId="9" fillId="0" borderId="0" xfId="0" applyFont="1"/>
    <xf numFmtId="0" fontId="10" fillId="0" borderId="0" xfId="0" applyFont="1"/>
    <xf numFmtId="10" fontId="0" fillId="0" borderId="0" xfId="0" applyNumberFormat="1" applyAlignment="1">
      <alignment horizontal="right"/>
    </xf>
    <xf numFmtId="0" fontId="4" fillId="0" borderId="0" xfId="0" quotePrefix="1" applyFont="1"/>
    <xf numFmtId="0" fontId="0" fillId="0" borderId="0" xfId="0" quotePrefix="1"/>
    <xf numFmtId="165" fontId="0" fillId="0" borderId="0" xfId="0" applyNumberFormat="1" applyBorder="1"/>
    <xf numFmtId="43" fontId="3" fillId="0" borderId="0" xfId="0" applyNumberFormat="1" applyFont="1"/>
    <xf numFmtId="164" fontId="4" fillId="0" borderId="1" xfId="0" applyNumberFormat="1" applyFont="1" applyBorder="1"/>
    <xf numFmtId="0" fontId="4" fillId="0" borderId="7" xfId="0" applyFont="1" applyBorder="1"/>
    <xf numFmtId="164" fontId="0" fillId="0" borderId="8" xfId="0" applyNumberFormat="1" applyBorder="1" applyAlignment="1">
      <alignment horizontal="center"/>
    </xf>
    <xf numFmtId="43" fontId="4" fillId="0" borderId="13" xfId="0" applyNumberFormat="1" applyFont="1" applyBorder="1"/>
    <xf numFmtId="43" fontId="0" fillId="0" borderId="6" xfId="0" applyNumberFormat="1" applyBorder="1"/>
    <xf numFmtId="0" fontId="4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3" fontId="0" fillId="0" borderId="0" xfId="0" applyNumberFormat="1" applyFill="1" applyBorder="1"/>
    <xf numFmtId="0" fontId="8" fillId="0" borderId="0" xfId="0" applyFont="1" applyFill="1" applyBorder="1"/>
    <xf numFmtId="0" fontId="8" fillId="0" borderId="0" xfId="0" applyFont="1"/>
    <xf numFmtId="43" fontId="3" fillId="0" borderId="0" xfId="0" applyNumberFormat="1" applyFont="1" applyBorder="1"/>
    <xf numFmtId="43" fontId="3" fillId="0" borderId="16" xfId="0" applyNumberFormat="1" applyFont="1" applyBorder="1"/>
    <xf numFmtId="0" fontId="0" fillId="0" borderId="17" xfId="0" applyBorder="1"/>
    <xf numFmtId="0" fontId="9" fillId="0" borderId="9" xfId="0" applyFont="1" applyBorder="1"/>
    <xf numFmtId="164" fontId="0" fillId="0" borderId="11" xfId="0" applyNumberFormat="1" applyBorder="1" applyAlignment="1">
      <alignment horizontal="center"/>
    </xf>
    <xf numFmtId="0" fontId="4" fillId="0" borderId="7" xfId="0" applyFont="1" applyFill="1" applyBorder="1"/>
    <xf numFmtId="43" fontId="0" fillId="0" borderId="18" xfId="0" applyNumberFormat="1" applyBorder="1"/>
    <xf numFmtId="43" fontId="0" fillId="0" borderId="19" xfId="0" applyNumberFormat="1" applyBorder="1"/>
    <xf numFmtId="0" fontId="4" fillId="0" borderId="9" xfId="0" applyFont="1" applyBorder="1"/>
    <xf numFmtId="0" fontId="0" fillId="0" borderId="3" xfId="0" applyBorder="1"/>
    <xf numFmtId="164" fontId="0" fillId="0" borderId="7" xfId="0" applyNumberFormat="1" applyBorder="1" applyAlignment="1">
      <alignment horizontal="center"/>
    </xf>
    <xf numFmtId="165" fontId="4" fillId="0" borderId="10" xfId="0" applyNumberFormat="1" applyFont="1" applyBorder="1"/>
    <xf numFmtId="165" fontId="4" fillId="0" borderId="13" xfId="0" quotePrefix="1" applyNumberFormat="1" applyFont="1" applyBorder="1" applyAlignment="1">
      <alignment horizontal="center"/>
    </xf>
    <xf numFmtId="43" fontId="0" fillId="0" borderId="0" xfId="0" applyNumberFormat="1" applyBorder="1" applyAlignment="1"/>
    <xf numFmtId="43" fontId="4" fillId="0" borderId="6" xfId="1" applyNumberFormat="1" applyFont="1" applyBorder="1"/>
    <xf numFmtId="43" fontId="4" fillId="0" borderId="13" xfId="0" applyNumberFormat="1" applyFont="1" applyBorder="1" applyAlignment="1">
      <alignment horizontal="center"/>
    </xf>
    <xf numFmtId="10" fontId="4" fillId="0" borderId="20" xfId="1" quotePrefix="1" applyNumberFormat="1" applyFont="1" applyBorder="1" applyAlignment="1">
      <alignment horizontal="center"/>
    </xf>
    <xf numFmtId="43" fontId="4" fillId="0" borderId="10" xfId="1" quotePrefix="1" applyNumberFormat="1" applyFont="1" applyBorder="1" applyAlignment="1">
      <alignment horizontal="center"/>
    </xf>
    <xf numFmtId="10" fontId="0" fillId="0" borderId="0" xfId="1" applyNumberFormat="1" applyFont="1"/>
    <xf numFmtId="43" fontId="0" fillId="0" borderId="8" xfId="1" applyNumberFormat="1" applyFont="1" applyBorder="1"/>
    <xf numFmtId="10" fontId="0" fillId="0" borderId="4" xfId="1" applyNumberFormat="1" applyFont="1" applyBorder="1"/>
    <xf numFmtId="43" fontId="0" fillId="0" borderId="6" xfId="1" applyNumberFormat="1" applyFont="1" applyBorder="1"/>
    <xf numFmtId="165" fontId="3" fillId="0" borderId="4" xfId="0" applyNumberFormat="1" applyFont="1" applyBorder="1"/>
    <xf numFmtId="43" fontId="0" fillId="0" borderId="4" xfId="0" applyNumberFormat="1" applyBorder="1"/>
    <xf numFmtId="43" fontId="0" fillId="0" borderId="5" xfId="1" applyNumberFormat="1" applyFont="1" applyBorder="1"/>
    <xf numFmtId="10" fontId="4" fillId="0" borderId="0" xfId="0" applyNumberFormat="1" applyFont="1" applyBorder="1"/>
    <xf numFmtId="10" fontId="0" fillId="0" borderId="8" xfId="0" applyNumberFormat="1" applyBorder="1"/>
    <xf numFmtId="10" fontId="0" fillId="0" borderId="8" xfId="0" applyNumberFormat="1" applyFill="1" applyBorder="1"/>
    <xf numFmtId="10" fontId="4" fillId="0" borderId="13" xfId="0" applyNumberFormat="1" applyFont="1" applyBorder="1"/>
    <xf numFmtId="0" fontId="2" fillId="0" borderId="0" xfId="0" applyFont="1"/>
    <xf numFmtId="165" fontId="3" fillId="0" borderId="0" xfId="0" applyNumberFormat="1" applyFont="1" applyFill="1"/>
    <xf numFmtId="165" fontId="4" fillId="0" borderId="0" xfId="0" applyNumberFormat="1" applyFont="1" applyFill="1" applyBorder="1"/>
    <xf numFmtId="165" fontId="3" fillId="0" borderId="9" xfId="0" applyNumberFormat="1" applyFont="1" applyFill="1" applyBorder="1"/>
    <xf numFmtId="165" fontId="4" fillId="0" borderId="8" xfId="0" quotePrefix="1" applyNumberFormat="1" applyFont="1" applyFill="1" applyBorder="1" applyAlignment="1">
      <alignment horizontal="center"/>
    </xf>
    <xf numFmtId="43" fontId="0" fillId="0" borderId="6" xfId="0" applyNumberFormat="1" applyFill="1" applyBorder="1"/>
    <xf numFmtId="43" fontId="0" fillId="0" borderId="13" xfId="0" applyNumberFormat="1" applyFill="1" applyBorder="1"/>
    <xf numFmtId="10" fontId="3" fillId="3" borderId="0" xfId="0" applyNumberFormat="1" applyFont="1" applyFill="1"/>
    <xf numFmtId="165" fontId="2" fillId="0" borderId="0" xfId="0" applyNumberFormat="1" applyFont="1" applyBorder="1"/>
    <xf numFmtId="165" fontId="2" fillId="0" borderId="7" xfId="0" applyNumberFormat="1" applyFont="1" applyBorder="1"/>
    <xf numFmtId="165" fontId="2" fillId="0" borderId="8" xfId="0" applyNumberFormat="1" applyFont="1" applyBorder="1"/>
    <xf numFmtId="10" fontId="0" fillId="0" borderId="0" xfId="1" applyNumberFormat="1" applyFont="1" applyFill="1" applyBorder="1"/>
    <xf numFmtId="10" fontId="0" fillId="0" borderId="0" xfId="0" applyNumberFormat="1" applyFill="1" applyBorder="1"/>
    <xf numFmtId="0" fontId="0" fillId="0" borderId="0" xfId="0" applyFill="1"/>
    <xf numFmtId="165" fontId="6" fillId="0" borderId="0" xfId="0" applyNumberFormat="1" applyFont="1" applyFill="1" applyBorder="1"/>
    <xf numFmtId="43" fontId="0" fillId="0" borderId="0" xfId="1" applyNumberFormat="1" applyFont="1" applyFill="1" applyBorder="1"/>
    <xf numFmtId="43" fontId="4" fillId="0" borderId="0" xfId="0" applyNumberFormat="1" applyFont="1" applyFill="1" applyBorder="1"/>
    <xf numFmtId="10" fontId="4" fillId="0" borderId="0" xfId="0" applyNumberFormat="1" applyFont="1" applyFill="1" applyBorder="1"/>
    <xf numFmtId="165" fontId="3" fillId="0" borderId="0" xfId="0" applyNumberFormat="1" applyFont="1" applyFill="1" applyBorder="1"/>
    <xf numFmtId="41" fontId="4" fillId="0" borderId="6" xfId="0" applyNumberFormat="1" applyFont="1" applyFill="1" applyBorder="1"/>
    <xf numFmtId="41" fontId="4" fillId="0" borderId="8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/>
    <xf numFmtId="165" fontId="2" fillId="0" borderId="7" xfId="0" applyNumberFormat="1" applyFont="1" applyFill="1" applyBorder="1"/>
    <xf numFmtId="43" fontId="0" fillId="0" borderId="8" xfId="0" applyNumberFormat="1" applyFill="1" applyBorder="1"/>
    <xf numFmtId="10" fontId="0" fillId="0" borderId="0" xfId="1" applyNumberFormat="1" applyFont="1" applyFill="1"/>
    <xf numFmtId="165" fontId="2" fillId="0" borderId="8" xfId="0" applyNumberFormat="1" applyFont="1" applyFill="1" applyBorder="1"/>
    <xf numFmtId="10" fontId="0" fillId="0" borderId="14" xfId="1" applyNumberFormat="1" applyFont="1" applyFill="1" applyBorder="1"/>
    <xf numFmtId="165" fontId="0" fillId="0" borderId="0" xfId="0" applyNumberFormat="1" applyFill="1"/>
    <xf numFmtId="164" fontId="0" fillId="0" borderId="0" xfId="0" applyNumberFormat="1" applyFill="1"/>
    <xf numFmtId="10" fontId="11" fillId="3" borderId="13" xfId="1" applyNumberFormat="1" applyFont="1" applyFill="1" applyBorder="1"/>
    <xf numFmtId="43" fontId="2" fillId="0" borderId="0" xfId="0" applyNumberFormat="1" applyFont="1"/>
    <xf numFmtId="165" fontId="12" fillId="0" borderId="0" xfId="0" applyNumberFormat="1" applyFont="1"/>
    <xf numFmtId="165" fontId="13" fillId="0" borderId="0" xfId="0" applyNumberFormat="1" applyFont="1"/>
    <xf numFmtId="165" fontId="13" fillId="0" borderId="1" xfId="0" applyNumberFormat="1" applyFont="1" applyBorder="1"/>
    <xf numFmtId="165" fontId="13" fillId="0" borderId="3" xfId="0" applyNumberFormat="1" applyFont="1" applyBorder="1"/>
    <xf numFmtId="165" fontId="13" fillId="0" borderId="6" xfId="0" applyNumberFormat="1" applyFont="1" applyBorder="1"/>
    <xf numFmtId="165" fontId="13" fillId="0" borderId="9" xfId="0" applyNumberFormat="1" applyFont="1" applyBorder="1"/>
    <xf numFmtId="165" fontId="13" fillId="0" borderId="10" xfId="0" applyNumberFormat="1" applyFont="1" applyBorder="1" applyAlignment="1">
      <alignment horizontal="center"/>
    </xf>
    <xf numFmtId="165" fontId="13" fillId="0" borderId="12" xfId="0" applyNumberFormat="1" applyFont="1" applyBorder="1" applyAlignment="1">
      <alignment horizontal="center"/>
    </xf>
    <xf numFmtId="165" fontId="13" fillId="0" borderId="7" xfId="0" applyNumberFormat="1" applyFont="1" applyBorder="1"/>
    <xf numFmtId="166" fontId="13" fillId="0" borderId="8" xfId="0" applyNumberFormat="1" applyFont="1" applyBorder="1" applyAlignment="1">
      <alignment horizontal="center"/>
    </xf>
    <xf numFmtId="165" fontId="13" fillId="0" borderId="8" xfId="0" applyNumberFormat="1" applyFont="1" applyBorder="1"/>
    <xf numFmtId="165" fontId="13" fillId="0" borderId="0" xfId="0" applyNumberFormat="1" applyFont="1" applyBorder="1"/>
    <xf numFmtId="165" fontId="13" fillId="0" borderId="11" xfId="0" applyNumberFormat="1" applyFont="1" applyBorder="1"/>
    <xf numFmtId="165" fontId="14" fillId="0" borderId="7" xfId="0" applyNumberFormat="1" applyFont="1" applyBorder="1"/>
    <xf numFmtId="165" fontId="13" fillId="0" borderId="8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165" fontId="13" fillId="0" borderId="10" xfId="0" applyNumberFormat="1" applyFont="1" applyBorder="1"/>
    <xf numFmtId="165" fontId="13" fillId="4" borderId="7" xfId="0" applyNumberFormat="1" applyFont="1" applyFill="1" applyBorder="1"/>
    <xf numFmtId="165" fontId="13" fillId="4" borderId="8" xfId="0" applyNumberFormat="1" applyFont="1" applyFill="1" applyBorder="1"/>
    <xf numFmtId="164" fontId="15" fillId="4" borderId="7" xfId="0" applyNumberFormat="1" applyFont="1" applyFill="1" applyBorder="1"/>
    <xf numFmtId="164" fontId="15" fillId="4" borderId="6" xfId="0" applyNumberFormat="1" applyFont="1" applyFill="1" applyBorder="1"/>
    <xf numFmtId="164" fontId="15" fillId="4" borderId="8" xfId="0" applyNumberFormat="1" applyFont="1" applyFill="1" applyBorder="1"/>
    <xf numFmtId="164" fontId="13" fillId="0" borderId="7" xfId="0" applyNumberFormat="1" applyFont="1" applyBorder="1"/>
    <xf numFmtId="164" fontId="13" fillId="0" borderId="8" xfId="0" applyNumberFormat="1" applyFont="1" applyBorder="1"/>
    <xf numFmtId="164" fontId="13" fillId="0" borderId="11" xfId="0" applyNumberFormat="1" applyFont="1" applyBorder="1"/>
    <xf numFmtId="164" fontId="13" fillId="0" borderId="3" xfId="0" applyNumberFormat="1" applyFont="1" applyBorder="1"/>
    <xf numFmtId="164" fontId="13" fillId="0" borderId="6" xfId="0" applyNumberFormat="1" applyFont="1" applyBorder="1"/>
    <xf numFmtId="164" fontId="15" fillId="0" borderId="6" xfId="0" applyNumberFormat="1" applyFont="1" applyFill="1" applyBorder="1"/>
    <xf numFmtId="165" fontId="13" fillId="3" borderId="0" xfId="0" applyNumberFormat="1" applyFont="1" applyFill="1"/>
    <xf numFmtId="10" fontId="13" fillId="3" borderId="0" xfId="0" applyNumberFormat="1" applyFont="1" applyFill="1"/>
    <xf numFmtId="10" fontId="13" fillId="0" borderId="0" xfId="0" applyNumberFormat="1" applyFont="1"/>
    <xf numFmtId="165" fontId="15" fillId="0" borderId="3" xfId="0" applyNumberFormat="1" applyFont="1" applyBorder="1"/>
    <xf numFmtId="165" fontId="15" fillId="0" borderId="6" xfId="0" applyNumberFormat="1" applyFont="1" applyBorder="1"/>
    <xf numFmtId="165" fontId="15" fillId="0" borderId="0" xfId="0" applyNumberFormat="1" applyFont="1" applyBorder="1" applyAlignment="1">
      <alignment horizontal="center"/>
    </xf>
    <xf numFmtId="165" fontId="15" fillId="0" borderId="0" xfId="0" applyNumberFormat="1" applyFont="1"/>
    <xf numFmtId="0" fontId="4" fillId="3" borderId="0" xfId="0" applyFont="1" applyFill="1"/>
    <xf numFmtId="0" fontId="2" fillId="0" borderId="6" xfId="0" applyFont="1" applyBorder="1" applyAlignment="1">
      <alignment horizontal="center"/>
    </xf>
    <xf numFmtId="0" fontId="2" fillId="0" borderId="0" xfId="0" applyFont="1" applyFill="1" applyBorder="1"/>
    <xf numFmtId="0" fontId="16" fillId="0" borderId="0" xfId="0" quotePrefix="1" applyFont="1"/>
    <xf numFmtId="165" fontId="15" fillId="0" borderId="13" xfId="0" applyNumberFormat="1" applyFont="1" applyBorder="1" applyAlignment="1">
      <alignment horizontal="center"/>
    </xf>
    <xf numFmtId="165" fontId="13" fillId="5" borderId="9" xfId="0" applyNumberFormat="1" applyFont="1" applyFill="1" applyBorder="1"/>
    <xf numFmtId="165" fontId="13" fillId="5" borderId="10" xfId="0" applyNumberFormat="1" applyFont="1" applyFill="1" applyBorder="1"/>
    <xf numFmtId="10" fontId="13" fillId="5" borderId="1" xfId="0" applyNumberFormat="1" applyFont="1" applyFill="1" applyBorder="1"/>
    <xf numFmtId="10" fontId="13" fillId="5" borderId="10" xfId="0" applyNumberFormat="1" applyFont="1" applyFill="1" applyBorder="1"/>
    <xf numFmtId="0" fontId="16" fillId="0" borderId="11" xfId="0" applyFont="1" applyBorder="1" applyAlignment="1">
      <alignment horizontal="center"/>
    </xf>
    <xf numFmtId="0" fontId="2" fillId="0" borderId="0" xfId="0" applyFont="1" applyBorder="1"/>
    <xf numFmtId="43" fontId="2" fillId="0" borderId="0" xfId="0" applyNumberFormat="1" applyFont="1" applyBorder="1"/>
    <xf numFmtId="0" fontId="2" fillId="0" borderId="7" xfId="0" applyFont="1" applyBorder="1"/>
    <xf numFmtId="43" fontId="0" fillId="3" borderId="1" xfId="0" applyNumberFormat="1" applyFill="1" applyBorder="1"/>
    <xf numFmtId="165" fontId="0" fillId="0" borderId="1" xfId="0" applyNumberFormat="1" applyBorder="1"/>
    <xf numFmtId="164" fontId="0" fillId="4" borderId="0" xfId="0" applyNumberFormat="1" applyFill="1"/>
    <xf numFmtId="10" fontId="0" fillId="3" borderId="0" xfId="0" applyNumberFormat="1" applyFill="1"/>
    <xf numFmtId="164" fontId="0" fillId="0" borderId="1" xfId="0" applyNumberFormat="1" applyBorder="1" applyAlignment="1">
      <alignment horizontal="right"/>
    </xf>
    <xf numFmtId="165" fontId="0" fillId="0" borderId="6" xfId="0" applyNumberFormat="1" applyBorder="1"/>
    <xf numFmtId="43" fontId="0" fillId="0" borderId="3" xfId="0" applyNumberFormat="1" applyBorder="1" applyAlignment="1"/>
    <xf numFmtId="43" fontId="0" fillId="0" borderId="7" xfId="0" applyNumberFormat="1" applyBorder="1" applyAlignment="1"/>
    <xf numFmtId="43" fontId="0" fillId="0" borderId="17" xfId="0" applyNumberFormat="1" applyBorder="1" applyAlignment="1"/>
    <xf numFmtId="43" fontId="0" fillId="0" borderId="14" xfId="0" applyNumberFormat="1" applyBorder="1" applyAlignment="1"/>
    <xf numFmtId="43" fontId="0" fillId="0" borderId="6" xfId="0" applyNumberFormat="1" applyBorder="1" applyAlignment="1"/>
    <xf numFmtId="10" fontId="0" fillId="0" borderId="8" xfId="0" applyNumberFormat="1" applyBorder="1" applyAlignment="1"/>
    <xf numFmtId="10" fontId="0" fillId="0" borderId="13" xfId="0" applyNumberFormat="1" applyBorder="1" applyAlignment="1"/>
    <xf numFmtId="41" fontId="4" fillId="0" borderId="8" xfId="0" applyNumberFormat="1" applyFont="1" applyFill="1" applyBorder="1"/>
    <xf numFmtId="165" fontId="9" fillId="0" borderId="6" xfId="0" applyNumberFormat="1" applyFont="1" applyBorder="1"/>
    <xf numFmtId="165" fontId="3" fillId="0" borderId="7" xfId="0" applyNumberFormat="1" applyFont="1" applyFill="1" applyBorder="1"/>
    <xf numFmtId="165" fontId="0" fillId="0" borderId="8" xfId="1" applyNumberFormat="1" applyFont="1" applyFill="1" applyBorder="1"/>
    <xf numFmtId="165" fontId="0" fillId="0" borderId="10" xfId="1" applyNumberFormat="1" applyFont="1" applyFill="1" applyBorder="1"/>
    <xf numFmtId="165" fontId="4" fillId="0" borderId="13" xfId="1" applyNumberFormat="1" applyFont="1" applyFill="1" applyBorder="1" applyAlignment="1"/>
    <xf numFmtId="41" fontId="2" fillId="0" borderId="8" xfId="0" applyNumberFormat="1" applyFont="1" applyFill="1" applyBorder="1"/>
    <xf numFmtId="43" fontId="0" fillId="0" borderId="11" xfId="0" applyNumberFormat="1" applyBorder="1" applyAlignment="1"/>
    <xf numFmtId="165" fontId="9" fillId="0" borderId="7" xfId="0" applyNumberFormat="1" applyFont="1" applyBorder="1"/>
    <xf numFmtId="43" fontId="4" fillId="0" borderId="7" xfId="0" applyNumberFormat="1" applyFont="1" applyBorder="1" applyAlignment="1">
      <alignment horizontal="center"/>
    </xf>
    <xf numFmtId="43" fontId="4" fillId="0" borderId="11" xfId="1" quotePrefix="1" applyNumberFormat="1" applyFont="1" applyBorder="1" applyAlignment="1">
      <alignment horizontal="center"/>
    </xf>
    <xf numFmtId="10" fontId="4" fillId="0" borderId="8" xfId="1" quotePrefix="1" applyNumberFormat="1" applyFont="1" applyBorder="1" applyAlignment="1">
      <alignment horizontal="center"/>
    </xf>
    <xf numFmtId="10" fontId="0" fillId="3" borderId="8" xfId="0" applyNumberFormat="1" applyFill="1" applyBorder="1"/>
    <xf numFmtId="10" fontId="0" fillId="0" borderId="6" xfId="1" applyNumberFormat="1" applyFont="1" applyFill="1" applyBorder="1"/>
    <xf numFmtId="165" fontId="4" fillId="0" borderId="8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2" fillId="0" borderId="1" xfId="0" applyFont="1" applyBorder="1"/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3" fillId="2" borderId="13" xfId="0" applyNumberFormat="1" applyFont="1" applyFill="1" applyBorder="1"/>
    <xf numFmtId="164" fontId="3" fillId="2" borderId="14" xfId="0" applyNumberFormat="1" applyFont="1" applyFill="1" applyBorder="1"/>
    <xf numFmtId="164" fontId="0" fillId="0" borderId="1" xfId="0" applyNumberFormat="1" applyBorder="1"/>
    <xf numFmtId="43" fontId="3" fillId="4" borderId="0" xfId="0" applyNumberFormat="1" applyFont="1" applyFill="1" applyBorder="1"/>
    <xf numFmtId="43" fontId="2" fillId="0" borderId="0" xfId="0" quotePrefix="1" applyNumberFormat="1" applyFont="1" applyBorder="1"/>
    <xf numFmtId="165" fontId="3" fillId="0" borderId="16" xfId="0" applyNumberFormat="1" applyFont="1" applyBorder="1"/>
    <xf numFmtId="167" fontId="0" fillId="0" borderId="0" xfId="0" applyNumberFormat="1"/>
    <xf numFmtId="43" fontId="2" fillId="0" borderId="6" xfId="1" applyNumberFormat="1" applyFont="1" applyBorder="1" applyAlignment="1">
      <alignment horizontal="center"/>
    </xf>
    <xf numFmtId="43" fontId="2" fillId="0" borderId="10" xfId="1" quotePrefix="1" applyNumberFormat="1" applyFont="1" applyBorder="1" applyAlignment="1">
      <alignment horizontal="center"/>
    </xf>
    <xf numFmtId="165" fontId="2" fillId="0" borderId="10" xfId="0" quotePrefix="1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43" fontId="4" fillId="0" borderId="13" xfId="1" applyNumberFormat="1" applyFont="1" applyFill="1" applyBorder="1" applyAlignment="1"/>
    <xf numFmtId="43" fontId="4" fillId="0" borderId="4" xfId="0" applyNumberFormat="1" applyFont="1" applyFill="1" applyBorder="1"/>
    <xf numFmtId="10" fontId="0" fillId="0" borderId="4" xfId="0" applyNumberFormat="1" applyFill="1" applyBorder="1"/>
    <xf numFmtId="43" fontId="4" fillId="0" borderId="6" xfId="0" applyNumberFormat="1" applyFont="1" applyFill="1" applyBorder="1"/>
    <xf numFmtId="43" fontId="4" fillId="0" borderId="8" xfId="0" applyNumberFormat="1" applyFont="1" applyFill="1" applyBorder="1"/>
    <xf numFmtId="43" fontId="4" fillId="0" borderId="8" xfId="0" applyNumberFormat="1" applyFont="1" applyFill="1" applyBorder="1" applyAlignment="1">
      <alignment horizontal="center"/>
    </xf>
    <xf numFmtId="43" fontId="4" fillId="0" borderId="14" xfId="1" applyNumberFormat="1" applyFont="1" applyFill="1" applyBorder="1" applyAlignment="1"/>
    <xf numFmtId="165" fontId="0" fillId="0" borderId="8" xfId="0" applyNumberFormat="1" applyFill="1" applyBorder="1"/>
    <xf numFmtId="165" fontId="2" fillId="0" borderId="6" xfId="0" applyNumberFormat="1" applyFont="1" applyFill="1" applyBorder="1" applyAlignment="1">
      <alignment horizontal="center"/>
    </xf>
    <xf numFmtId="43" fontId="0" fillId="0" borderId="8" xfId="1" applyNumberFormat="1" applyFont="1" applyFill="1" applyBorder="1"/>
    <xf numFmtId="43" fontId="0" fillId="0" borderId="8" xfId="0" applyNumberFormat="1" applyBorder="1" applyAlignment="1"/>
    <xf numFmtId="164" fontId="3" fillId="0" borderId="0" xfId="0" applyNumberFormat="1" applyFont="1"/>
    <xf numFmtId="0" fontId="15" fillId="0" borderId="0" xfId="0" applyFont="1"/>
    <xf numFmtId="0" fontId="0" fillId="0" borderId="1" xfId="0" applyBorder="1" applyAlignment="1">
      <alignment horizontal="center"/>
    </xf>
    <xf numFmtId="43" fontId="0" fillId="0" borderId="1" xfId="0" applyNumberFormat="1" applyBorder="1" applyAlignment="1">
      <alignment horizontal="center"/>
    </xf>
    <xf numFmtId="0" fontId="18" fillId="0" borderId="0" xfId="0" applyFont="1"/>
    <xf numFmtId="0" fontId="2" fillId="0" borderId="0" xfId="0" applyFont="1" applyAlignment="1">
      <alignment horizontal="left"/>
    </xf>
    <xf numFmtId="43" fontId="19" fillId="0" borderId="0" xfId="0" applyNumberFormat="1" applyFont="1"/>
    <xf numFmtId="0" fontId="15" fillId="0" borderId="0" xfId="0" applyFont="1" applyAlignment="1">
      <alignment horizontal="center"/>
    </xf>
    <xf numFmtId="8" fontId="15" fillId="0" borderId="0" xfId="0" applyNumberFormat="1" applyFont="1"/>
    <xf numFmtId="0" fontId="13" fillId="0" borderId="0" xfId="0" applyFont="1"/>
    <xf numFmtId="8" fontId="13" fillId="0" borderId="0" xfId="0" applyNumberFormat="1" applyFont="1"/>
    <xf numFmtId="8" fontId="15" fillId="0" borderId="0" xfId="0" applyNumberFormat="1" applyFont="1" applyAlignment="1">
      <alignment horizontal="center"/>
    </xf>
    <xf numFmtId="14" fontId="15" fillId="0" borderId="0" xfId="0" applyNumberFormat="1" applyFont="1" applyAlignment="1">
      <alignment horizontal="center"/>
    </xf>
    <xf numFmtId="14" fontId="13" fillId="0" borderId="0" xfId="0" applyNumberFormat="1" applyFont="1"/>
    <xf numFmtId="0" fontId="13" fillId="0" borderId="0" xfId="0" applyFont="1" applyFill="1" applyAlignment="1">
      <alignment horizontal="right"/>
    </xf>
    <xf numFmtId="43" fontId="13" fillId="0" borderId="0" xfId="0" applyNumberFormat="1" applyFont="1"/>
    <xf numFmtId="43" fontId="2" fillId="0" borderId="0" xfId="0" applyNumberFormat="1" applyFont="1" applyAlignment="1">
      <alignment horizontal="center"/>
    </xf>
    <xf numFmtId="43" fontId="0" fillId="0" borderId="0" xfId="0" applyNumberFormat="1" applyAlignment="1"/>
    <xf numFmtId="43" fontId="1" fillId="0" borderId="0" xfId="0" applyNumberFormat="1" applyFont="1"/>
    <xf numFmtId="43" fontId="3" fillId="0" borderId="15" xfId="0" applyNumberFormat="1" applyFont="1" applyBorder="1"/>
    <xf numFmtId="49" fontId="13" fillId="0" borderId="0" xfId="0" applyNumberFormat="1" applyFont="1" applyBorder="1" applyAlignment="1">
      <alignment horizontal="center"/>
    </xf>
    <xf numFmtId="165" fontId="13" fillId="0" borderId="13" xfId="0" applyNumberFormat="1" applyFont="1" applyBorder="1"/>
    <xf numFmtId="0" fontId="3" fillId="0" borderId="0" xfId="0" applyFont="1" applyBorder="1"/>
    <xf numFmtId="43" fontId="0" fillId="6" borderId="0" xfId="0" applyNumberFormat="1" applyFill="1"/>
    <xf numFmtId="43" fontId="0" fillId="6" borderId="15" xfId="0" applyNumberFormat="1" applyFill="1" applyBorder="1"/>
    <xf numFmtId="0" fontId="13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0" xfId="0" applyFont="1" applyFill="1"/>
    <xf numFmtId="0" fontId="13" fillId="0" borderId="0" xfId="0" applyFont="1" applyFill="1" applyAlignment="1">
      <alignment horizontal="center"/>
    </xf>
    <xf numFmtId="43" fontId="15" fillId="0" borderId="0" xfId="0" applyNumberFormat="1" applyFont="1" applyFill="1"/>
    <xf numFmtId="8" fontId="15" fillId="0" borderId="0" xfId="0" applyNumberFormat="1" applyFont="1" applyFill="1"/>
    <xf numFmtId="0" fontId="13" fillId="0" borderId="0" xfId="0" applyFont="1" applyFill="1"/>
    <xf numFmtId="0" fontId="15" fillId="0" borderId="0" xfId="0" applyFont="1" applyFill="1" applyAlignment="1">
      <alignment horizontal="center"/>
    </xf>
    <xf numFmtId="43" fontId="15" fillId="0" borderId="0" xfId="0" applyNumberFormat="1" applyFont="1" applyFill="1" applyAlignment="1">
      <alignment horizontal="center"/>
    </xf>
    <xf numFmtId="14" fontId="15" fillId="0" borderId="0" xfId="0" applyNumberFormat="1" applyFont="1" applyFill="1" applyAlignment="1">
      <alignment horizontal="center"/>
    </xf>
    <xf numFmtId="43" fontId="13" fillId="0" borderId="0" xfId="0" applyNumberFormat="1" applyFont="1" applyFill="1"/>
    <xf numFmtId="0" fontId="20" fillId="0" borderId="0" xfId="0" applyFont="1" applyFill="1" applyAlignment="1">
      <alignment horizontal="center"/>
    </xf>
    <xf numFmtId="43" fontId="21" fillId="0" borderId="0" xfId="0" applyNumberFormat="1" applyFont="1" applyFill="1"/>
    <xf numFmtId="43" fontId="13" fillId="0" borderId="0" xfId="0" applyNumberFormat="1" applyFont="1" applyFill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1" xfId="0" applyFont="1" applyFill="1" applyBorder="1"/>
    <xf numFmtId="0" fontId="22" fillId="0" borderId="0" xfId="0" applyFont="1" applyFill="1" applyAlignment="1">
      <alignment horizontal="right"/>
    </xf>
    <xf numFmtId="43" fontId="22" fillId="0" borderId="0" xfId="0" applyNumberFormat="1" applyFont="1" applyFill="1"/>
    <xf numFmtId="0" fontId="22" fillId="0" borderId="0" xfId="0" applyFont="1" applyFill="1"/>
    <xf numFmtId="0" fontId="23" fillId="0" borderId="0" xfId="0" applyFont="1" applyFill="1" applyAlignment="1">
      <alignment horizontal="right"/>
    </xf>
    <xf numFmtId="43" fontId="23" fillId="0" borderId="0" xfId="0" applyNumberFormat="1" applyFont="1" applyFill="1"/>
    <xf numFmtId="0" fontId="23" fillId="0" borderId="0" xfId="0" applyFont="1" applyFill="1" applyAlignment="1">
      <alignment horizontal="left"/>
    </xf>
    <xf numFmtId="0" fontId="13" fillId="0" borderId="1" xfId="0" applyFont="1" applyFill="1" applyBorder="1" applyAlignment="1">
      <alignment horizontal="left"/>
    </xf>
    <xf numFmtId="165" fontId="2" fillId="3" borderId="13" xfId="0" applyNumberFormat="1" applyFont="1" applyFill="1" applyBorder="1" applyAlignment="1">
      <alignment horizontal="center"/>
    </xf>
    <xf numFmtId="165" fontId="2" fillId="3" borderId="10" xfId="0" applyNumberFormat="1" applyFont="1" applyFill="1" applyBorder="1" applyAlignment="1">
      <alignment horizontal="center"/>
    </xf>
    <xf numFmtId="165" fontId="2" fillId="4" borderId="13" xfId="0" applyNumberFormat="1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5" fontId="13" fillId="7" borderId="8" xfId="0" applyNumberFormat="1" applyFont="1" applyFill="1" applyBorder="1"/>
    <xf numFmtId="165" fontId="13" fillId="7" borderId="10" xfId="0" applyNumberFormat="1" applyFont="1" applyFill="1" applyBorder="1"/>
    <xf numFmtId="165" fontId="13" fillId="6" borderId="0" xfId="0" applyNumberFormat="1" applyFont="1" applyFill="1" applyBorder="1"/>
    <xf numFmtId="165" fontId="13" fillId="6" borderId="10" xfId="0" applyNumberFormat="1" applyFont="1" applyFill="1" applyBorder="1"/>
    <xf numFmtId="165" fontId="13" fillId="7" borderId="9" xfId="0" applyNumberFormat="1" applyFont="1" applyFill="1" applyBorder="1"/>
    <xf numFmtId="165" fontId="13" fillId="7" borderId="7" xfId="0" applyNumberFormat="1" applyFont="1" applyFill="1" applyBorder="1"/>
    <xf numFmtId="165" fontId="13" fillId="8" borderId="10" xfId="0" applyNumberFormat="1" applyFont="1" applyFill="1" applyBorder="1"/>
    <xf numFmtId="165" fontId="2" fillId="0" borderId="13" xfId="0" applyNumberFormat="1" applyFont="1" applyFill="1" applyBorder="1" applyAlignment="1">
      <alignment horizontal="right"/>
    </xf>
    <xf numFmtId="165" fontId="2" fillId="4" borderId="10" xfId="0" applyNumberFormat="1" applyFont="1" applyFill="1" applyBorder="1" applyAlignment="1">
      <alignment horizontal="right"/>
    </xf>
    <xf numFmtId="43" fontId="0" fillId="6" borderId="1" xfId="0" applyNumberFormat="1" applyFill="1" applyBorder="1"/>
    <xf numFmtId="164" fontId="2" fillId="0" borderId="0" xfId="0" applyNumberFormat="1" applyFont="1"/>
    <xf numFmtId="0" fontId="13" fillId="0" borderId="0" xfId="0" applyFont="1" applyAlignment="1">
      <alignment horizontal="left"/>
    </xf>
    <xf numFmtId="0" fontId="13" fillId="0" borderId="1" xfId="0" applyFont="1" applyBorder="1"/>
    <xf numFmtId="43" fontId="4" fillId="0" borderId="3" xfId="0" applyNumberFormat="1" applyFont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165" fontId="15" fillId="0" borderId="17" xfId="0" applyNumberFormat="1" applyFont="1" applyBorder="1" applyAlignment="1">
      <alignment horizontal="center"/>
    </xf>
    <xf numFmtId="165" fontId="15" fillId="0" borderId="20" xfId="0" applyNumberFormat="1" applyFont="1" applyBorder="1" applyAlignment="1">
      <alignment horizontal="center"/>
    </xf>
    <xf numFmtId="165" fontId="15" fillId="0" borderId="14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"/>
  <sheetViews>
    <sheetView workbookViewId="0">
      <selection activeCell="D95" sqref="D95"/>
    </sheetView>
  </sheetViews>
  <sheetFormatPr defaultRowHeight="12.45"/>
  <cols>
    <col min="1" max="1" width="31.84375" customWidth="1"/>
    <col min="2" max="2" width="12.69140625" customWidth="1"/>
    <col min="3" max="3" width="12.3046875" customWidth="1"/>
    <col min="4" max="4" width="12.15234375" customWidth="1"/>
    <col min="5" max="5" width="14.53515625" customWidth="1"/>
    <col min="6" max="6" width="10.69140625" customWidth="1"/>
  </cols>
  <sheetData>
    <row r="1" spans="1:5">
      <c r="A1" s="290" t="s">
        <v>89</v>
      </c>
      <c r="B1" s="290"/>
      <c r="C1" s="290"/>
      <c r="D1" s="290"/>
      <c r="E1" s="290"/>
    </row>
    <row r="2" spans="1:5">
      <c r="A2" s="1"/>
      <c r="B2" s="1"/>
      <c r="C2" s="1"/>
      <c r="D2" s="1"/>
      <c r="E2" s="1"/>
    </row>
    <row r="3" spans="1:5">
      <c r="A3" s="290" t="s">
        <v>0</v>
      </c>
      <c r="B3" s="290"/>
      <c r="C3" s="290"/>
      <c r="D3" s="290"/>
      <c r="E3" s="290"/>
    </row>
    <row r="4" spans="1:5">
      <c r="A4" s="290" t="s">
        <v>264</v>
      </c>
      <c r="B4" s="290"/>
      <c r="C4" s="290"/>
      <c r="D4" s="290"/>
      <c r="E4" s="290"/>
    </row>
    <row r="6" spans="1:5">
      <c r="D6" s="2" t="s">
        <v>1</v>
      </c>
      <c r="E6" s="2" t="s">
        <v>1</v>
      </c>
    </row>
    <row r="7" spans="1:5">
      <c r="A7" s="84" t="s">
        <v>120</v>
      </c>
      <c r="D7" s="3"/>
      <c r="E7" s="112">
        <f>739554.62-666201.09-6632.89</f>
        <v>66720.640000000029</v>
      </c>
    </row>
    <row r="8" spans="1:5">
      <c r="A8" s="54" t="s">
        <v>119</v>
      </c>
      <c r="D8" s="3"/>
      <c r="E8" s="3"/>
    </row>
    <row r="9" spans="1:5">
      <c r="A9" s="4" t="s">
        <v>109</v>
      </c>
      <c r="D9" s="3"/>
      <c r="E9" s="3"/>
    </row>
    <row r="10" spans="1:5">
      <c r="A10" t="s">
        <v>113</v>
      </c>
      <c r="D10" s="3"/>
      <c r="E10" s="52">
        <f>43655.52+29698.01-6632.89</f>
        <v>66720.639999999999</v>
      </c>
    </row>
    <row r="11" spans="1:5">
      <c r="D11" s="3"/>
      <c r="E11" s="78">
        <f>+E7-E10</f>
        <v>0</v>
      </c>
    </row>
    <row r="12" spans="1:5">
      <c r="D12" s="3"/>
      <c r="E12" s="3"/>
    </row>
    <row r="13" spans="1:5">
      <c r="A13" s="4" t="s">
        <v>3</v>
      </c>
      <c r="D13" s="3"/>
      <c r="E13" s="3"/>
    </row>
    <row r="14" spans="1:5" s="84" customFormat="1">
      <c r="A14" s="84" t="s">
        <v>114</v>
      </c>
      <c r="D14" s="114">
        <f>'Exempt Inc Calc'!D9</f>
        <v>4579.42</v>
      </c>
      <c r="E14" s="114"/>
    </row>
    <row r="15" spans="1:5">
      <c r="A15" s="84" t="s">
        <v>266</v>
      </c>
      <c r="D15" s="114">
        <f>'Exempt Inc Calc'!D13</f>
        <v>13782.36</v>
      </c>
      <c r="E15" s="3"/>
    </row>
    <row r="16" spans="1:5">
      <c r="A16" s="84" t="s">
        <v>268</v>
      </c>
      <c r="D16" s="3">
        <f>'Exempt Inc Calc'!D17</f>
        <v>634.01</v>
      </c>
      <c r="E16" s="3"/>
    </row>
    <row r="17" spans="1:6">
      <c r="A17" s="84" t="s">
        <v>267</v>
      </c>
      <c r="D17" s="3">
        <f>'Exempt Inc Calc'!D19</f>
        <v>4404.1400000000003</v>
      </c>
      <c r="E17" s="3"/>
    </row>
    <row r="18" spans="1:6">
      <c r="A18" s="84" t="s">
        <v>116</v>
      </c>
      <c r="D18" s="164">
        <v>0</v>
      </c>
      <c r="E18" s="3"/>
    </row>
    <row r="19" spans="1:6">
      <c r="D19" s="3"/>
      <c r="E19" s="6">
        <f>SUM(D14:D18)</f>
        <v>23399.929999999997</v>
      </c>
      <c r="F19" s="97"/>
    </row>
    <row r="20" spans="1:6">
      <c r="D20" s="3"/>
      <c r="E20" s="165">
        <f>+E11+E19</f>
        <v>23399.929999999997</v>
      </c>
      <c r="F20" s="111"/>
    </row>
    <row r="21" spans="1:6">
      <c r="A21" s="4" t="s">
        <v>2</v>
      </c>
      <c r="D21" s="3"/>
      <c r="E21" s="3"/>
      <c r="F21" s="97"/>
    </row>
    <row r="22" spans="1:6">
      <c r="A22" s="150" t="s">
        <v>65</v>
      </c>
      <c r="B22" s="166"/>
      <c r="C22" s="7"/>
      <c r="D22" s="3"/>
      <c r="E22" s="163">
        <f>+'Exempt Inc Calc'!D29</f>
        <v>9266.3722799999996</v>
      </c>
      <c r="F22" s="97"/>
    </row>
    <row r="23" spans="1:6">
      <c r="A23" s="4"/>
      <c r="B23" s="7"/>
      <c r="C23" s="7"/>
      <c r="D23" s="3"/>
      <c r="E23" s="10">
        <f>E20-E22</f>
        <v>14133.557719999997</v>
      </c>
      <c r="F23" s="97"/>
    </row>
    <row r="24" spans="1:6">
      <c r="A24" s="84" t="s">
        <v>118</v>
      </c>
      <c r="B24" s="7"/>
      <c r="C24" s="7"/>
      <c r="D24" s="3"/>
      <c r="E24" s="284">
        <f>'Exempt Inc Calc'!C49</f>
        <v>4582.3768369778281</v>
      </c>
      <c r="F24" s="97"/>
    </row>
    <row r="25" spans="1:6" ht="12.9" thickBot="1">
      <c r="D25" s="3"/>
      <c r="E25" s="201">
        <f>E23-E24</f>
        <v>9551.1808830221689</v>
      </c>
      <c r="F25" s="111"/>
    </row>
    <row r="26" spans="1:6" ht="12.9" thickTop="1">
      <c r="D26" s="3"/>
      <c r="E26" s="102"/>
      <c r="F26" s="111"/>
    </row>
    <row r="27" spans="1:6">
      <c r="A27" s="4" t="s">
        <v>3</v>
      </c>
      <c r="D27" s="3"/>
      <c r="E27" s="3"/>
      <c r="F27" s="97"/>
    </row>
    <row r="28" spans="1:6">
      <c r="A28" t="s">
        <v>5</v>
      </c>
      <c r="B28" s="84" t="s">
        <v>90</v>
      </c>
      <c r="D28" s="10">
        <v>1129</v>
      </c>
    </row>
    <row r="29" spans="1:6">
      <c r="B29" s="84" t="s">
        <v>91</v>
      </c>
      <c r="D29" s="6">
        <v>2275</v>
      </c>
    </row>
    <row r="30" spans="1:6">
      <c r="B30" s="84"/>
      <c r="D30" s="10">
        <f>SUM(D28:D29)</f>
        <v>3404</v>
      </c>
    </row>
    <row r="31" spans="1:6">
      <c r="A31" t="s">
        <v>107</v>
      </c>
      <c r="B31" s="84" t="s">
        <v>90</v>
      </c>
      <c r="D31" s="10">
        <v>0</v>
      </c>
    </row>
    <row r="32" spans="1:6">
      <c r="B32" s="84" t="s">
        <v>91</v>
      </c>
      <c r="D32" s="6">
        <v>2000</v>
      </c>
    </row>
    <row r="33" spans="1:5">
      <c r="D33" s="3">
        <f>SUM(D31:D32)</f>
        <v>2000</v>
      </c>
      <c r="E33" s="6">
        <f>D30+D33</f>
        <v>5404</v>
      </c>
    </row>
    <row r="34" spans="1:5">
      <c r="D34" s="3"/>
      <c r="E34" s="10"/>
    </row>
    <row r="35" spans="1:5">
      <c r="A35" s="4" t="s">
        <v>6</v>
      </c>
      <c r="D35" s="3"/>
      <c r="E35" s="55">
        <f>+E25+E33</f>
        <v>14955.180883022169</v>
      </c>
    </row>
    <row r="36" spans="1:5">
      <c r="D36" s="3"/>
      <c r="E36" s="3"/>
    </row>
    <row r="37" spans="1:5">
      <c r="D37" s="3"/>
      <c r="E37" s="3"/>
    </row>
    <row r="38" spans="1:5">
      <c r="A38" s="290" t="s">
        <v>7</v>
      </c>
      <c r="B38" s="290"/>
      <c r="C38" s="290"/>
      <c r="D38" s="290"/>
      <c r="E38" s="290"/>
    </row>
    <row r="39" spans="1:5">
      <c r="D39" s="3"/>
      <c r="E39" s="3"/>
    </row>
    <row r="40" spans="1:5">
      <c r="A40" t="s">
        <v>8</v>
      </c>
      <c r="B40" s="202">
        <f>E25</f>
        <v>9551.1808830221689</v>
      </c>
      <c r="C40" s="9" t="s">
        <v>9</v>
      </c>
      <c r="D40" s="3"/>
      <c r="E40" s="285">
        <v>1432.65</v>
      </c>
    </row>
    <row r="41" spans="1:5">
      <c r="A41" t="s">
        <v>108</v>
      </c>
      <c r="B41" s="8">
        <v>2000</v>
      </c>
      <c r="C41" s="9" t="s">
        <v>9</v>
      </c>
      <c r="D41" s="3"/>
      <c r="E41" s="27">
        <f>+B41*0.15</f>
        <v>300</v>
      </c>
    </row>
    <row r="42" spans="1:5">
      <c r="A42" t="s">
        <v>10</v>
      </c>
      <c r="B42" s="8">
        <f>ROUND(D30,0)</f>
        <v>3404</v>
      </c>
      <c r="C42" s="9" t="s">
        <v>9</v>
      </c>
      <c r="D42" s="3"/>
      <c r="E42" s="167">
        <f>+B42*0.15</f>
        <v>510.59999999999997</v>
      </c>
    </row>
    <row r="43" spans="1:5">
      <c r="B43" s="8"/>
      <c r="C43" s="9"/>
      <c r="D43" s="3"/>
      <c r="E43" s="3">
        <f>SUM(E40:E42)</f>
        <v>2243.25</v>
      </c>
    </row>
    <row r="44" spans="1:5">
      <c r="B44" s="8"/>
      <c r="C44" s="9"/>
      <c r="D44" s="3"/>
      <c r="E44" s="3"/>
    </row>
    <row r="45" spans="1:5">
      <c r="A45" s="4" t="s">
        <v>2</v>
      </c>
      <c r="D45" s="3"/>
      <c r="E45" s="3"/>
    </row>
    <row r="46" spans="1:5">
      <c r="A46" s="5" t="s">
        <v>11</v>
      </c>
      <c r="D46" s="3"/>
      <c r="E46" s="10"/>
    </row>
    <row r="47" spans="1:5">
      <c r="A47" s="84" t="s">
        <v>106</v>
      </c>
      <c r="D47" s="10">
        <f>'Exempt Inc Calc'!C19</f>
        <v>596.78</v>
      </c>
      <c r="E47" s="10"/>
    </row>
    <row r="48" spans="1:5">
      <c r="A48" s="84" t="s">
        <v>110</v>
      </c>
      <c r="D48" s="6">
        <v>0</v>
      </c>
      <c r="E48" s="10"/>
    </row>
    <row r="49" spans="1:5">
      <c r="A49" s="5"/>
      <c r="D49" s="3"/>
      <c r="E49" s="37">
        <f>D47+D48</f>
        <v>596.78</v>
      </c>
    </row>
    <row r="50" spans="1:5">
      <c r="A50" s="5"/>
      <c r="D50" s="3"/>
      <c r="E50" s="3">
        <f>+E43-E49</f>
        <v>1646.47</v>
      </c>
    </row>
    <row r="51" spans="1:5">
      <c r="A51" t="s">
        <v>35</v>
      </c>
      <c r="D51" s="3"/>
      <c r="E51" s="3"/>
    </row>
    <row r="52" spans="1:5">
      <c r="A52" s="84" t="s">
        <v>129</v>
      </c>
      <c r="D52" s="3">
        <f>'Exempt Inc Calc'!C13</f>
        <v>3756.6400000000003</v>
      </c>
      <c r="E52" s="3"/>
    </row>
    <row r="53" spans="1:5">
      <c r="A53" t="s">
        <v>104</v>
      </c>
      <c r="D53" s="6">
        <f>'Exempt Inc Calc'!C17</f>
        <v>0.39</v>
      </c>
      <c r="E53" s="3"/>
    </row>
    <row r="54" spans="1:5">
      <c r="D54" s="3"/>
      <c r="E54" s="6">
        <f>D52+D53</f>
        <v>3757.03</v>
      </c>
    </row>
    <row r="55" spans="1:5">
      <c r="D55" s="3"/>
      <c r="E55" s="32">
        <f>E50-E54</f>
        <v>-2110.5600000000004</v>
      </c>
    </row>
    <row r="56" spans="1:5">
      <c r="A56" t="s">
        <v>36</v>
      </c>
      <c r="D56" s="3">
        <v>0</v>
      </c>
      <c r="E56" s="3">
        <v>0</v>
      </c>
    </row>
    <row r="57" spans="1:5">
      <c r="E57" s="3"/>
    </row>
    <row r="58" spans="1:5">
      <c r="A58" t="s">
        <v>37</v>
      </c>
      <c r="E58" s="6">
        <v>2664</v>
      </c>
    </row>
    <row r="59" spans="1:5">
      <c r="D59" s="3"/>
      <c r="E59" s="92">
        <f>E55-E56-E58</f>
        <v>-4774.5600000000004</v>
      </c>
    </row>
    <row r="60" spans="1:5">
      <c r="D60" s="3"/>
      <c r="E60" s="43"/>
    </row>
    <row r="61" spans="1:5" s="4" customFormat="1">
      <c r="A61" s="4" t="s">
        <v>66</v>
      </c>
      <c r="D61" s="44"/>
      <c r="E61" s="12"/>
    </row>
    <row r="62" spans="1:5" s="4" customFormat="1">
      <c r="A62" s="5" t="s">
        <v>67</v>
      </c>
      <c r="D62" s="44"/>
      <c r="E62" s="45">
        <v>259</v>
      </c>
    </row>
    <row r="63" spans="1:5">
      <c r="D63" s="3"/>
      <c r="E63" s="3"/>
    </row>
    <row r="64" spans="1:5" ht="12.9" thickBot="1">
      <c r="A64" s="4" t="s">
        <v>121</v>
      </c>
      <c r="D64" s="3"/>
      <c r="E64" s="11">
        <f>E59+E62</f>
        <v>-4515.5600000000004</v>
      </c>
    </row>
    <row r="65" spans="1:6" ht="12.9" thickTop="1">
      <c r="A65" s="4"/>
      <c r="D65" s="3"/>
      <c r="E65" s="12"/>
    </row>
    <row r="66" spans="1:6">
      <c r="A66" s="4"/>
      <c r="D66" s="3"/>
      <c r="E66" s="12"/>
    </row>
    <row r="67" spans="1:6">
      <c r="A67" s="12"/>
      <c r="D67" s="3"/>
      <c r="E67" s="12"/>
    </row>
    <row r="68" spans="1:6" ht="13.75" customHeight="1">
      <c r="A68" s="168"/>
      <c r="B68" s="288" t="s">
        <v>84</v>
      </c>
      <c r="C68" s="289"/>
      <c r="D68" s="69" t="s">
        <v>13</v>
      </c>
      <c r="E68" s="291" t="s">
        <v>81</v>
      </c>
      <c r="F68" s="292"/>
    </row>
    <row r="69" spans="1:6" ht="13.75" customHeight="1">
      <c r="A69" s="12" t="s">
        <v>80</v>
      </c>
      <c r="B69" s="70" t="s">
        <v>86</v>
      </c>
      <c r="C69" s="71" t="s">
        <v>83</v>
      </c>
      <c r="D69" s="72" t="s">
        <v>79</v>
      </c>
      <c r="E69" s="67" t="s">
        <v>79</v>
      </c>
      <c r="F69" s="67" t="s">
        <v>83</v>
      </c>
    </row>
    <row r="70" spans="1:6" ht="13.75" customHeight="1">
      <c r="A70" s="177" t="s">
        <v>85</v>
      </c>
      <c r="B70" s="169"/>
      <c r="C70" s="173"/>
      <c r="D70" s="68"/>
      <c r="E70" s="20"/>
      <c r="F70" s="82"/>
    </row>
    <row r="71" spans="1:6" ht="13.75" customHeight="1">
      <c r="A71" s="94" t="s">
        <v>278</v>
      </c>
      <c r="B71" s="170">
        <f>'Dist %'!D54</f>
        <v>64572.95999999997</v>
      </c>
      <c r="C71" s="174">
        <f>+B71/B73</f>
        <v>0.22824858096711589</v>
      </c>
      <c r="D71" s="68">
        <f>E73*C71</f>
        <v>6030.6409948822484</v>
      </c>
      <c r="E71" s="20"/>
      <c r="F71" s="82"/>
    </row>
    <row r="72" spans="1:6" ht="13.75" customHeight="1">
      <c r="A72" s="94" t="s">
        <v>279</v>
      </c>
      <c r="B72" s="170">
        <f>'Dist %'!C54</f>
        <v>218333.33333333334</v>
      </c>
      <c r="C72" s="174">
        <f>+B72/B73</f>
        <v>0.77175141903288402</v>
      </c>
      <c r="D72" s="68">
        <f>E73*C72</f>
        <v>20390.732445117763</v>
      </c>
      <c r="E72" s="20"/>
      <c r="F72" s="82"/>
    </row>
    <row r="73" spans="1:6" ht="13.75" customHeight="1">
      <c r="A73" s="94"/>
      <c r="B73" s="171">
        <f>SUM(B71:B72)</f>
        <v>282906.29333333333</v>
      </c>
      <c r="C73" s="175">
        <f>SUM(C71:C72)</f>
        <v>0.99999999999999989</v>
      </c>
      <c r="D73" s="172">
        <f>SUM(D71:D72)</f>
        <v>26421.37344000001</v>
      </c>
      <c r="E73" s="20">
        <f>E7*F73</f>
        <v>26421.373440000014</v>
      </c>
      <c r="F73" s="188">
        <f>'Exempt Inc Calc'!C29</f>
        <v>0.39600000000000002</v>
      </c>
    </row>
    <row r="74" spans="1:6" ht="13.75" customHeight="1">
      <c r="A74" s="93"/>
      <c r="B74" s="170"/>
      <c r="C74" s="174"/>
      <c r="D74" s="183"/>
      <c r="E74" s="21"/>
      <c r="F74" s="82"/>
    </row>
    <row r="75" spans="1:6" ht="13.75" customHeight="1">
      <c r="A75" s="184" t="s">
        <v>82</v>
      </c>
      <c r="B75" s="185"/>
      <c r="C75" s="187"/>
      <c r="D75" s="186"/>
      <c r="E75" s="21"/>
      <c r="F75" s="81"/>
    </row>
    <row r="76" spans="1:6" ht="13.75" customHeight="1">
      <c r="A76" s="94" t="s">
        <v>92</v>
      </c>
      <c r="B76" s="20">
        <f>'Dist %'!F54</f>
        <v>709.76249999999993</v>
      </c>
      <c r="C76" s="73">
        <f>+B76/B79</f>
        <v>1.733059744647209E-3</v>
      </c>
      <c r="D76" s="74">
        <f>$E$79*C76</f>
        <v>69.841036613943444</v>
      </c>
      <c r="E76" s="20"/>
      <c r="F76" s="81"/>
    </row>
    <row r="77" spans="1:6" ht="13.75" customHeight="1">
      <c r="A77" s="94" t="s">
        <v>93</v>
      </c>
      <c r="B77" s="20">
        <f>+'Dist %'!I54</f>
        <v>221957.845</v>
      </c>
      <c r="C77" s="73">
        <f>B77/B79</f>
        <v>0.54196467998541042</v>
      </c>
      <c r="D77" s="74">
        <f>$E$79*C77</f>
        <v>21840.779104837162</v>
      </c>
      <c r="E77" s="20"/>
      <c r="F77" s="81"/>
    </row>
    <row r="78" spans="1:6" ht="13.75" customHeight="1">
      <c r="A78" s="94" t="s">
        <v>122</v>
      </c>
      <c r="B78" s="20">
        <f>'Dist %'!H54</f>
        <v>186875.39999999994</v>
      </c>
      <c r="C78" s="73">
        <f>+B78/B79</f>
        <v>0.45630226026994236</v>
      </c>
      <c r="D78" s="74">
        <f>$E$79*C78</f>
        <v>18388.646418548913</v>
      </c>
      <c r="E78" s="20"/>
      <c r="F78" s="81"/>
    </row>
    <row r="79" spans="1:6" ht="13.75" customHeight="1">
      <c r="A79" s="66"/>
      <c r="B79" s="49">
        <f>SUM(B76:B78)</f>
        <v>409543.00749999995</v>
      </c>
      <c r="C79" s="75">
        <f>SUM(C76:C78)</f>
        <v>1</v>
      </c>
      <c r="D79" s="76">
        <f>SUM(D76:D78)</f>
        <v>40299.266560000018</v>
      </c>
      <c r="E79" s="20">
        <f>E7*F79</f>
        <v>40299.266560000018</v>
      </c>
      <c r="F79" s="82">
        <f>F80-F73</f>
        <v>0.60399999999999998</v>
      </c>
    </row>
    <row r="80" spans="1:6" ht="13.75" customHeight="1">
      <c r="A80" s="77"/>
      <c r="B80" s="78"/>
      <c r="C80" s="75"/>
      <c r="D80" s="79"/>
      <c r="E80" s="48">
        <f>SUM(E70:E79)</f>
        <v>66720.640000000029</v>
      </c>
      <c r="F80" s="83">
        <v>1</v>
      </c>
    </row>
    <row r="81" spans="1:6" ht="13.75" customHeight="1">
      <c r="A81" s="12"/>
      <c r="B81" s="10"/>
      <c r="C81" s="29"/>
      <c r="D81" s="30"/>
      <c r="E81" s="13"/>
      <c r="F81" s="80"/>
    </row>
    <row r="82" spans="1:6" ht="13.75" customHeight="1">
      <c r="A82" s="12"/>
      <c r="B82" s="10"/>
      <c r="C82" s="29"/>
      <c r="D82" s="113">
        <f>'Exempt Inc Calc'!C29</f>
        <v>0.39600000000000002</v>
      </c>
      <c r="E82" s="200" t="s">
        <v>225</v>
      </c>
      <c r="F82" s="80"/>
    </row>
    <row r="83" spans="1:6" ht="13.75" customHeight="1">
      <c r="A83" s="12"/>
      <c r="B83" s="10"/>
      <c r="C83" s="29"/>
      <c r="D83" s="30"/>
      <c r="E83" s="13"/>
      <c r="F83" s="80"/>
    </row>
    <row r="84" spans="1:6" s="97" customFormat="1" ht="13.75" customHeight="1">
      <c r="A84" s="98"/>
      <c r="B84" s="52"/>
      <c r="C84" s="95"/>
      <c r="D84" s="99"/>
      <c r="E84" s="100"/>
      <c r="F84" s="101"/>
    </row>
    <row r="85" spans="1:6" s="97" customFormat="1" ht="13.75" customHeight="1">
      <c r="A85" s="168"/>
      <c r="B85" s="288" t="s">
        <v>84</v>
      </c>
      <c r="C85" s="289"/>
      <c r="D85" s="203" t="s">
        <v>131</v>
      </c>
      <c r="E85" s="206" t="s">
        <v>131</v>
      </c>
      <c r="F85" s="215" t="s">
        <v>134</v>
      </c>
    </row>
    <row r="86" spans="1:6" s="97" customFormat="1" ht="13.75" customHeight="1">
      <c r="A86" s="178" t="s">
        <v>88</v>
      </c>
      <c r="B86" s="70" t="s">
        <v>86</v>
      </c>
      <c r="C86" s="71" t="s">
        <v>83</v>
      </c>
      <c r="D86" s="204" t="s">
        <v>132</v>
      </c>
      <c r="E86" s="205" t="s">
        <v>133</v>
      </c>
      <c r="F86" s="205" t="s">
        <v>79</v>
      </c>
    </row>
    <row r="87" spans="1:6" s="97" customFormat="1" ht="13.75" customHeight="1">
      <c r="A87" s="177" t="s">
        <v>85</v>
      </c>
      <c r="B87" s="169"/>
      <c r="C87" s="173"/>
      <c r="D87" s="68"/>
      <c r="E87" s="103"/>
      <c r="F87" s="210"/>
    </row>
    <row r="88" spans="1:6" s="97" customFormat="1" ht="13.75" customHeight="1">
      <c r="A88" s="94" t="s">
        <v>278</v>
      </c>
      <c r="B88" s="170">
        <f>'Dist %'!D54</f>
        <v>64572.95999999997</v>
      </c>
      <c r="C88" s="174">
        <f>+B88/B90</f>
        <v>0.22824858096711589</v>
      </c>
      <c r="D88" s="68"/>
      <c r="E88" s="176"/>
      <c r="F88" s="211"/>
    </row>
    <row r="89" spans="1:6" s="97" customFormat="1" ht="13.75" customHeight="1">
      <c r="A89" s="94" t="s">
        <v>279</v>
      </c>
      <c r="B89" s="170">
        <f>'Dist %'!C54</f>
        <v>218333.33333333334</v>
      </c>
      <c r="C89" s="174">
        <f>+B89/B90</f>
        <v>0.77175141903288402</v>
      </c>
      <c r="D89" s="68"/>
      <c r="E89" s="176"/>
      <c r="F89" s="211"/>
    </row>
    <row r="90" spans="1:6" s="97" customFormat="1" ht="13.75" customHeight="1">
      <c r="A90" s="94"/>
      <c r="B90" s="171">
        <f>SUM(B88:B89)</f>
        <v>282906.29333333333</v>
      </c>
      <c r="C90" s="175">
        <f>SUM(C88:C89)</f>
        <v>0.99999999999999989</v>
      </c>
      <c r="D90" s="217"/>
      <c r="E90" s="182"/>
      <c r="F90" s="211"/>
    </row>
    <row r="91" spans="1:6" s="97" customFormat="1" ht="13.75" customHeight="1">
      <c r="A91" s="106"/>
      <c r="B91" s="89"/>
      <c r="C91" s="189"/>
      <c r="D91" s="216"/>
      <c r="E91" s="176"/>
      <c r="F91" s="211"/>
    </row>
    <row r="92" spans="1:6" s="97" customFormat="1" ht="13.75" customHeight="1">
      <c r="A92" s="105" t="s">
        <v>82</v>
      </c>
      <c r="B92" s="190"/>
      <c r="C92" s="191"/>
      <c r="D92" s="88"/>
      <c r="E92" s="104"/>
      <c r="F92" s="212"/>
    </row>
    <row r="93" spans="1:6" s="97" customFormat="1" ht="13.75" customHeight="1">
      <c r="A93" s="106" t="s">
        <v>92</v>
      </c>
      <c r="B93" s="107">
        <f>'Dist %'!F54</f>
        <v>709.76249999999993</v>
      </c>
      <c r="C93" s="108">
        <f>+B93/B96</f>
        <v>1.733059744647209E-3</v>
      </c>
      <c r="D93" s="179">
        <f>E40*C93</f>
        <v>2.4828680431688244</v>
      </c>
      <c r="E93" s="107">
        <f>D28*15%</f>
        <v>169.35</v>
      </c>
      <c r="F93" s="107">
        <f>+D93+E93</f>
        <v>171.83286804316882</v>
      </c>
    </row>
    <row r="94" spans="1:6" s="97" customFormat="1" ht="13.75" customHeight="1">
      <c r="A94" s="109" t="s">
        <v>93</v>
      </c>
      <c r="B94" s="107">
        <f>'Dist %'!I54</f>
        <v>221957.845</v>
      </c>
      <c r="C94" s="108">
        <f>B94/B96</f>
        <v>0.54196467998541042</v>
      </c>
      <c r="D94" s="179">
        <f>E40*C94</f>
        <v>776.44569878109826</v>
      </c>
      <c r="E94" s="107">
        <f>(D29+D32)*15%</f>
        <v>641.25</v>
      </c>
      <c r="F94" s="107">
        <f>+D94+E94</f>
        <v>1417.6956987810981</v>
      </c>
    </row>
    <row r="95" spans="1:6" s="97" customFormat="1" ht="13.75" customHeight="1">
      <c r="A95" s="109" t="s">
        <v>123</v>
      </c>
      <c r="B95" s="107">
        <f>'Dist %'!H54</f>
        <v>186875.39999999994</v>
      </c>
      <c r="C95" s="108">
        <f>+B95/B96</f>
        <v>0.45630226026994236</v>
      </c>
      <c r="D95" s="180">
        <f>E40*C95</f>
        <v>653.72143317573295</v>
      </c>
      <c r="E95" s="107"/>
      <c r="F95" s="214">
        <f>+D95+E95</f>
        <v>653.72143317573295</v>
      </c>
    </row>
    <row r="96" spans="1:6" s="97" customFormat="1" ht="13.75" customHeight="1">
      <c r="A96" s="87"/>
      <c r="B96" s="90">
        <f>SUM(B93:B95)</f>
        <v>409543.00749999995</v>
      </c>
      <c r="C96" s="110">
        <f>SUM(C93:C95)</f>
        <v>1</v>
      </c>
      <c r="D96" s="181">
        <f>SUM(D93:D95)</f>
        <v>1432.65</v>
      </c>
      <c r="E96" s="207">
        <f>SUM(E87:E95)</f>
        <v>810.6</v>
      </c>
      <c r="F96" s="213">
        <f>SUM(F87:F95)</f>
        <v>2243.25</v>
      </c>
    </row>
    <row r="97" spans="1:6" s="97" customFormat="1" ht="13.75" customHeight="1">
      <c r="A97" s="85"/>
      <c r="B97" s="52"/>
      <c r="C97" s="95"/>
      <c r="D97" s="95"/>
      <c r="E97" s="208"/>
      <c r="F97" s="209"/>
    </row>
    <row r="98" spans="1:6" s="97" customFormat="1" ht="13.75" customHeight="1">
      <c r="A98" s="85"/>
      <c r="B98" s="52"/>
      <c r="C98" s="95"/>
      <c r="D98" s="95"/>
      <c r="E98" s="86"/>
      <c r="F98" s="96"/>
    </row>
  </sheetData>
  <mergeCells count="7">
    <mergeCell ref="B85:C85"/>
    <mergeCell ref="A1:E1"/>
    <mergeCell ref="A3:E3"/>
    <mergeCell ref="A4:E4"/>
    <mergeCell ref="A38:E38"/>
    <mergeCell ref="E68:F68"/>
    <mergeCell ref="B68:C68"/>
  </mergeCells>
  <phoneticPr fontId="7" type="noConversion"/>
  <pageMargins left="1.1023622047244095" right="0.74803149606299213" top="0.82677165354330717" bottom="0.98425196850393704" header="0.51181102362204722" footer="0.51181102362204722"/>
  <pageSetup paperSize="9" scale="83" orientation="portrait" r:id="rId1"/>
  <headerFooter alignWithMargins="0"/>
  <rowBreaks count="1" manualBreakCount="1">
    <brk id="6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58"/>
  <sheetViews>
    <sheetView tabSelected="1" workbookViewId="0">
      <selection activeCell="A47" sqref="A47"/>
    </sheetView>
  </sheetViews>
  <sheetFormatPr defaultRowHeight="12.45"/>
  <cols>
    <col min="1" max="1" width="28.53515625" customWidth="1"/>
    <col min="2" max="2" width="11.53515625" bestFit="1" customWidth="1"/>
    <col min="3" max="3" width="11.3046875" customWidth="1"/>
    <col min="4" max="4" width="15.69140625" customWidth="1"/>
    <col min="5" max="5" width="9.3046875" bestFit="1" customWidth="1"/>
  </cols>
  <sheetData>
    <row r="1" spans="1:14">
      <c r="A1" s="290" t="s">
        <v>89</v>
      </c>
      <c r="B1" s="290"/>
      <c r="C1" s="290"/>
      <c r="D1" s="290"/>
    </row>
    <row r="3" spans="1:14">
      <c r="A3" s="290" t="s">
        <v>265</v>
      </c>
      <c r="B3" s="290"/>
      <c r="C3" s="290"/>
      <c r="D3" s="290"/>
    </row>
    <row r="4" spans="1:14">
      <c r="G4" s="18"/>
      <c r="H4" s="18"/>
      <c r="I4" s="18"/>
      <c r="J4" s="18"/>
      <c r="K4" s="18"/>
      <c r="L4" s="18"/>
      <c r="M4" s="18"/>
      <c r="N4" s="18"/>
    </row>
    <row r="5" spans="1:14">
      <c r="B5" s="18"/>
      <c r="C5" s="2" t="s">
        <v>1</v>
      </c>
      <c r="D5" s="2" t="s">
        <v>1</v>
      </c>
      <c r="G5" s="18"/>
      <c r="H5" s="18"/>
      <c r="I5" s="18"/>
      <c r="J5" s="18"/>
      <c r="K5" s="18"/>
      <c r="L5" s="18"/>
      <c r="M5" s="18"/>
      <c r="N5" s="18"/>
    </row>
    <row r="6" spans="1:14" ht="12.9">
      <c r="A6" s="34" t="s">
        <v>38</v>
      </c>
      <c r="B6" s="18"/>
      <c r="C6" s="2"/>
      <c r="D6" s="2"/>
      <c r="G6" s="18"/>
      <c r="H6" s="160"/>
      <c r="I6" s="160"/>
      <c r="J6" s="160"/>
      <c r="K6" s="161"/>
      <c r="L6" s="18"/>
      <c r="M6" s="18"/>
      <c r="N6" s="18"/>
    </row>
    <row r="7" spans="1:14">
      <c r="A7" s="240" t="s">
        <v>4</v>
      </c>
      <c r="B7" s="18"/>
      <c r="C7" s="35">
        <v>0</v>
      </c>
      <c r="D7" s="35"/>
      <c r="G7" s="18"/>
      <c r="H7" s="160"/>
      <c r="I7" s="18"/>
      <c r="J7" s="18"/>
      <c r="K7" s="161"/>
      <c r="L7" s="18"/>
      <c r="M7" s="18"/>
      <c r="N7" s="18"/>
    </row>
    <row r="8" spans="1:14">
      <c r="A8" s="31" t="s">
        <v>39</v>
      </c>
      <c r="B8" s="18"/>
      <c r="C8" s="35">
        <v>0</v>
      </c>
      <c r="D8" s="35"/>
      <c r="G8" s="18"/>
      <c r="H8" s="160"/>
      <c r="I8" s="18"/>
      <c r="J8" s="18"/>
      <c r="K8" s="10"/>
      <c r="L8" s="18"/>
      <c r="M8" s="18"/>
      <c r="N8" s="18"/>
    </row>
    <row r="9" spans="1:14">
      <c r="A9" s="240" t="s">
        <v>40</v>
      </c>
      <c r="B9" s="18"/>
      <c r="C9" s="10">
        <f>0.28+160.82+1206.71+196.69+3014.92</f>
        <v>4579.42</v>
      </c>
      <c r="D9" s="35">
        <f>C9</f>
        <v>4579.42</v>
      </c>
      <c r="G9" s="18"/>
      <c r="H9" s="160"/>
      <c r="I9" s="18"/>
      <c r="J9" s="18"/>
      <c r="K9" s="10"/>
      <c r="L9" s="18"/>
      <c r="M9" s="18"/>
      <c r="N9" s="18"/>
    </row>
    <row r="10" spans="1:14">
      <c r="A10" s="240" t="s">
        <v>41</v>
      </c>
      <c r="B10" s="18"/>
      <c r="C10" s="10"/>
      <c r="D10" s="10"/>
      <c r="G10" s="18"/>
      <c r="H10" s="18"/>
      <c r="I10" s="18"/>
      <c r="J10" s="18"/>
      <c r="K10" s="18"/>
      <c r="L10" s="18"/>
      <c r="M10" s="18"/>
      <c r="N10" s="18"/>
    </row>
    <row r="11" spans="1:14">
      <c r="A11" s="36" t="s">
        <v>42</v>
      </c>
      <c r="C11" s="3">
        <f>303.24+261.7+28.18+14.63+8157.66</f>
        <v>8765.41</v>
      </c>
      <c r="D11" s="10"/>
      <c r="G11" s="18"/>
      <c r="H11" s="18"/>
      <c r="I11" s="18"/>
      <c r="J11" s="18"/>
      <c r="K11" s="18"/>
      <c r="L11" s="18"/>
      <c r="M11" s="18"/>
      <c r="N11" s="18"/>
    </row>
    <row r="12" spans="1:14">
      <c r="A12" s="36" t="s">
        <v>43</v>
      </c>
      <c r="C12" s="3">
        <f>12.07+34.15+1214.09</f>
        <v>1260.31</v>
      </c>
      <c r="D12" s="10"/>
      <c r="G12" s="18"/>
      <c r="H12" s="18"/>
      <c r="I12" s="18"/>
      <c r="J12" s="18"/>
      <c r="K12" s="18"/>
      <c r="L12" s="18"/>
      <c r="M12" s="18"/>
      <c r="N12" s="18"/>
    </row>
    <row r="13" spans="1:14">
      <c r="A13" s="36" t="s">
        <v>44</v>
      </c>
      <c r="C13" s="3">
        <f>260.47+3496.17</f>
        <v>3756.6400000000003</v>
      </c>
      <c r="D13" s="10">
        <f>C11+C12+C13</f>
        <v>13782.36</v>
      </c>
    </row>
    <row r="14" spans="1:14">
      <c r="A14" s="240" t="s">
        <v>45</v>
      </c>
      <c r="B14" s="18"/>
      <c r="C14" s="10"/>
      <c r="D14" s="10"/>
    </row>
    <row r="15" spans="1:14">
      <c r="A15" s="31" t="s">
        <v>46</v>
      </c>
      <c r="B15" s="18"/>
      <c r="C15" s="10">
        <v>0</v>
      </c>
    </row>
    <row r="16" spans="1:14">
      <c r="A16" s="36" t="s">
        <v>47</v>
      </c>
      <c r="B16" s="18"/>
      <c r="C16" s="10">
        <f>634.01-0.39</f>
        <v>633.62</v>
      </c>
      <c r="D16" s="10"/>
    </row>
    <row r="17" spans="1:13">
      <c r="A17" s="36" t="s">
        <v>44</v>
      </c>
      <c r="B17" s="18"/>
      <c r="C17" s="52">
        <v>0.39</v>
      </c>
      <c r="D17" s="10">
        <f>C16+C17</f>
        <v>634.01</v>
      </c>
    </row>
    <row r="18" spans="1:13">
      <c r="A18" s="152" t="s">
        <v>115</v>
      </c>
      <c r="B18" s="18"/>
      <c r="C18" s="52">
        <f>4404.14-596.78</f>
        <v>3807.3600000000006</v>
      </c>
      <c r="D18" s="10"/>
    </row>
    <row r="19" spans="1:13">
      <c r="A19" s="152" t="s">
        <v>127</v>
      </c>
      <c r="B19" s="18"/>
      <c r="C19" s="37">
        <v>596.78</v>
      </c>
      <c r="D19" s="6">
        <f>C18+C19</f>
        <v>4404.1400000000003</v>
      </c>
      <c r="K19" s="18"/>
      <c r="L19" s="18"/>
      <c r="M19" s="18"/>
    </row>
    <row r="20" spans="1:13">
      <c r="A20" s="53" t="s">
        <v>69</v>
      </c>
      <c r="B20" s="18"/>
      <c r="C20" s="10"/>
      <c r="D20" s="199">
        <f>SUM(D7:D19)</f>
        <v>23399.929999999997</v>
      </c>
      <c r="K20" s="18"/>
      <c r="L20" s="18"/>
      <c r="M20" s="18"/>
    </row>
    <row r="21" spans="1:13">
      <c r="D21" s="3"/>
      <c r="I21" s="84"/>
      <c r="K21" s="10"/>
      <c r="L21" s="18"/>
      <c r="M21" s="18"/>
    </row>
    <row r="22" spans="1:13" ht="12.9">
      <c r="A22" s="38" t="s">
        <v>48</v>
      </c>
      <c r="I22" s="84"/>
      <c r="K22" s="10"/>
      <c r="L22" s="18"/>
      <c r="M22" s="18"/>
    </row>
    <row r="23" spans="1:13">
      <c r="A23" t="s">
        <v>49</v>
      </c>
      <c r="C23" s="3">
        <f>1129+2275</f>
        <v>3404</v>
      </c>
      <c r="D23" s="3"/>
      <c r="I23" s="84"/>
      <c r="K23" s="10"/>
      <c r="L23" s="18"/>
      <c r="M23" s="18"/>
    </row>
    <row r="24" spans="1:13">
      <c r="A24" t="s">
        <v>50</v>
      </c>
      <c r="C24" s="6">
        <v>2000</v>
      </c>
      <c r="D24" s="3"/>
      <c r="I24" s="84"/>
      <c r="K24" s="10"/>
      <c r="L24" s="18"/>
      <c r="M24" s="18"/>
    </row>
    <row r="25" spans="1:13">
      <c r="C25" s="3"/>
      <c r="D25" s="6">
        <f>SUM(C23:C24)</f>
        <v>5404</v>
      </c>
      <c r="K25" s="10"/>
      <c r="L25" s="10"/>
      <c r="M25" s="18"/>
    </row>
    <row r="26" spans="1:13">
      <c r="A26" s="54" t="s">
        <v>51</v>
      </c>
      <c r="D26" s="44">
        <f>+D20+D25</f>
        <v>28803.929999999997</v>
      </c>
      <c r="K26" s="18"/>
      <c r="L26" s="18"/>
      <c r="M26" s="18"/>
    </row>
    <row r="27" spans="1:13" ht="12.9">
      <c r="A27" s="39"/>
      <c r="D27" s="3"/>
      <c r="K27" s="18"/>
      <c r="L27" s="18"/>
      <c r="M27" s="18"/>
    </row>
    <row r="28" spans="1:13">
      <c r="A28" s="26" t="s">
        <v>70</v>
      </c>
      <c r="K28" s="18"/>
      <c r="L28" s="18"/>
      <c r="M28" s="18"/>
    </row>
    <row r="29" spans="1:13">
      <c r="A29" s="4" t="s">
        <v>52</v>
      </c>
      <c r="B29" s="40" t="s">
        <v>53</v>
      </c>
      <c r="C29" s="91">
        <f>'Dist %'!E57</f>
        <v>0.39600000000000002</v>
      </c>
      <c r="D29" s="55">
        <f>+D20*C29</f>
        <v>9266.3722799999996</v>
      </c>
      <c r="K29" s="18"/>
      <c r="L29" s="18"/>
      <c r="M29" s="18"/>
    </row>
    <row r="30" spans="1:13">
      <c r="A30" s="153" t="s">
        <v>289</v>
      </c>
    </row>
    <row r="31" spans="1:13">
      <c r="A31" s="41"/>
    </row>
    <row r="32" spans="1:13">
      <c r="A32" s="5" t="s">
        <v>71</v>
      </c>
      <c r="D32" s="241">
        <f>C49</f>
        <v>4582.3768369778281</v>
      </c>
    </row>
    <row r="33" spans="1:5">
      <c r="A33" s="5"/>
      <c r="D33" s="3"/>
    </row>
    <row r="34" spans="1:5" ht="12.9" thickBot="1">
      <c r="A34" s="4" t="s">
        <v>72</v>
      </c>
      <c r="D34" s="56">
        <f>+D26-D29-D32</f>
        <v>14955.180883022169</v>
      </c>
    </row>
    <row r="35" spans="1:5" ht="12.9" thickTop="1">
      <c r="A35" s="42"/>
    </row>
    <row r="37" spans="1:5">
      <c r="A37" s="57"/>
      <c r="B37" s="293" t="s">
        <v>54</v>
      </c>
      <c r="C37" s="294"/>
      <c r="D37" s="295"/>
    </row>
    <row r="38" spans="1:5">
      <c r="A38" s="17"/>
      <c r="B38" s="64"/>
      <c r="C38" s="151" t="s">
        <v>55</v>
      </c>
      <c r="D38" s="159" t="s">
        <v>105</v>
      </c>
    </row>
    <row r="39" spans="1:5">
      <c r="A39" s="17"/>
      <c r="B39" s="14" t="s">
        <v>12</v>
      </c>
      <c r="C39" s="50" t="s">
        <v>56</v>
      </c>
      <c r="D39" s="51" t="s">
        <v>56</v>
      </c>
      <c r="E39" s="1"/>
    </row>
    <row r="40" spans="1:5" ht="12.9">
      <c r="A40" s="58"/>
      <c r="B40" s="15" t="s">
        <v>1</v>
      </c>
      <c r="C40" s="16" t="s">
        <v>1</v>
      </c>
      <c r="D40" s="33" t="s">
        <v>1</v>
      </c>
      <c r="E40" s="1"/>
    </row>
    <row r="41" spans="1:5">
      <c r="A41" s="46"/>
      <c r="B41" s="65"/>
      <c r="C41" s="47"/>
      <c r="D41" s="59">
        <f t="shared" ref="D41:D48" si="0">+B41-C41</f>
        <v>0</v>
      </c>
      <c r="E41" s="1"/>
    </row>
    <row r="42" spans="1:5">
      <c r="A42" s="162" t="s">
        <v>117</v>
      </c>
      <c r="B42" s="65">
        <v>259</v>
      </c>
      <c r="C42" s="47">
        <v>259</v>
      </c>
      <c r="D42" s="59">
        <f t="shared" si="0"/>
        <v>0</v>
      </c>
      <c r="E42" s="1"/>
    </row>
    <row r="43" spans="1:5">
      <c r="A43" s="162" t="s">
        <v>130</v>
      </c>
      <c r="B43" s="19">
        <v>0</v>
      </c>
      <c r="C43" s="20">
        <v>0</v>
      </c>
      <c r="D43" s="21">
        <f t="shared" si="0"/>
        <v>0</v>
      </c>
      <c r="E43" s="1"/>
    </row>
    <row r="44" spans="1:5">
      <c r="A44" s="60" t="s">
        <v>57</v>
      </c>
      <c r="B44" s="19">
        <v>5750.89</v>
      </c>
      <c r="C44" s="20">
        <f>(($D$26-$D$29)/$D$26)*B44</f>
        <v>3900.7991380471622</v>
      </c>
      <c r="D44" s="21">
        <f t="shared" si="0"/>
        <v>1850.0908619528382</v>
      </c>
      <c r="E44" s="3"/>
    </row>
    <row r="45" spans="1:5">
      <c r="A45" s="162" t="s">
        <v>128</v>
      </c>
      <c r="B45" s="65">
        <v>56</v>
      </c>
      <c r="C45" s="20">
        <f>(($D$26-$D$29)/$D$26)*B45</f>
        <v>37.984512263430716</v>
      </c>
      <c r="D45" s="21">
        <f t="shared" si="0"/>
        <v>18.015487736569284</v>
      </c>
      <c r="E45" s="3"/>
    </row>
    <row r="46" spans="1:5">
      <c r="A46" s="162" t="s">
        <v>290</v>
      </c>
      <c r="B46" s="19">
        <v>275</v>
      </c>
      <c r="C46" s="20">
        <f>(($D$26-$D$29)/$D$26)*B46</f>
        <v>186.5310870079187</v>
      </c>
      <c r="D46" s="21">
        <f t="shared" ref="D46" si="1">+B46-C46</f>
        <v>88.4689129920813</v>
      </c>
      <c r="E46" s="3"/>
    </row>
    <row r="47" spans="1:5">
      <c r="A47" s="162" t="s">
        <v>291</v>
      </c>
      <c r="B47" s="19">
        <v>264</v>
      </c>
      <c r="C47" s="20">
        <f>(($D$26-$D$29)/$D$26)*B47</f>
        <v>179.06984352760196</v>
      </c>
      <c r="D47" s="21">
        <f t="shared" si="0"/>
        <v>84.930156472398039</v>
      </c>
      <c r="E47" s="3"/>
    </row>
    <row r="48" spans="1:5">
      <c r="A48" s="63" t="s">
        <v>58</v>
      </c>
      <c r="B48" s="23">
        <v>28</v>
      </c>
      <c r="C48" s="24">
        <f>(($D$26-$D$29)/$D$26)*B48</f>
        <v>18.992256131715358</v>
      </c>
      <c r="D48" s="25">
        <f t="shared" si="0"/>
        <v>9.007743868284642</v>
      </c>
      <c r="E48" s="3"/>
    </row>
    <row r="49" spans="1:5" ht="12.9" thickBot="1">
      <c r="B49" s="61">
        <f>SUM(B41:B48)</f>
        <v>6632.89</v>
      </c>
      <c r="C49" s="242">
        <f>SUM(C41:C48)</f>
        <v>4582.3768369778281</v>
      </c>
      <c r="D49" s="62">
        <f>SUM(D41:D48)</f>
        <v>2050.5131630221713</v>
      </c>
      <c r="E49" s="3"/>
    </row>
    <row r="50" spans="1:5" ht="12.9" thickTop="1">
      <c r="B50" s="3"/>
      <c r="C50" s="3"/>
      <c r="D50" s="3"/>
      <c r="E50" s="3"/>
    </row>
    <row r="51" spans="1:5">
      <c r="A51" s="26" t="s">
        <v>59</v>
      </c>
    </row>
    <row r="52" spans="1:5">
      <c r="A52" t="s">
        <v>60</v>
      </c>
    </row>
    <row r="54" spans="1:5">
      <c r="A54" s="26" t="s">
        <v>61</v>
      </c>
    </row>
    <row r="55" spans="1:5">
      <c r="A55" t="s">
        <v>62</v>
      </c>
    </row>
    <row r="57" spans="1:5">
      <c r="A57" s="26" t="s">
        <v>63</v>
      </c>
    </row>
    <row r="58" spans="1:5">
      <c r="A58" t="s">
        <v>64</v>
      </c>
    </row>
  </sheetData>
  <mergeCells count="3">
    <mergeCell ref="A1:D1"/>
    <mergeCell ref="A3:D3"/>
    <mergeCell ref="B37:D37"/>
  </mergeCells>
  <pageMargins left="1.2204724409448819" right="0.70866141732283472" top="0.59055118110236227" bottom="0.43307086614173229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7"/>
  <sheetViews>
    <sheetView workbookViewId="0">
      <pane ySplit="4" topLeftCell="A22" activePane="bottomLeft" state="frozen"/>
      <selection pane="bottomLeft" activeCell="D60" sqref="D60"/>
    </sheetView>
  </sheetViews>
  <sheetFormatPr defaultColWidth="9.15234375" defaultRowHeight="15"/>
  <cols>
    <col min="1" max="1" width="23.53515625" style="116" customWidth="1"/>
    <col min="2" max="2" width="7.69140625" style="116" customWidth="1"/>
    <col min="3" max="3" width="14.69140625" style="116" customWidth="1"/>
    <col min="4" max="4" width="15.3046875" style="116" customWidth="1"/>
    <col min="5" max="5" width="15.3828125" style="116" customWidth="1"/>
    <col min="6" max="6" width="15" style="116" customWidth="1"/>
    <col min="7" max="7" width="14.3046875" style="116" customWidth="1"/>
    <col min="8" max="9" width="14" style="116" customWidth="1"/>
    <col min="10" max="10" width="14.84375" style="116" customWidth="1"/>
    <col min="11" max="11" width="14.15234375" style="116" customWidth="1"/>
    <col min="12" max="16384" width="9.15234375" style="116"/>
  </cols>
  <sheetData>
    <row r="1" spans="1:11" ht="15.45">
      <c r="A1" s="115" t="s">
        <v>269</v>
      </c>
    </row>
    <row r="2" spans="1:11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26"/>
    </row>
    <row r="3" spans="1:11" s="149" customFormat="1" ht="15.45">
      <c r="A3" s="146"/>
      <c r="B3" s="147"/>
      <c r="C3" s="296" t="s">
        <v>90</v>
      </c>
      <c r="D3" s="297"/>
      <c r="E3" s="297"/>
      <c r="F3" s="298"/>
      <c r="G3" s="297" t="s">
        <v>91</v>
      </c>
      <c r="H3" s="297"/>
      <c r="I3" s="298"/>
      <c r="J3" s="154" t="s">
        <v>12</v>
      </c>
      <c r="K3" s="148"/>
    </row>
    <row r="4" spans="1:11">
      <c r="A4" s="120"/>
      <c r="B4" s="121" t="s">
        <v>73</v>
      </c>
      <c r="C4" s="273" t="s">
        <v>276</v>
      </c>
      <c r="D4" s="273" t="s">
        <v>271</v>
      </c>
      <c r="E4" s="274" t="s">
        <v>272</v>
      </c>
      <c r="F4" s="271" t="s">
        <v>74</v>
      </c>
      <c r="G4" s="282" t="s">
        <v>220</v>
      </c>
      <c r="H4" s="283" t="s">
        <v>277</v>
      </c>
      <c r="I4" s="272" t="s">
        <v>75</v>
      </c>
      <c r="J4" s="122" t="s">
        <v>1</v>
      </c>
      <c r="K4" s="116" t="s">
        <v>112</v>
      </c>
    </row>
    <row r="5" spans="1:11">
      <c r="A5" s="123" t="s">
        <v>270</v>
      </c>
      <c r="B5" s="124"/>
      <c r="C5" s="125">
        <v>0</v>
      </c>
      <c r="D5" s="125">
        <v>0</v>
      </c>
      <c r="E5" s="125">
        <v>81253.62</v>
      </c>
      <c r="F5" s="125">
        <v>2619.34</v>
      </c>
      <c r="G5" s="125">
        <v>206628.57</v>
      </c>
      <c r="H5" s="125">
        <v>0</v>
      </c>
      <c r="I5" s="125">
        <v>946.83</v>
      </c>
      <c r="J5" s="127">
        <f>SUM(C5:I5)</f>
        <v>291448.36000000004</v>
      </c>
    </row>
    <row r="6" spans="1:11">
      <c r="A6" s="128" t="s">
        <v>68</v>
      </c>
      <c r="B6" s="129"/>
      <c r="C6" s="125"/>
      <c r="D6" s="125"/>
      <c r="E6" s="125"/>
      <c r="F6" s="125"/>
      <c r="G6" s="125"/>
      <c r="H6" s="125"/>
      <c r="I6" s="125"/>
      <c r="J6" s="127"/>
    </row>
    <row r="7" spans="1:11">
      <c r="A7" s="128" t="s">
        <v>103</v>
      </c>
      <c r="B7" s="129"/>
      <c r="C7" s="125">
        <v>0</v>
      </c>
      <c r="D7" s="125">
        <f>E5+F5</f>
        <v>83872.959999999992</v>
      </c>
      <c r="E7" s="125">
        <v>-81253.62</v>
      </c>
      <c r="F7" s="125">
        <v>-2619.34</v>
      </c>
      <c r="G7" s="116">
        <v>-206628.57</v>
      </c>
      <c r="H7" s="125">
        <f>G5+I5</f>
        <v>207575.4</v>
      </c>
      <c r="I7" s="125">
        <v>-946.83</v>
      </c>
      <c r="J7" s="127">
        <f>SUM(C7:I7)</f>
        <v>-1.2846612662542611E-11</v>
      </c>
    </row>
    <row r="8" spans="1:11">
      <c r="A8" s="126" t="s">
        <v>76</v>
      </c>
      <c r="B8" s="238" t="s">
        <v>125</v>
      </c>
      <c r="C8" s="126">
        <v>0</v>
      </c>
      <c r="D8" s="126">
        <f>-19300</f>
        <v>-19300</v>
      </c>
      <c r="E8" s="126">
        <v>0</v>
      </c>
      <c r="F8" s="126">
        <v>0</v>
      </c>
      <c r="G8" s="126">
        <v>0</v>
      </c>
      <c r="H8" s="126">
        <v>-20700</v>
      </c>
      <c r="I8" s="277">
        <v>297</v>
      </c>
      <c r="J8" s="127">
        <f>SUM(C8:I8)</f>
        <v>-39703</v>
      </c>
    </row>
    <row r="9" spans="1:11">
      <c r="A9" s="120"/>
      <c r="B9" s="130"/>
      <c r="C9" s="131"/>
      <c r="D9" s="131"/>
      <c r="E9" s="131"/>
      <c r="F9" s="131"/>
      <c r="G9" s="131"/>
      <c r="H9" s="131"/>
      <c r="I9" s="131"/>
      <c r="J9" s="127"/>
    </row>
    <row r="10" spans="1:11">
      <c r="A10" s="123"/>
      <c r="B10" s="129"/>
      <c r="C10" s="125">
        <f t="shared" ref="C10:H10" si="0">SUM(C5:C9)</f>
        <v>0</v>
      </c>
      <c r="D10" s="125">
        <f t="shared" si="0"/>
        <v>64572.959999999992</v>
      </c>
      <c r="E10" s="125">
        <f t="shared" si="0"/>
        <v>0</v>
      </c>
      <c r="F10" s="125">
        <f t="shared" si="0"/>
        <v>0</v>
      </c>
      <c r="G10" s="125">
        <f t="shared" si="0"/>
        <v>0</v>
      </c>
      <c r="H10" s="125">
        <f t="shared" si="0"/>
        <v>186875.4</v>
      </c>
      <c r="I10" s="125">
        <f>I5+I7+I8</f>
        <v>297</v>
      </c>
      <c r="J10" s="119">
        <f>SUM(C10:I10)</f>
        <v>251745.36</v>
      </c>
    </row>
    <row r="11" spans="1:11">
      <c r="A11" s="128" t="s">
        <v>68</v>
      </c>
      <c r="B11" s="129"/>
      <c r="C11" s="125"/>
      <c r="D11" s="125"/>
      <c r="E11" s="125"/>
      <c r="F11" s="125"/>
      <c r="G11" s="125"/>
      <c r="H11" s="125"/>
      <c r="I11" s="125"/>
      <c r="J11" s="125"/>
    </row>
    <row r="12" spans="1:11">
      <c r="A12" s="280" t="s">
        <v>275</v>
      </c>
      <c r="B12" s="129"/>
      <c r="C12" s="125"/>
      <c r="D12" s="125"/>
      <c r="E12" s="125"/>
      <c r="F12" s="125"/>
      <c r="G12" s="125"/>
      <c r="H12" s="125"/>
      <c r="I12" s="275">
        <f>100+134.25</f>
        <v>234.25</v>
      </c>
      <c r="J12" s="125"/>
    </row>
    <row r="13" spans="1:11">
      <c r="A13" s="120" t="s">
        <v>76</v>
      </c>
      <c r="B13" s="121" t="s">
        <v>94</v>
      </c>
      <c r="C13" s="131"/>
      <c r="D13" s="131">
        <v>0</v>
      </c>
      <c r="E13" s="131"/>
      <c r="F13" s="131">
        <v>0</v>
      </c>
      <c r="G13" s="131"/>
      <c r="H13" s="131"/>
      <c r="I13" s="131">
        <v>0</v>
      </c>
      <c r="J13" s="131">
        <f>SUM(C13:I13)</f>
        <v>0</v>
      </c>
    </row>
    <row r="14" spans="1:11">
      <c r="A14" s="123"/>
      <c r="B14" s="129"/>
      <c r="C14" s="125">
        <f t="shared" ref="C14:I14" si="1">SUM(C10:C13)</f>
        <v>0</v>
      </c>
      <c r="D14" s="125">
        <f t="shared" ref="D14" si="2">SUM(D10:D13)</f>
        <v>64572.959999999992</v>
      </c>
      <c r="E14" s="125">
        <f t="shared" si="1"/>
        <v>0</v>
      </c>
      <c r="F14" s="125">
        <f t="shared" si="1"/>
        <v>0</v>
      </c>
      <c r="G14" s="125">
        <f>SUM(G10:G13)</f>
        <v>0</v>
      </c>
      <c r="H14" s="125">
        <f>SUM(H10:H13)</f>
        <v>186875.4</v>
      </c>
      <c r="I14" s="125">
        <f t="shared" si="1"/>
        <v>531.25</v>
      </c>
      <c r="J14" s="127">
        <f>SUM(C14:I14)</f>
        <v>251979.61</v>
      </c>
    </row>
    <row r="15" spans="1:11">
      <c r="A15" s="128" t="s">
        <v>68</v>
      </c>
      <c r="B15" s="129"/>
      <c r="C15" s="125"/>
      <c r="D15" s="125"/>
      <c r="E15" s="125"/>
      <c r="F15" s="125"/>
      <c r="G15" s="125"/>
      <c r="H15" s="125"/>
      <c r="I15" s="125"/>
      <c r="J15" s="127"/>
    </row>
    <row r="16" spans="1:11">
      <c r="A16" s="120" t="s">
        <v>76</v>
      </c>
      <c r="B16" s="121" t="s">
        <v>95</v>
      </c>
      <c r="C16" s="131">
        <v>0</v>
      </c>
      <c r="D16" s="131">
        <v>0</v>
      </c>
      <c r="E16" s="131"/>
      <c r="F16" s="131">
        <v>0</v>
      </c>
      <c r="G16" s="131"/>
      <c r="H16" s="131"/>
      <c r="I16" s="131">
        <v>0</v>
      </c>
      <c r="J16" s="131">
        <f>SUM(C16:I16)</f>
        <v>0</v>
      </c>
    </row>
    <row r="17" spans="1:10">
      <c r="A17" s="123"/>
      <c r="B17" s="129"/>
      <c r="C17" s="125">
        <f t="shared" ref="C17:I17" si="3">SUM(C14:C16)</f>
        <v>0</v>
      </c>
      <c r="D17" s="125">
        <f t="shared" ref="D17" si="4">SUM(D14:D16)</f>
        <v>64572.959999999992</v>
      </c>
      <c r="E17" s="125">
        <f t="shared" si="3"/>
        <v>0</v>
      </c>
      <c r="F17" s="125">
        <f t="shared" si="3"/>
        <v>0</v>
      </c>
      <c r="G17" s="125">
        <f>SUM(G14:G16)</f>
        <v>0</v>
      </c>
      <c r="H17" s="125">
        <f>SUM(H14:H16)</f>
        <v>186875.4</v>
      </c>
      <c r="I17" s="125">
        <f t="shared" si="3"/>
        <v>531.25</v>
      </c>
      <c r="J17" s="127">
        <f>SUM(C17:I17)</f>
        <v>251979.61</v>
      </c>
    </row>
    <row r="18" spans="1:10">
      <c r="A18" s="128" t="s">
        <v>68</v>
      </c>
      <c r="B18" s="129"/>
      <c r="C18" s="125">
        <v>0</v>
      </c>
      <c r="D18" s="125"/>
      <c r="E18" s="125"/>
      <c r="F18" s="125"/>
      <c r="G18" s="125"/>
      <c r="H18" s="125"/>
      <c r="I18" s="125"/>
      <c r="J18" s="127"/>
    </row>
    <row r="19" spans="1:10">
      <c r="A19" s="128" t="s">
        <v>103</v>
      </c>
      <c r="B19" s="129"/>
      <c r="C19" s="125">
        <v>0</v>
      </c>
      <c r="D19" s="125">
        <v>0</v>
      </c>
      <c r="E19" s="125">
        <v>0</v>
      </c>
      <c r="F19" s="125">
        <v>0</v>
      </c>
      <c r="G19" s="116">
        <v>0</v>
      </c>
      <c r="H19" s="125">
        <v>0</v>
      </c>
      <c r="I19" s="125">
        <v>0</v>
      </c>
      <c r="J19" s="127">
        <f>SUM(C19:I19)</f>
        <v>0</v>
      </c>
    </row>
    <row r="20" spans="1:10">
      <c r="A20" s="120"/>
      <c r="B20" s="121"/>
      <c r="C20" s="131"/>
      <c r="D20" s="131"/>
      <c r="E20" s="131"/>
      <c r="F20" s="131"/>
      <c r="G20" s="131"/>
      <c r="H20" s="131"/>
      <c r="I20" s="131"/>
      <c r="J20" s="131"/>
    </row>
    <row r="21" spans="1:10">
      <c r="A21" s="120" t="s">
        <v>126</v>
      </c>
      <c r="B21" s="121" t="s">
        <v>96</v>
      </c>
      <c r="C21" s="131"/>
      <c r="D21" s="131"/>
      <c r="E21" s="131">
        <v>0</v>
      </c>
      <c r="F21" s="131">
        <v>315</v>
      </c>
      <c r="G21" s="131">
        <v>0</v>
      </c>
      <c r="H21" s="131">
        <v>0</v>
      </c>
      <c r="I21" s="278">
        <v>315</v>
      </c>
      <c r="J21" s="131">
        <f>SUM(C21:I21)</f>
        <v>630</v>
      </c>
    </row>
    <row r="22" spans="1:10">
      <c r="A22" s="123"/>
      <c r="B22" s="129"/>
      <c r="C22" s="125">
        <f t="shared" ref="C22:I22" si="5">SUM(C17:C21)</f>
        <v>0</v>
      </c>
      <c r="D22" s="125">
        <f t="shared" ref="D22" si="6">SUM(D17:D21)</f>
        <v>64572.959999999992</v>
      </c>
      <c r="E22" s="125">
        <f t="shared" si="5"/>
        <v>0</v>
      </c>
      <c r="F22" s="125">
        <f t="shared" si="5"/>
        <v>315</v>
      </c>
      <c r="G22" s="125">
        <f>SUM(G17:G21)</f>
        <v>0</v>
      </c>
      <c r="H22" s="125">
        <f>SUM(H17:H21)</f>
        <v>186875.4</v>
      </c>
      <c r="I22" s="125">
        <f t="shared" si="5"/>
        <v>846.25</v>
      </c>
      <c r="J22" s="127">
        <f>SUM(C22:I22)</f>
        <v>252609.61</v>
      </c>
    </row>
    <row r="23" spans="1:10">
      <c r="A23" s="128" t="s">
        <v>68</v>
      </c>
      <c r="B23" s="129"/>
      <c r="C23" s="125"/>
      <c r="D23" s="125"/>
      <c r="E23" s="125"/>
      <c r="F23" s="125">
        <v>0</v>
      </c>
      <c r="G23" s="125"/>
      <c r="H23" s="125"/>
      <c r="I23" s="125"/>
      <c r="J23" s="127"/>
    </row>
    <row r="24" spans="1:10">
      <c r="A24" s="128" t="s">
        <v>111</v>
      </c>
      <c r="B24" s="129"/>
      <c r="C24" s="125"/>
      <c r="D24" s="125"/>
      <c r="E24" s="125"/>
      <c r="F24" s="125"/>
      <c r="G24" s="125"/>
      <c r="H24" s="125"/>
      <c r="I24" s="125">
        <v>0</v>
      </c>
      <c r="J24" s="127">
        <f>SUM(C24:I24)</f>
        <v>0</v>
      </c>
    </row>
    <row r="25" spans="1:10">
      <c r="A25" s="120" t="s">
        <v>76</v>
      </c>
      <c r="B25" s="121" t="s">
        <v>97</v>
      </c>
      <c r="C25" s="281">
        <v>330000</v>
      </c>
      <c r="D25" s="131"/>
      <c r="E25" s="131"/>
      <c r="F25" s="281">
        <f>330000-330000</f>
        <v>0</v>
      </c>
      <c r="G25" s="131">
        <v>0</v>
      </c>
      <c r="H25" s="131">
        <v>0</v>
      </c>
      <c r="I25" s="281">
        <v>330000</v>
      </c>
      <c r="J25" s="131">
        <f>SUM(C25:I25)</f>
        <v>660000</v>
      </c>
    </row>
    <row r="26" spans="1:10">
      <c r="A26" s="120"/>
      <c r="B26" s="130"/>
      <c r="C26" s="131"/>
      <c r="D26" s="131"/>
      <c r="E26" s="131"/>
      <c r="F26" s="131"/>
      <c r="G26" s="131"/>
      <c r="H26" s="131"/>
      <c r="I26" s="131"/>
      <c r="J26" s="239"/>
    </row>
    <row r="27" spans="1:10">
      <c r="A27" s="123"/>
      <c r="B27" s="129"/>
      <c r="C27" s="125">
        <f t="shared" ref="C27:H27" si="7">SUM(C22:C25)</f>
        <v>330000</v>
      </c>
      <c r="D27" s="125">
        <f t="shared" si="7"/>
        <v>64572.959999999992</v>
      </c>
      <c r="E27" s="125">
        <f t="shared" si="7"/>
        <v>0</v>
      </c>
      <c r="F27" s="125">
        <f t="shared" si="7"/>
        <v>315</v>
      </c>
      <c r="G27" s="125">
        <f t="shared" si="7"/>
        <v>0</v>
      </c>
      <c r="H27" s="125">
        <f t="shared" si="7"/>
        <v>186875.4</v>
      </c>
      <c r="I27" s="125">
        <f>SUM(I22:I26)</f>
        <v>330846.25</v>
      </c>
      <c r="J27" s="127">
        <f>SUM(C27:I27)</f>
        <v>912609.61</v>
      </c>
    </row>
    <row r="28" spans="1:10">
      <c r="A28" s="128" t="s">
        <v>68</v>
      </c>
      <c r="B28" s="129"/>
      <c r="C28" s="125"/>
      <c r="D28" s="125"/>
      <c r="E28" s="125"/>
      <c r="F28" s="125"/>
      <c r="G28" s="125"/>
      <c r="H28" s="125"/>
      <c r="I28" s="125"/>
      <c r="J28" s="127"/>
    </row>
    <row r="29" spans="1:10">
      <c r="A29" s="120" t="s">
        <v>76</v>
      </c>
      <c r="B29" s="121" t="s">
        <v>98</v>
      </c>
      <c r="C29" s="131"/>
      <c r="D29" s="131"/>
      <c r="E29" s="131">
        <v>0</v>
      </c>
      <c r="F29" s="131">
        <f>236.25+131.25</f>
        <v>367.5</v>
      </c>
      <c r="G29" s="131">
        <v>0</v>
      </c>
      <c r="H29" s="131">
        <v>0</v>
      </c>
      <c r="I29" s="278">
        <f>236.25+131.25</f>
        <v>367.5</v>
      </c>
      <c r="J29" s="131">
        <f>SUM(C29:I29)</f>
        <v>735</v>
      </c>
    </row>
    <row r="30" spans="1:10">
      <c r="A30" s="123"/>
      <c r="B30" s="129"/>
      <c r="C30" s="125">
        <f t="shared" ref="C30:F30" si="8">SUM(C27:C29)</f>
        <v>330000</v>
      </c>
      <c r="D30" s="125">
        <f t="shared" ref="D30" si="9">SUM(D27:D29)</f>
        <v>64572.959999999992</v>
      </c>
      <c r="E30" s="125">
        <f t="shared" si="8"/>
        <v>0</v>
      </c>
      <c r="F30" s="125">
        <f t="shared" si="8"/>
        <v>682.5</v>
      </c>
      <c r="G30" s="125">
        <f>SUM(G27:G29)</f>
        <v>0</v>
      </c>
      <c r="H30" s="125">
        <f>SUM(H27:H29)</f>
        <v>186875.4</v>
      </c>
      <c r="I30" s="125">
        <f>SUM(I27:I29)</f>
        <v>331213.75</v>
      </c>
      <c r="J30" s="127">
        <f>SUM(C30:I30)</f>
        <v>913344.61</v>
      </c>
    </row>
    <row r="31" spans="1:10">
      <c r="A31" s="128" t="s">
        <v>68</v>
      </c>
      <c r="B31" s="129"/>
      <c r="C31" s="125"/>
      <c r="D31" s="125"/>
      <c r="E31" s="125"/>
      <c r="F31" s="125"/>
      <c r="G31" s="125"/>
      <c r="H31" s="125"/>
      <c r="I31" s="125"/>
      <c r="J31" s="127"/>
    </row>
    <row r="32" spans="1:10">
      <c r="A32" s="279" t="s">
        <v>275</v>
      </c>
      <c r="B32" s="130"/>
      <c r="C32" s="131"/>
      <c r="D32" s="131"/>
      <c r="E32" s="131"/>
      <c r="F32" s="276">
        <v>198.75</v>
      </c>
      <c r="G32" s="131"/>
      <c r="H32" s="131"/>
      <c r="I32" s="276">
        <v>363.75</v>
      </c>
      <c r="J32" s="239"/>
    </row>
    <row r="33" spans="1:10">
      <c r="A33" s="120" t="s">
        <v>76</v>
      </c>
      <c r="B33" s="130" t="s">
        <v>274</v>
      </c>
      <c r="C33" s="131">
        <v>0</v>
      </c>
      <c r="D33" s="131"/>
      <c r="E33" s="131"/>
      <c r="F33" s="131">
        <v>0</v>
      </c>
      <c r="G33" s="131">
        <v>0</v>
      </c>
      <c r="H33" s="131">
        <v>0</v>
      </c>
      <c r="I33" s="278">
        <v>433.14</v>
      </c>
      <c r="J33" s="131">
        <f>SUM(C33:I33)</f>
        <v>433.14</v>
      </c>
    </row>
    <row r="34" spans="1:10">
      <c r="A34" s="123"/>
      <c r="B34" s="129"/>
      <c r="C34" s="125">
        <f t="shared" ref="C34:I34" si="10">SUM(C30:C33)</f>
        <v>330000</v>
      </c>
      <c r="D34" s="125">
        <f t="shared" ref="D34" si="11">SUM(D30:D33)</f>
        <v>64572.959999999992</v>
      </c>
      <c r="E34" s="125">
        <f t="shared" si="10"/>
        <v>0</v>
      </c>
      <c r="F34" s="125">
        <f t="shared" si="10"/>
        <v>881.25</v>
      </c>
      <c r="G34" s="125">
        <f>SUM(G30:G33)</f>
        <v>0</v>
      </c>
      <c r="H34" s="125">
        <f>SUM(H30:H33)</f>
        <v>186875.4</v>
      </c>
      <c r="I34" s="125">
        <f t="shared" si="10"/>
        <v>332010.64</v>
      </c>
      <c r="J34" s="127">
        <f>SUM(C34:I34)</f>
        <v>914340.25</v>
      </c>
    </row>
    <row r="35" spans="1:10">
      <c r="A35" s="128" t="s">
        <v>68</v>
      </c>
      <c r="B35" s="129"/>
      <c r="C35" s="125"/>
      <c r="D35" s="125"/>
      <c r="E35" s="125"/>
      <c r="F35" s="125"/>
      <c r="G35" s="125"/>
      <c r="H35" s="125"/>
      <c r="I35" s="125"/>
      <c r="J35" s="127"/>
    </row>
    <row r="36" spans="1:10">
      <c r="A36" s="120" t="s">
        <v>76</v>
      </c>
      <c r="B36" s="121" t="s">
        <v>99</v>
      </c>
      <c r="C36" s="131"/>
      <c r="D36" s="131"/>
      <c r="E36" s="131">
        <v>0</v>
      </c>
      <c r="F36" s="131">
        <v>341.25</v>
      </c>
      <c r="G36" s="131"/>
      <c r="H36" s="131"/>
      <c r="I36" s="278">
        <v>341.25</v>
      </c>
      <c r="J36" s="131">
        <f>SUM(C36:I36)</f>
        <v>682.5</v>
      </c>
    </row>
    <row r="37" spans="1:10">
      <c r="A37" s="123"/>
      <c r="B37" s="129"/>
      <c r="C37" s="125">
        <f t="shared" ref="C37:I37" si="12">SUM(C34:C36)</f>
        <v>330000</v>
      </c>
      <c r="D37" s="125">
        <f t="shared" ref="D37" si="13">SUM(D34:D36)</f>
        <v>64572.959999999992</v>
      </c>
      <c r="E37" s="125">
        <f t="shared" si="12"/>
        <v>0</v>
      </c>
      <c r="F37" s="125">
        <f t="shared" si="12"/>
        <v>1222.5</v>
      </c>
      <c r="G37" s="125">
        <f>SUM(G34:G36)</f>
        <v>0</v>
      </c>
      <c r="H37" s="125">
        <f>SUM(H34:H36)</f>
        <v>186875.4</v>
      </c>
      <c r="I37" s="125">
        <f t="shared" si="12"/>
        <v>332351.89</v>
      </c>
      <c r="J37" s="127">
        <f>SUM(C37:I37)</f>
        <v>915022.75</v>
      </c>
    </row>
    <row r="38" spans="1:10">
      <c r="A38" s="128" t="s">
        <v>68</v>
      </c>
      <c r="B38" s="129"/>
      <c r="C38" s="125"/>
      <c r="D38" s="125"/>
      <c r="E38" s="125"/>
      <c r="F38" s="125"/>
      <c r="G38" s="125"/>
      <c r="H38" s="125"/>
      <c r="I38" s="125"/>
      <c r="J38" s="127"/>
    </row>
    <row r="39" spans="1:10">
      <c r="A39" s="120"/>
      <c r="B39" s="121"/>
      <c r="C39" s="131"/>
      <c r="D39" s="131"/>
      <c r="E39" s="131"/>
      <c r="F39" s="131"/>
      <c r="G39" s="131"/>
      <c r="H39" s="131"/>
      <c r="I39" s="131"/>
      <c r="J39" s="131"/>
    </row>
    <row r="40" spans="1:10">
      <c r="A40" s="120" t="s">
        <v>76</v>
      </c>
      <c r="B40" s="121" t="s">
        <v>100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/>
      <c r="I40" s="131">
        <v>0</v>
      </c>
      <c r="J40" s="131">
        <f>SUM(C40:I40)</f>
        <v>0</v>
      </c>
    </row>
    <row r="41" spans="1:10">
      <c r="A41" s="123"/>
      <c r="B41" s="129"/>
      <c r="C41" s="125">
        <f t="shared" ref="C41:I41" si="14">SUM(C37:C40)</f>
        <v>330000</v>
      </c>
      <c r="D41" s="125">
        <f t="shared" si="14"/>
        <v>64572.959999999992</v>
      </c>
      <c r="E41" s="125">
        <f t="shared" si="14"/>
        <v>0</v>
      </c>
      <c r="F41" s="125">
        <f t="shared" si="14"/>
        <v>1222.5</v>
      </c>
      <c r="G41" s="125">
        <f t="shared" si="14"/>
        <v>0</v>
      </c>
      <c r="H41" s="125">
        <f t="shared" si="14"/>
        <v>186875.4</v>
      </c>
      <c r="I41" s="125">
        <f t="shared" si="14"/>
        <v>332351.89</v>
      </c>
      <c r="J41" s="127">
        <f>SUM(C41:I41)</f>
        <v>915022.75</v>
      </c>
    </row>
    <row r="42" spans="1:10">
      <c r="A42" s="128" t="s">
        <v>68</v>
      </c>
      <c r="B42" s="125"/>
      <c r="C42" s="125"/>
      <c r="D42" s="125"/>
      <c r="E42" s="125"/>
      <c r="F42" s="125"/>
      <c r="G42" s="125"/>
      <c r="H42" s="125"/>
      <c r="I42" s="125"/>
      <c r="J42" s="127"/>
    </row>
    <row r="43" spans="1:10">
      <c r="A43" s="120" t="s">
        <v>76</v>
      </c>
      <c r="B43" s="121" t="s">
        <v>101</v>
      </c>
      <c r="C43" s="131"/>
      <c r="D43" s="131"/>
      <c r="E43" s="131">
        <v>0</v>
      </c>
      <c r="F43" s="131"/>
      <c r="G43" s="131">
        <v>0</v>
      </c>
      <c r="H43" s="131">
        <v>0</v>
      </c>
      <c r="I43" s="278">
        <v>415.8</v>
      </c>
      <c r="J43" s="131">
        <f>SUM(C43:I43)</f>
        <v>415.8</v>
      </c>
    </row>
    <row r="44" spans="1:10">
      <c r="A44" s="123"/>
      <c r="B44" s="129"/>
      <c r="C44" s="125">
        <f t="shared" ref="C44:I44" si="15">SUM(C41:C43)</f>
        <v>330000</v>
      </c>
      <c r="D44" s="125">
        <f t="shared" ref="D44" si="16">SUM(D41:D43)</f>
        <v>64572.959999999992</v>
      </c>
      <c r="E44" s="125">
        <f t="shared" si="15"/>
        <v>0</v>
      </c>
      <c r="F44" s="125">
        <f t="shared" si="15"/>
        <v>1222.5</v>
      </c>
      <c r="G44" s="125">
        <f>SUM(G41:G43)</f>
        <v>0</v>
      </c>
      <c r="H44" s="125">
        <f>SUM(H41:H43)</f>
        <v>186875.4</v>
      </c>
      <c r="I44" s="125">
        <f t="shared" si="15"/>
        <v>332767.69</v>
      </c>
      <c r="J44" s="127">
        <f>SUM(C44:I44)</f>
        <v>915438.55</v>
      </c>
    </row>
    <row r="45" spans="1:10">
      <c r="A45" s="128" t="s">
        <v>68</v>
      </c>
      <c r="B45" s="129"/>
      <c r="C45" s="125"/>
      <c r="D45" s="125"/>
      <c r="E45" s="125"/>
      <c r="F45" s="125"/>
      <c r="G45" s="125"/>
      <c r="H45" s="125"/>
      <c r="I45" s="125"/>
      <c r="J45" s="127"/>
    </row>
    <row r="46" spans="1:10">
      <c r="A46" s="120"/>
      <c r="B46" s="130"/>
      <c r="C46" s="131"/>
      <c r="D46" s="131"/>
      <c r="E46" s="131"/>
      <c r="F46" s="131"/>
      <c r="G46" s="131"/>
      <c r="H46" s="131"/>
      <c r="I46" s="131"/>
      <c r="J46" s="239"/>
    </row>
    <row r="47" spans="1:10">
      <c r="A47" s="120" t="s">
        <v>76</v>
      </c>
      <c r="B47" s="121" t="s">
        <v>102</v>
      </c>
      <c r="C47" s="131">
        <v>-10000</v>
      </c>
      <c r="D47" s="131"/>
      <c r="E47" s="131">
        <v>0</v>
      </c>
      <c r="F47" s="131">
        <v>105.45</v>
      </c>
      <c r="G47" s="131">
        <v>0</v>
      </c>
      <c r="H47" s="131">
        <v>0</v>
      </c>
      <c r="I47" s="278">
        <f>105.45+2000</f>
        <v>2105.4499999999998</v>
      </c>
      <c r="J47" s="131">
        <f>SUM(C47:I47)</f>
        <v>-7789.0999999999995</v>
      </c>
    </row>
    <row r="48" spans="1:10">
      <c r="A48" s="123"/>
      <c r="B48" s="129"/>
      <c r="C48" s="125">
        <f t="shared" ref="C48:I48" si="17">SUM(C44:C47)</f>
        <v>320000</v>
      </c>
      <c r="D48" s="125">
        <f t="shared" ref="D48" si="18">SUM(D44:D47)</f>
        <v>64572.959999999992</v>
      </c>
      <c r="E48" s="125">
        <f t="shared" si="17"/>
        <v>0</v>
      </c>
      <c r="F48" s="125">
        <f t="shared" si="17"/>
        <v>1327.95</v>
      </c>
      <c r="G48" s="125">
        <f>SUM(G44:G47)</f>
        <v>0</v>
      </c>
      <c r="H48" s="125">
        <f>SUM(H44:H47)</f>
        <v>186875.4</v>
      </c>
      <c r="I48" s="125">
        <f t="shared" si="17"/>
        <v>334873.14</v>
      </c>
      <c r="J48" s="127">
        <f>SUM(C48:I48)</f>
        <v>907649.45</v>
      </c>
    </row>
    <row r="49" spans="1:11">
      <c r="A49" s="128" t="s">
        <v>68</v>
      </c>
      <c r="B49" s="129"/>
      <c r="C49" s="125"/>
      <c r="D49" s="125"/>
      <c r="E49" s="125"/>
      <c r="F49" s="125"/>
      <c r="G49" s="125"/>
      <c r="H49" s="125"/>
      <c r="I49" s="125"/>
      <c r="J49" s="127"/>
    </row>
    <row r="50" spans="1:11">
      <c r="A50" s="120"/>
      <c r="B50" s="130"/>
      <c r="C50" s="131"/>
      <c r="D50" s="131"/>
      <c r="E50" s="131"/>
      <c r="F50" s="131"/>
      <c r="G50" s="131"/>
      <c r="H50" s="131"/>
      <c r="I50" s="131"/>
      <c r="J50" s="239"/>
    </row>
    <row r="51" spans="1:11">
      <c r="A51" s="120" t="s">
        <v>76</v>
      </c>
      <c r="B51" s="121" t="s">
        <v>273</v>
      </c>
      <c r="C51" s="131">
        <v>0</v>
      </c>
      <c r="D51" s="131">
        <v>0</v>
      </c>
      <c r="E51" s="131">
        <v>0</v>
      </c>
      <c r="F51" s="131">
        <v>0</v>
      </c>
      <c r="G51" s="131">
        <v>0</v>
      </c>
      <c r="H51" s="131">
        <v>0</v>
      </c>
      <c r="I51" s="131">
        <v>0</v>
      </c>
      <c r="J51" s="127">
        <f>SUM(C51:I51)</f>
        <v>0</v>
      </c>
    </row>
    <row r="52" spans="1:11" ht="15.45">
      <c r="A52" s="132"/>
      <c r="B52" s="133"/>
      <c r="C52" s="134">
        <f>SUM(C48:C51)</f>
        <v>320000</v>
      </c>
      <c r="D52" s="134">
        <f t="shared" ref="D52" si="19">SUM(D48:D51)</f>
        <v>64572.959999999992</v>
      </c>
      <c r="E52" s="135">
        <f>SUM(E48:E51)</f>
        <v>0</v>
      </c>
      <c r="F52" s="135">
        <f>F51+F48</f>
        <v>1327.95</v>
      </c>
      <c r="G52" s="136">
        <f>SUM(G48:G51)</f>
        <v>0</v>
      </c>
      <c r="H52" s="136">
        <f>SUM(H48:H51)</f>
        <v>186875.4</v>
      </c>
      <c r="I52" s="136">
        <f>SUM(I48:I51)</f>
        <v>334873.14</v>
      </c>
      <c r="J52" s="135">
        <f>SUM(C52:I52)</f>
        <v>907649.45</v>
      </c>
    </row>
    <row r="53" spans="1:11">
      <c r="A53" s="123"/>
      <c r="B53" s="125"/>
      <c r="C53" s="137"/>
      <c r="D53" s="137"/>
      <c r="E53" s="138"/>
      <c r="F53" s="138"/>
      <c r="G53" s="138"/>
      <c r="H53" s="138"/>
      <c r="I53" s="138"/>
      <c r="J53" s="139"/>
    </row>
    <row r="54" spans="1:11" ht="15.45">
      <c r="A54" s="118" t="s">
        <v>77</v>
      </c>
      <c r="B54" s="119"/>
      <c r="C54" s="140">
        <f t="shared" ref="C54:I54" si="20">(C10+C14+C17+C22+C27+C30+C34+C37+C41+C44+C48+C52)/12</f>
        <v>218333.33333333334</v>
      </c>
      <c r="D54" s="140">
        <f t="shared" si="20"/>
        <v>64572.95999999997</v>
      </c>
      <c r="E54" s="141">
        <f t="shared" si="20"/>
        <v>0</v>
      </c>
      <c r="F54" s="140">
        <f t="shared" si="20"/>
        <v>709.76249999999993</v>
      </c>
      <c r="G54" s="140">
        <f t="shared" si="20"/>
        <v>0</v>
      </c>
      <c r="H54" s="140">
        <f t="shared" si="20"/>
        <v>186875.39999999994</v>
      </c>
      <c r="I54" s="140">
        <f t="shared" si="20"/>
        <v>221957.845</v>
      </c>
      <c r="J54" s="142">
        <f>SUM(C54:I54)</f>
        <v>692449.30083333328</v>
      </c>
      <c r="K54" s="126">
        <f>(J10+J14+J17+J22+J27+J30+J34+J37+J41+J44+J48+J52)/12</f>
        <v>692449.3008333334</v>
      </c>
    </row>
    <row r="55" spans="1:11">
      <c r="A55" s="155" t="s">
        <v>78</v>
      </c>
      <c r="B55" s="156"/>
      <c r="C55" s="157">
        <f t="shared" ref="C55:I55" si="21">+C54/$J$54</f>
        <v>0.31530587592561427</v>
      </c>
      <c r="D55" s="157">
        <f t="shared" ref="D55" si="22">+D54/$J$54</f>
        <v>9.3252978842334244E-2</v>
      </c>
      <c r="E55" s="158">
        <f t="shared" si="21"/>
        <v>0</v>
      </c>
      <c r="F55" s="158">
        <f t="shared" si="21"/>
        <v>1.025002840129712E-3</v>
      </c>
      <c r="G55" s="158">
        <f t="shared" si="21"/>
        <v>0</v>
      </c>
      <c r="H55" s="158">
        <f t="shared" si="21"/>
        <v>0.26987593138602833</v>
      </c>
      <c r="I55" s="158">
        <f t="shared" si="21"/>
        <v>0.32054021100589342</v>
      </c>
      <c r="J55" s="158">
        <f>SUM(C55:I55)</f>
        <v>1</v>
      </c>
    </row>
    <row r="57" spans="1:11">
      <c r="A57" s="143" t="s">
        <v>87</v>
      </c>
      <c r="B57" s="143"/>
      <c r="C57" s="144"/>
      <c r="D57" s="144"/>
      <c r="E57" s="144">
        <v>0.39600000000000002</v>
      </c>
      <c r="F57" s="145"/>
      <c r="G57" s="145"/>
      <c r="H57" s="145"/>
      <c r="I57" s="145"/>
      <c r="J57" s="145"/>
    </row>
  </sheetData>
  <mergeCells count="2">
    <mergeCell ref="C3:F3"/>
    <mergeCell ref="G3:I3"/>
  </mergeCells>
  <pageMargins left="0.34" right="0.19" top="1.0629921259842521" bottom="0.7480314960629921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D36" sqref="D36"/>
    </sheetView>
  </sheetViews>
  <sheetFormatPr defaultRowHeight="12.45"/>
  <cols>
    <col min="1" max="1" width="36.3046875" customWidth="1"/>
    <col min="2" max="2" width="11.3046875" customWidth="1"/>
    <col min="3" max="3" width="12.3046875" customWidth="1"/>
    <col min="4" max="4" width="15.84375" customWidth="1"/>
    <col min="5" max="5" width="14.3828125" customWidth="1"/>
  </cols>
  <sheetData>
    <row r="1" spans="1:5">
      <c r="A1" s="290" t="s">
        <v>89</v>
      </c>
      <c r="B1" s="290"/>
      <c r="C1" s="290"/>
      <c r="D1" s="290"/>
      <c r="E1" s="290"/>
    </row>
    <row r="2" spans="1:5">
      <c r="A2" s="4"/>
    </row>
    <row r="3" spans="1:5">
      <c r="A3" s="290" t="s">
        <v>263</v>
      </c>
      <c r="B3" s="290"/>
      <c r="C3" s="290"/>
      <c r="D3" s="290"/>
      <c r="E3" s="290"/>
    </row>
    <row r="4" spans="1:5">
      <c r="B4" s="27" t="s">
        <v>16</v>
      </c>
      <c r="C4" s="193" t="s">
        <v>17</v>
      </c>
      <c r="D4" s="193" t="s">
        <v>18</v>
      </c>
      <c r="E4" s="193" t="s">
        <v>18</v>
      </c>
    </row>
    <row r="5" spans="1:5">
      <c r="B5" s="193" t="s">
        <v>19</v>
      </c>
      <c r="C5" s="193" t="s">
        <v>20</v>
      </c>
      <c r="D5" s="193" t="s">
        <v>21</v>
      </c>
      <c r="E5" s="193" t="s">
        <v>21</v>
      </c>
    </row>
    <row r="6" spans="1:5">
      <c r="A6" s="22"/>
      <c r="B6" s="194" t="s">
        <v>14</v>
      </c>
      <c r="C6" s="195" t="s">
        <v>15</v>
      </c>
      <c r="D6" s="194" t="s">
        <v>22</v>
      </c>
      <c r="E6" s="194" t="s">
        <v>23</v>
      </c>
    </row>
    <row r="7" spans="1:5">
      <c r="A7" s="26" t="s">
        <v>24</v>
      </c>
      <c r="B7" s="3"/>
      <c r="C7" s="3"/>
      <c r="D7" s="3"/>
      <c r="E7" s="3"/>
    </row>
    <row r="8" spans="1:5">
      <c r="A8" s="84" t="s">
        <v>124</v>
      </c>
      <c r="B8" s="3">
        <v>561.48</v>
      </c>
      <c r="C8" s="3">
        <v>0</v>
      </c>
      <c r="D8" s="3">
        <f>+B8+C8</f>
        <v>561.48</v>
      </c>
      <c r="E8" s="3">
        <v>0</v>
      </c>
    </row>
    <row r="9" spans="1:5">
      <c r="B9" s="3"/>
      <c r="C9" s="3"/>
      <c r="D9" s="3"/>
      <c r="E9" s="3"/>
    </row>
    <row r="10" spans="1:5">
      <c r="A10" s="84"/>
      <c r="B10" s="3"/>
      <c r="C10" s="3"/>
      <c r="D10" s="3"/>
      <c r="E10" s="3"/>
    </row>
    <row r="11" spans="1:5">
      <c r="B11" s="3"/>
      <c r="C11" s="3"/>
      <c r="D11" s="3"/>
      <c r="E11" s="3"/>
    </row>
    <row r="12" spans="1:5">
      <c r="A12" s="26" t="s">
        <v>25</v>
      </c>
      <c r="B12" s="3"/>
      <c r="C12" s="3"/>
      <c r="D12" s="3"/>
      <c r="E12" s="3"/>
    </row>
    <row r="13" spans="1:5">
      <c r="A13" s="84" t="s">
        <v>124</v>
      </c>
      <c r="B13" s="3">
        <v>19439.84</v>
      </c>
      <c r="C13" s="3">
        <v>10289.040000000001</v>
      </c>
      <c r="D13" s="3">
        <f>+B13+C13</f>
        <v>29728.880000000001</v>
      </c>
      <c r="E13" s="3">
        <v>4996.49</v>
      </c>
    </row>
    <row r="14" spans="1:5">
      <c r="A14" s="84"/>
      <c r="B14" s="3"/>
      <c r="C14" s="3"/>
      <c r="D14" s="3"/>
      <c r="E14" s="3"/>
    </row>
    <row r="15" spans="1:5">
      <c r="A15" s="84"/>
      <c r="B15" s="3"/>
      <c r="C15" s="3"/>
      <c r="D15" s="3"/>
      <c r="E15" s="3"/>
    </row>
    <row r="16" spans="1:5">
      <c r="A16" s="192"/>
      <c r="B16" s="6"/>
      <c r="C16" s="6"/>
      <c r="D16" s="3"/>
      <c r="E16" s="3"/>
    </row>
    <row r="17" spans="1:5">
      <c r="A17" s="4" t="s">
        <v>26</v>
      </c>
      <c r="B17" s="27">
        <f>SUM(B7:B16)</f>
        <v>20001.32</v>
      </c>
      <c r="C17" s="27">
        <f>SUM(C7:C16)</f>
        <v>10289.040000000001</v>
      </c>
      <c r="D17" s="196">
        <f>SUM(D7:D16)</f>
        <v>30290.36</v>
      </c>
      <c r="E17" s="197">
        <f>SUM(E7:E16)</f>
        <v>4996.49</v>
      </c>
    </row>
    <row r="18" spans="1:5">
      <c r="B18" s="27"/>
      <c r="C18" s="27"/>
      <c r="D18" s="218"/>
      <c r="E18" s="218"/>
    </row>
    <row r="19" spans="1:5">
      <c r="A19" s="28" t="s">
        <v>2</v>
      </c>
      <c r="B19" s="27"/>
      <c r="C19" s="27"/>
      <c r="D19" s="27"/>
      <c r="E19" s="27"/>
    </row>
    <row r="20" spans="1:5">
      <c r="A20" s="84" t="s">
        <v>27</v>
      </c>
      <c r="B20" s="27">
        <v>0</v>
      </c>
      <c r="C20" s="27">
        <f>MIN(C17:E17)</f>
        <v>4996.49</v>
      </c>
      <c r="D20" s="27"/>
      <c r="E20" s="27"/>
    </row>
    <row r="21" spans="1:5">
      <c r="A21" s="192" t="s">
        <v>28</v>
      </c>
      <c r="B21" s="6">
        <f>MIN((B17-B20),D30)</f>
        <v>20001.32</v>
      </c>
      <c r="C21" s="6">
        <f>MIN((C17-C20),D30)</f>
        <v>5292.5500000000011</v>
      </c>
      <c r="D21" s="27"/>
      <c r="E21" s="27"/>
    </row>
    <row r="22" spans="1:5">
      <c r="B22" s="27">
        <f>+B17-(B20+B21)</f>
        <v>0</v>
      </c>
      <c r="C22" s="27">
        <f>+C17-(C20+C21)</f>
        <v>0</v>
      </c>
      <c r="D22" s="27"/>
      <c r="E22" s="27"/>
    </row>
    <row r="23" spans="1:5">
      <c r="A23" s="28" t="s">
        <v>2</v>
      </c>
      <c r="B23" s="27"/>
      <c r="C23" s="27"/>
      <c r="D23" s="27"/>
      <c r="E23" s="27"/>
    </row>
    <row r="24" spans="1:5">
      <c r="A24" s="22" t="s">
        <v>29</v>
      </c>
      <c r="B24" s="198">
        <v>0</v>
      </c>
      <c r="C24" s="198">
        <v>0</v>
      </c>
      <c r="D24" s="27"/>
      <c r="E24" s="27"/>
    </row>
    <row r="25" spans="1:5">
      <c r="B25" s="27"/>
      <c r="C25" s="27"/>
      <c r="D25" s="27"/>
      <c r="E25" s="27"/>
    </row>
    <row r="26" spans="1:5">
      <c r="A26" s="4" t="s">
        <v>30</v>
      </c>
      <c r="B26" s="196">
        <f>+B22-B24</f>
        <v>0</v>
      </c>
      <c r="C26" s="196">
        <f>+C22-C24</f>
        <v>0</v>
      </c>
      <c r="D26" s="27"/>
      <c r="E26" s="27"/>
    </row>
    <row r="27" spans="1:5">
      <c r="B27" s="218"/>
      <c r="C27" s="218"/>
      <c r="D27" s="27"/>
      <c r="E27" s="27"/>
    </row>
    <row r="28" spans="1:5">
      <c r="B28" s="27"/>
      <c r="C28" s="27"/>
      <c r="D28" s="27"/>
      <c r="E28" s="27"/>
    </row>
    <row r="29" spans="1:5">
      <c r="A29" s="28" t="s">
        <v>31</v>
      </c>
      <c r="B29" s="27"/>
      <c r="C29" s="27"/>
      <c r="D29" s="27"/>
    </row>
    <row r="30" spans="1:5">
      <c r="A30" t="s">
        <v>135</v>
      </c>
      <c r="B30" s="27"/>
      <c r="C30" s="27"/>
      <c r="D30" s="27">
        <v>23637.32</v>
      </c>
    </row>
    <row r="31" spans="1:5">
      <c r="A31" s="28" t="s">
        <v>32</v>
      </c>
      <c r="B31" s="27"/>
      <c r="C31" s="27"/>
      <c r="D31" s="27"/>
    </row>
    <row r="32" spans="1:5">
      <c r="A32" s="84" t="s">
        <v>136</v>
      </c>
      <c r="B32" s="27"/>
      <c r="C32" s="27"/>
      <c r="D32" s="198">
        <f>+E17</f>
        <v>4996.49</v>
      </c>
    </row>
    <row r="33" spans="1:4">
      <c r="A33" t="s">
        <v>137</v>
      </c>
      <c r="B33" s="27"/>
      <c r="C33" s="27"/>
      <c r="D33" s="27">
        <f>+D30+D32</f>
        <v>28633.809999999998</v>
      </c>
    </row>
    <row r="34" spans="1:4">
      <c r="A34" s="28" t="s">
        <v>33</v>
      </c>
      <c r="B34" s="27"/>
      <c r="C34" s="27"/>
      <c r="D34" s="27"/>
    </row>
    <row r="35" spans="1:4">
      <c r="A35" s="84" t="s">
        <v>138</v>
      </c>
      <c r="B35" s="27"/>
      <c r="C35" s="27"/>
      <c r="D35" s="27">
        <f>+B20+C20</f>
        <v>4996.49</v>
      </c>
    </row>
    <row r="36" spans="1:4">
      <c r="A36" s="84" t="s">
        <v>139</v>
      </c>
      <c r="B36" s="27"/>
      <c r="C36" s="27"/>
      <c r="D36" s="198">
        <f>+B21+C21</f>
        <v>25293.870000000003</v>
      </c>
    </row>
    <row r="37" spans="1:4">
      <c r="B37" s="27"/>
      <c r="C37" s="27"/>
      <c r="D37" s="27"/>
    </row>
    <row r="38" spans="1:4">
      <c r="A38" t="s">
        <v>34</v>
      </c>
      <c r="B38" s="27"/>
      <c r="C38" s="27"/>
      <c r="D38" s="196">
        <f>D33-D35-D36</f>
        <v>-1656.5500000000029</v>
      </c>
    </row>
  </sheetData>
  <mergeCells count="2">
    <mergeCell ref="A3:E3"/>
    <mergeCell ref="A1:E1"/>
  </mergeCells>
  <phoneticPr fontId="7" type="noConversion"/>
  <pageMargins left="0.75" right="0.75" top="1" bottom="1" header="0.5" footer="0.5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E12" sqref="E12"/>
    </sheetView>
  </sheetViews>
  <sheetFormatPr defaultRowHeight="12.45"/>
  <cols>
    <col min="1" max="1" width="18" customWidth="1"/>
    <col min="2" max="2" width="22.3046875" customWidth="1"/>
    <col min="3" max="3" width="32.3046875" customWidth="1"/>
    <col min="4" max="4" width="12" customWidth="1"/>
    <col min="5" max="5" width="12.3828125" customWidth="1"/>
    <col min="6" max="6" width="11.69140625" customWidth="1"/>
    <col min="7" max="7" width="10.53515625" bestFit="1" customWidth="1"/>
  </cols>
  <sheetData>
    <row r="1" spans="1:7" ht="15.45">
      <c r="A1" s="219" t="s">
        <v>140</v>
      </c>
      <c r="D1" s="3"/>
    </row>
    <row r="2" spans="1:7" ht="15.45">
      <c r="A2" s="219" t="s">
        <v>226</v>
      </c>
      <c r="D2" s="3"/>
    </row>
    <row r="3" spans="1:7" ht="15.45">
      <c r="A3" s="219"/>
      <c r="D3" s="3"/>
    </row>
    <row r="4" spans="1:7">
      <c r="A4" s="22"/>
      <c r="B4" s="22"/>
      <c r="C4" s="220" t="s">
        <v>141</v>
      </c>
      <c r="D4" s="221" t="s">
        <v>1</v>
      </c>
      <c r="E4" s="220" t="s">
        <v>1</v>
      </c>
    </row>
    <row r="5" spans="1:7">
      <c r="A5" s="84" t="s">
        <v>227</v>
      </c>
      <c r="D5" s="3"/>
      <c r="E5" s="3">
        <v>1671.17</v>
      </c>
      <c r="G5" s="3"/>
    </row>
    <row r="6" spans="1:7">
      <c r="A6" s="84"/>
      <c r="D6" s="3"/>
      <c r="E6" s="3"/>
      <c r="G6" s="3"/>
    </row>
    <row r="7" spans="1:7">
      <c r="A7" s="222" t="s">
        <v>142</v>
      </c>
      <c r="D7" s="3"/>
      <c r="E7" s="3"/>
    </row>
    <row r="8" spans="1:7">
      <c r="A8" s="84" t="s">
        <v>143</v>
      </c>
      <c r="B8" s="223" t="s">
        <v>144</v>
      </c>
      <c r="C8" s="223" t="s">
        <v>228</v>
      </c>
      <c r="D8" s="3">
        <v>1206.71</v>
      </c>
      <c r="E8" s="3"/>
    </row>
    <row r="9" spans="1:7">
      <c r="D9" s="3"/>
      <c r="E9" s="3"/>
    </row>
    <row r="10" spans="1:7">
      <c r="A10" s="84" t="s">
        <v>145</v>
      </c>
      <c r="B10" s="84" t="s">
        <v>146</v>
      </c>
      <c r="C10" s="84" t="s">
        <v>229</v>
      </c>
      <c r="D10" s="3">
        <v>13061.9</v>
      </c>
      <c r="E10" s="3"/>
    </row>
    <row r="11" spans="1:7">
      <c r="D11" s="3"/>
      <c r="E11" s="3"/>
      <c r="F11" s="3"/>
    </row>
    <row r="12" spans="1:7">
      <c r="A12" t="s">
        <v>147</v>
      </c>
      <c r="C12" s="84" t="s">
        <v>235</v>
      </c>
      <c r="D12" s="234">
        <v>0</v>
      </c>
      <c r="E12" s="3"/>
      <c r="F12" s="3"/>
      <c r="G12" s="3"/>
    </row>
    <row r="14" spans="1:7">
      <c r="A14" s="84" t="s">
        <v>232</v>
      </c>
      <c r="B14" s="84"/>
      <c r="C14" s="84" t="s">
        <v>233</v>
      </c>
      <c r="D14" s="235">
        <v>500000</v>
      </c>
      <c r="E14" s="3"/>
      <c r="F14" s="3"/>
    </row>
    <row r="15" spans="1:7">
      <c r="A15" s="84"/>
      <c r="B15" s="84"/>
      <c r="C15" s="84"/>
      <c r="D15" s="3"/>
      <c r="E15" s="3"/>
      <c r="F15" s="3"/>
    </row>
    <row r="16" spans="1:7" ht="14.6">
      <c r="A16" s="84" t="s">
        <v>149</v>
      </c>
      <c r="B16" s="84"/>
      <c r="C16" s="84"/>
      <c r="D16" s="6">
        <v>0</v>
      </c>
      <c r="E16" s="236">
        <f>D8+D10+D12+D14+D16</f>
        <v>514268.61</v>
      </c>
      <c r="F16" s="3"/>
    </row>
    <row r="17" spans="1:7" ht="14.6">
      <c r="A17" s="39" t="s">
        <v>150</v>
      </c>
      <c r="B17" s="3"/>
      <c r="C17" s="3"/>
      <c r="D17" s="3"/>
      <c r="E17" s="224"/>
      <c r="F17" s="3"/>
      <c r="G17" s="3"/>
    </row>
    <row r="18" spans="1:7">
      <c r="B18" s="3"/>
      <c r="C18" s="3"/>
      <c r="D18" s="3"/>
      <c r="E18" s="78"/>
      <c r="F18" s="3"/>
    </row>
    <row r="19" spans="1:7">
      <c r="B19" s="3"/>
      <c r="C19" s="3"/>
      <c r="D19" s="3"/>
      <c r="E19" s="3">
        <f>SUM(E5:E18)</f>
        <v>515939.77999999997</v>
      </c>
      <c r="G19" s="3"/>
    </row>
    <row r="20" spans="1:7">
      <c r="B20" s="3"/>
      <c r="C20" s="3"/>
      <c r="D20" s="3"/>
      <c r="E20" s="3"/>
      <c r="F20" s="3"/>
    </row>
    <row r="21" spans="1:7">
      <c r="A21" s="222" t="s">
        <v>151</v>
      </c>
      <c r="B21" s="3"/>
      <c r="C21" s="3"/>
      <c r="D21" s="3"/>
      <c r="E21" s="3"/>
      <c r="F21" s="3"/>
    </row>
    <row r="22" spans="1:7">
      <c r="A22" s="84" t="s">
        <v>152</v>
      </c>
      <c r="B22" s="3"/>
      <c r="C22" s="84" t="s">
        <v>230</v>
      </c>
      <c r="D22" s="3">
        <v>5750.89</v>
      </c>
      <c r="E22" s="3"/>
      <c r="F22" s="3"/>
    </row>
    <row r="23" spans="1:7">
      <c r="A23" s="3"/>
      <c r="B23" s="3"/>
      <c r="C23" s="3"/>
      <c r="D23" s="3"/>
      <c r="E23" s="3"/>
    </row>
    <row r="24" spans="1:7">
      <c r="A24" s="84" t="s">
        <v>153</v>
      </c>
      <c r="C24" s="84" t="s">
        <v>148</v>
      </c>
      <c r="D24" s="3">
        <v>6697</v>
      </c>
      <c r="E24" s="3"/>
    </row>
    <row r="25" spans="1:7">
      <c r="D25" s="3"/>
      <c r="E25" s="3"/>
    </row>
    <row r="26" spans="1:7">
      <c r="A26" s="84" t="s">
        <v>154</v>
      </c>
      <c r="C26" s="84" t="s">
        <v>234</v>
      </c>
      <c r="D26" s="3">
        <v>495875.48</v>
      </c>
      <c r="E26" s="3"/>
      <c r="F26" s="3"/>
    </row>
    <row r="27" spans="1:7">
      <c r="A27" s="84"/>
      <c r="C27" s="84"/>
      <c r="D27" s="3"/>
      <c r="E27" s="3"/>
      <c r="F27" s="3"/>
    </row>
    <row r="28" spans="1:7">
      <c r="A28" s="84" t="s">
        <v>155</v>
      </c>
      <c r="C28" s="84"/>
      <c r="D28" s="3">
        <v>0</v>
      </c>
      <c r="E28" s="3"/>
      <c r="F28" s="3"/>
    </row>
    <row r="29" spans="1:7" ht="14.6">
      <c r="A29" s="39" t="s">
        <v>156</v>
      </c>
      <c r="D29" s="3"/>
      <c r="E29" s="236">
        <f>D22+D24+D26+D28</f>
        <v>508323.37</v>
      </c>
      <c r="F29" s="3"/>
      <c r="G29" s="3"/>
    </row>
    <row r="30" spans="1:7">
      <c r="D30" s="3"/>
      <c r="E30" s="78"/>
    </row>
    <row r="31" spans="1:7" ht="12.9" thickBot="1">
      <c r="A31" s="84" t="s">
        <v>231</v>
      </c>
      <c r="D31" s="3"/>
      <c r="E31" s="237">
        <f>E19-E29</f>
        <v>7616.4099999999744</v>
      </c>
      <c r="G31" s="3"/>
    </row>
    <row r="32" spans="1:7" ht="12.9" thickTop="1"/>
    <row r="37" spans="4:5">
      <c r="D37" s="3"/>
      <c r="E37" s="3"/>
    </row>
  </sheetData>
  <printOptions gridLines="1"/>
  <pageMargins left="0.25" right="0.25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B10" sqref="B10"/>
    </sheetView>
  </sheetViews>
  <sheetFormatPr defaultColWidth="9.15234375" defaultRowHeight="15"/>
  <cols>
    <col min="1" max="1" width="9.15234375" style="227"/>
    <col min="2" max="2" width="42.69140625" style="227" customWidth="1"/>
    <col min="3" max="3" width="9.15234375" style="227"/>
    <col min="4" max="4" width="13.69140625" style="227" customWidth="1"/>
    <col min="5" max="5" width="15.69140625" style="227" customWidth="1"/>
    <col min="6" max="6" width="9.15234375" style="227"/>
    <col min="7" max="7" width="17" style="227" customWidth="1"/>
    <col min="8" max="8" width="19.15234375" style="227" customWidth="1"/>
    <col min="9" max="10" width="14.69140625" style="227" customWidth="1"/>
    <col min="11" max="11" width="25.3828125" style="227" customWidth="1"/>
    <col min="12" max="16384" width="9.15234375" style="227"/>
  </cols>
  <sheetData>
    <row r="1" spans="1:11" ht="15.45">
      <c r="A1" s="219" t="s">
        <v>287</v>
      </c>
      <c r="B1" s="219"/>
      <c r="C1" s="219"/>
      <c r="D1" s="226"/>
      <c r="E1" s="226"/>
      <c r="F1" s="219"/>
      <c r="G1" s="219"/>
      <c r="H1" s="219"/>
      <c r="I1" s="219"/>
      <c r="J1" s="219"/>
      <c r="K1" s="219"/>
    </row>
    <row r="2" spans="1:11">
      <c r="D2" s="228"/>
      <c r="E2" s="228"/>
    </row>
    <row r="3" spans="1:11" ht="15.45">
      <c r="A3" s="225" t="s">
        <v>157</v>
      </c>
      <c r="B3" s="225"/>
      <c r="C3" s="225" t="s">
        <v>158</v>
      </c>
      <c r="D3" s="229" t="s">
        <v>159</v>
      </c>
      <c r="E3" s="229" t="s">
        <v>160</v>
      </c>
      <c r="F3" s="225"/>
      <c r="G3" s="225"/>
      <c r="H3" s="225"/>
      <c r="I3" s="225"/>
      <c r="J3" s="225"/>
      <c r="K3" s="225"/>
    </row>
    <row r="4" spans="1:11" ht="15.45">
      <c r="A4" s="230" t="s">
        <v>161</v>
      </c>
      <c r="D4" s="228"/>
      <c r="E4" s="228"/>
    </row>
    <row r="5" spans="1:11" ht="15.45">
      <c r="A5" s="230"/>
      <c r="D5" s="228"/>
      <c r="E5" s="228"/>
    </row>
    <row r="6" spans="1:11" ht="15.45">
      <c r="A6" s="250"/>
      <c r="B6" s="243" t="s">
        <v>221</v>
      </c>
      <c r="C6" s="246">
        <v>55105</v>
      </c>
      <c r="D6" s="253">
        <v>2.42</v>
      </c>
    </row>
    <row r="7" spans="1:11" ht="15.45">
      <c r="A7" s="250"/>
      <c r="B7" s="243" t="s">
        <v>222</v>
      </c>
      <c r="C7" s="246" t="s">
        <v>223</v>
      </c>
      <c r="D7" s="253">
        <v>757.86</v>
      </c>
    </row>
    <row r="8" spans="1:11" ht="15.45">
      <c r="A8" s="250"/>
      <c r="B8" s="243" t="s">
        <v>224</v>
      </c>
      <c r="C8" s="246" t="s">
        <v>288</v>
      </c>
      <c r="D8" s="253">
        <v>638.07000000000005</v>
      </c>
    </row>
    <row r="9" spans="1:11">
      <c r="B9" s="232" t="s">
        <v>196</v>
      </c>
      <c r="C9" s="246" t="s">
        <v>247</v>
      </c>
      <c r="E9" s="253">
        <v>1398.35</v>
      </c>
    </row>
    <row r="10" spans="1:11">
      <c r="B10" s="249" t="s">
        <v>280</v>
      </c>
      <c r="C10" s="246"/>
      <c r="E10" s="253"/>
    </row>
    <row r="11" spans="1:11">
      <c r="B11" s="232"/>
      <c r="C11" s="246"/>
      <c r="E11" s="253"/>
    </row>
    <row r="12" spans="1:11">
      <c r="B12" s="286" t="s">
        <v>162</v>
      </c>
      <c r="C12" s="227" t="s">
        <v>163</v>
      </c>
      <c r="D12" s="233">
        <f>E13+E14+E15+E16+E17</f>
        <v>66720.640000000014</v>
      </c>
    </row>
    <row r="13" spans="1:11">
      <c r="A13" s="231"/>
      <c r="B13" s="232" t="s">
        <v>164</v>
      </c>
      <c r="C13" s="227" t="s">
        <v>165</v>
      </c>
      <c r="E13" s="233">
        <v>68.39</v>
      </c>
    </row>
    <row r="14" spans="1:11">
      <c r="A14" s="231"/>
      <c r="B14" s="232" t="s">
        <v>281</v>
      </c>
      <c r="C14" s="227" t="s">
        <v>282</v>
      </c>
      <c r="E14" s="233">
        <v>6221.9</v>
      </c>
    </row>
    <row r="15" spans="1:11">
      <c r="A15" s="231"/>
      <c r="B15" s="232" t="s">
        <v>285</v>
      </c>
      <c r="C15" s="227" t="s">
        <v>286</v>
      </c>
      <c r="E15" s="233">
        <v>21037.41</v>
      </c>
    </row>
    <row r="16" spans="1:11">
      <c r="B16" s="232" t="s">
        <v>166</v>
      </c>
      <c r="C16" s="227" t="s">
        <v>167</v>
      </c>
      <c r="E16" s="233">
        <v>21386.65</v>
      </c>
    </row>
    <row r="17" spans="1:5">
      <c r="B17" s="232" t="s">
        <v>283</v>
      </c>
      <c r="C17" s="227" t="s">
        <v>284</v>
      </c>
      <c r="E17" s="233">
        <v>18006.29</v>
      </c>
    </row>
    <row r="19" spans="1:5">
      <c r="D19" s="228"/>
      <c r="E19" s="228"/>
    </row>
    <row r="20" spans="1:5">
      <c r="D20" s="228"/>
      <c r="E20" s="228"/>
    </row>
    <row r="21" spans="1:5">
      <c r="D21" s="228"/>
      <c r="E21" s="228"/>
    </row>
    <row r="28" spans="1:5" ht="15.45">
      <c r="A28" s="250"/>
      <c r="B28" s="249"/>
      <c r="C28" s="246"/>
      <c r="D28" s="253"/>
      <c r="E28" s="253"/>
    </row>
  </sheetData>
  <printOptions gridLines="1"/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78"/>
  <sheetViews>
    <sheetView topLeftCell="A43" workbookViewId="0">
      <selection activeCell="B71" sqref="B71"/>
    </sheetView>
  </sheetViews>
  <sheetFormatPr defaultRowHeight="15.45"/>
  <cols>
    <col min="1" max="1" width="12.15234375" style="250" customWidth="1"/>
    <col min="2" max="2" width="49" style="249" customWidth="1"/>
    <col min="3" max="3" width="10.84375" style="246" bestFit="1" customWidth="1"/>
    <col min="4" max="5" width="14.23046875" style="253" customWidth="1"/>
    <col min="6" max="6" width="13.84375" style="249" customWidth="1"/>
    <col min="7" max="7" width="2.69140625" style="249" customWidth="1"/>
    <col min="8" max="8" width="16.84375" style="249" customWidth="1"/>
    <col min="9" max="16384" width="9.23046875" style="249"/>
  </cols>
  <sheetData>
    <row r="1" spans="1:11">
      <c r="A1" s="244" t="s">
        <v>173</v>
      </c>
      <c r="B1" s="245"/>
      <c r="D1" s="247"/>
      <c r="E1" s="247"/>
      <c r="F1" s="248"/>
      <c r="G1" s="245"/>
      <c r="H1" s="245"/>
      <c r="I1" s="245"/>
      <c r="J1" s="245"/>
    </row>
    <row r="2" spans="1:11">
      <c r="A2" s="250" t="s">
        <v>157</v>
      </c>
      <c r="B2" s="246"/>
      <c r="C2" s="250" t="s">
        <v>158</v>
      </c>
      <c r="D2" s="251" t="s">
        <v>159</v>
      </c>
      <c r="E2" s="251" t="s">
        <v>160</v>
      </c>
      <c r="F2" s="250"/>
      <c r="G2" s="250"/>
      <c r="H2" s="250"/>
      <c r="I2" s="250"/>
      <c r="J2" s="250"/>
      <c r="K2" s="250"/>
    </row>
    <row r="3" spans="1:11">
      <c r="B3" s="250"/>
      <c r="D3" s="251"/>
      <c r="E3" s="251"/>
      <c r="F3" s="250"/>
      <c r="G3" s="250"/>
      <c r="H3" s="250"/>
      <c r="I3" s="250"/>
      <c r="J3" s="250"/>
      <c r="K3" s="250"/>
    </row>
    <row r="4" spans="1:11">
      <c r="A4" s="252">
        <v>44743</v>
      </c>
      <c r="B4" s="250"/>
      <c r="D4" s="251"/>
      <c r="E4" s="251"/>
      <c r="F4" s="250"/>
      <c r="G4" s="250"/>
      <c r="H4" s="250"/>
      <c r="I4" s="250"/>
      <c r="J4" s="250"/>
      <c r="K4" s="250"/>
    </row>
    <row r="5" spans="1:11" ht="15">
      <c r="A5" s="249"/>
      <c r="B5" s="249" t="s">
        <v>169</v>
      </c>
      <c r="C5" s="246" t="s">
        <v>170</v>
      </c>
      <c r="D5" s="253">
        <v>2619.34</v>
      </c>
    </row>
    <row r="6" spans="1:11">
      <c r="A6" s="252"/>
      <c r="B6" s="249" t="s">
        <v>236</v>
      </c>
      <c r="C6" s="246" t="s">
        <v>237</v>
      </c>
      <c r="D6" s="253">
        <v>81253.62</v>
      </c>
    </row>
    <row r="7" spans="1:11">
      <c r="A7" s="252"/>
      <c r="B7" s="232" t="s">
        <v>238</v>
      </c>
      <c r="C7" s="246" t="s">
        <v>239</v>
      </c>
      <c r="E7" s="253">
        <f>D5+D6</f>
        <v>83872.959999999992</v>
      </c>
    </row>
    <row r="8" spans="1:11">
      <c r="B8" s="249" t="s">
        <v>186</v>
      </c>
      <c r="C8" s="246" t="s">
        <v>171</v>
      </c>
      <c r="D8" s="253">
        <v>946.83</v>
      </c>
    </row>
    <row r="9" spans="1:11">
      <c r="A9" s="252"/>
      <c r="B9" s="249" t="s">
        <v>240</v>
      </c>
      <c r="C9" s="246" t="s">
        <v>241</v>
      </c>
      <c r="D9" s="253">
        <v>206628.57</v>
      </c>
    </row>
    <row r="10" spans="1:11">
      <c r="A10" s="257" t="s">
        <v>172</v>
      </c>
      <c r="B10" s="258" t="s">
        <v>242</v>
      </c>
      <c r="C10" s="259" t="s">
        <v>243</v>
      </c>
      <c r="E10" s="253">
        <f>D8+D9</f>
        <v>207575.4</v>
      </c>
    </row>
    <row r="11" spans="1:11">
      <c r="A11" s="252">
        <v>44872</v>
      </c>
    </row>
    <row r="12" spans="1:11" ht="15">
      <c r="A12" s="249"/>
      <c r="B12" s="249" t="s">
        <v>169</v>
      </c>
      <c r="C12" s="246" t="s">
        <v>170</v>
      </c>
      <c r="D12" s="253">
        <v>330000</v>
      </c>
    </row>
    <row r="13" spans="1:11">
      <c r="A13" s="257" t="s">
        <v>180</v>
      </c>
      <c r="B13" s="258" t="s">
        <v>244</v>
      </c>
      <c r="C13" s="259" t="s">
        <v>245</v>
      </c>
      <c r="E13" s="253">
        <v>330000</v>
      </c>
    </row>
    <row r="14" spans="1:11">
      <c r="A14" s="252">
        <v>45107</v>
      </c>
    </row>
    <row r="15" spans="1:11">
      <c r="B15" s="249" t="s">
        <v>175</v>
      </c>
      <c r="C15" s="246" t="s">
        <v>174</v>
      </c>
      <c r="D15" s="253">
        <v>40.25</v>
      </c>
    </row>
    <row r="16" spans="1:11">
      <c r="B16" s="232" t="s">
        <v>176</v>
      </c>
      <c r="C16" s="246" t="s">
        <v>177</v>
      </c>
      <c r="E16" s="253">
        <v>40.25</v>
      </c>
    </row>
    <row r="17" spans="1:5">
      <c r="B17" s="249" t="s">
        <v>246</v>
      </c>
      <c r="C17" s="246" t="s">
        <v>247</v>
      </c>
      <c r="D17" s="253">
        <v>260.47000000000003</v>
      </c>
    </row>
    <row r="18" spans="1:5" ht="15">
      <c r="A18" s="249"/>
      <c r="B18" s="232" t="s">
        <v>178</v>
      </c>
      <c r="C18" s="246" t="s">
        <v>179</v>
      </c>
      <c r="E18" s="253">
        <v>242.12</v>
      </c>
    </row>
    <row r="19" spans="1:5">
      <c r="A19" s="260" t="s">
        <v>185</v>
      </c>
      <c r="B19" s="258" t="s">
        <v>248</v>
      </c>
      <c r="C19" s="259" t="s">
        <v>179</v>
      </c>
      <c r="E19" s="253">
        <v>18.350000000000001</v>
      </c>
    </row>
    <row r="20" spans="1:5">
      <c r="A20" s="260"/>
      <c r="B20" s="261"/>
      <c r="C20" s="262"/>
    </row>
    <row r="21" spans="1:5">
      <c r="B21" s="243" t="s">
        <v>181</v>
      </c>
      <c r="C21" s="246" t="s">
        <v>182</v>
      </c>
      <c r="D21" s="253">
        <v>2205.63</v>
      </c>
    </row>
    <row r="22" spans="1:5">
      <c r="A22" s="254" t="s">
        <v>187</v>
      </c>
      <c r="B22" s="258" t="s">
        <v>183</v>
      </c>
      <c r="C22" s="259" t="s">
        <v>184</v>
      </c>
      <c r="E22" s="253">
        <v>2205.63</v>
      </c>
    </row>
    <row r="23" spans="1:5">
      <c r="C23" s="249"/>
    </row>
    <row r="24" spans="1:5">
      <c r="B24" s="249" t="s">
        <v>188</v>
      </c>
      <c r="C24" s="246">
        <v>382</v>
      </c>
      <c r="D24" s="253">
        <v>5750.89</v>
      </c>
    </row>
    <row r="25" spans="1:5">
      <c r="B25" s="249" t="s">
        <v>251</v>
      </c>
      <c r="C25" s="246" t="s">
        <v>215</v>
      </c>
      <c r="D25" s="253">
        <v>495875.48</v>
      </c>
    </row>
    <row r="26" spans="1:5">
      <c r="B26" s="243" t="s">
        <v>189</v>
      </c>
      <c r="C26" s="246">
        <v>969</v>
      </c>
      <c r="E26" s="253">
        <v>500000</v>
      </c>
    </row>
    <row r="27" spans="1:5">
      <c r="B27" s="243" t="s">
        <v>189</v>
      </c>
      <c r="C27" s="246">
        <v>969</v>
      </c>
      <c r="D27" s="253">
        <v>6697</v>
      </c>
    </row>
    <row r="28" spans="1:5">
      <c r="B28" s="232" t="s">
        <v>250</v>
      </c>
      <c r="C28" s="246" t="s">
        <v>249</v>
      </c>
      <c r="E28" s="253">
        <v>1206.71</v>
      </c>
    </row>
    <row r="29" spans="1:5">
      <c r="B29" s="264" t="s">
        <v>201</v>
      </c>
      <c r="C29" s="246" t="s">
        <v>192</v>
      </c>
      <c r="E29" s="265">
        <v>13061.9</v>
      </c>
    </row>
    <row r="30" spans="1:5">
      <c r="B30" s="243" t="s">
        <v>252</v>
      </c>
      <c r="C30" s="246">
        <v>683</v>
      </c>
      <c r="D30" s="253">
        <v>5945.24</v>
      </c>
      <c r="E30" s="255"/>
    </row>
    <row r="31" spans="1:5">
      <c r="A31" s="254" t="s">
        <v>190</v>
      </c>
      <c r="B31" s="263" t="s">
        <v>191</v>
      </c>
      <c r="C31" s="259"/>
    </row>
    <row r="32" spans="1:5">
      <c r="B32" s="243"/>
    </row>
    <row r="33" spans="1:11">
      <c r="B33" s="266" t="s">
        <v>201</v>
      </c>
      <c r="C33" s="246">
        <v>19701</v>
      </c>
      <c r="D33" s="265">
        <f>E29</f>
        <v>13061.9</v>
      </c>
    </row>
    <row r="34" spans="1:11">
      <c r="B34" s="232" t="s">
        <v>193</v>
      </c>
      <c r="C34" s="246" t="s">
        <v>194</v>
      </c>
      <c r="E34" s="253">
        <v>9371.75</v>
      </c>
    </row>
    <row r="35" spans="1:11">
      <c r="B35" s="232" t="s">
        <v>212</v>
      </c>
      <c r="C35" s="246" t="s">
        <v>195</v>
      </c>
      <c r="E35" s="253">
        <v>524.15</v>
      </c>
    </row>
    <row r="36" spans="1:11">
      <c r="B36" s="267" t="s">
        <v>202</v>
      </c>
      <c r="C36" s="246" t="s">
        <v>192</v>
      </c>
      <c r="E36" s="268">
        <f>D33-E34-E35</f>
        <v>3165.9999999999995</v>
      </c>
    </row>
    <row r="37" spans="1:11">
      <c r="B37" s="249" t="s">
        <v>196</v>
      </c>
      <c r="C37" s="246" t="s">
        <v>247</v>
      </c>
      <c r="D37" s="253">
        <f>E38+E39</f>
        <v>3515.7000000000003</v>
      </c>
    </row>
    <row r="38" spans="1:11">
      <c r="B38" s="232" t="s">
        <v>198</v>
      </c>
      <c r="C38" s="246" t="s">
        <v>197</v>
      </c>
      <c r="E38" s="253">
        <v>3496.17</v>
      </c>
    </row>
    <row r="39" spans="1:11">
      <c r="A39" s="254" t="s">
        <v>253</v>
      </c>
      <c r="B39" s="258" t="s">
        <v>199</v>
      </c>
      <c r="C39" s="259" t="s">
        <v>200</v>
      </c>
      <c r="E39" s="253">
        <v>19.53</v>
      </c>
    </row>
    <row r="40" spans="1:11">
      <c r="A40" s="244" t="s">
        <v>173</v>
      </c>
      <c r="B40" s="245"/>
      <c r="D40" s="247"/>
      <c r="E40" s="247"/>
      <c r="F40" s="248"/>
      <c r="G40" s="245"/>
      <c r="H40" s="245"/>
      <c r="I40" s="245"/>
      <c r="J40" s="245"/>
    </row>
    <row r="41" spans="1:11">
      <c r="A41" s="250" t="s">
        <v>157</v>
      </c>
      <c r="B41" s="246"/>
      <c r="C41" s="250" t="s">
        <v>158</v>
      </c>
      <c r="D41" s="251" t="s">
        <v>159</v>
      </c>
      <c r="E41" s="251" t="s">
        <v>160</v>
      </c>
      <c r="F41" s="250"/>
      <c r="G41" s="250"/>
      <c r="H41" s="250"/>
      <c r="I41" s="250"/>
      <c r="J41" s="250"/>
      <c r="K41" s="250"/>
    </row>
    <row r="42" spans="1:11">
      <c r="A42" s="252">
        <v>45107</v>
      </c>
    </row>
    <row r="43" spans="1:11">
      <c r="B43" s="249" t="s">
        <v>255</v>
      </c>
      <c r="C43" s="246">
        <v>660</v>
      </c>
      <c r="D43" s="253">
        <v>2772.47</v>
      </c>
    </row>
    <row r="44" spans="1:11">
      <c r="B44" s="269" t="s">
        <v>202</v>
      </c>
      <c r="C44" s="256" t="s">
        <v>192</v>
      </c>
      <c r="D44" s="268">
        <f>E36</f>
        <v>3165.9999999999995</v>
      </c>
    </row>
    <row r="45" spans="1:11">
      <c r="B45" s="232" t="s">
        <v>254</v>
      </c>
      <c r="C45" s="246">
        <v>660</v>
      </c>
      <c r="E45" s="253">
        <v>853.21</v>
      </c>
    </row>
    <row r="46" spans="1:11">
      <c r="B46" s="232" t="s">
        <v>205</v>
      </c>
      <c r="C46" s="246" t="s">
        <v>192</v>
      </c>
      <c r="E46" s="253">
        <v>633.62</v>
      </c>
    </row>
    <row r="47" spans="1:11">
      <c r="B47" s="232" t="s">
        <v>203</v>
      </c>
      <c r="C47" s="246" t="s">
        <v>204</v>
      </c>
      <c r="E47" s="253">
        <v>3283.21</v>
      </c>
    </row>
    <row r="48" spans="1:11">
      <c r="B48" s="232" t="s">
        <v>206</v>
      </c>
      <c r="C48" s="246" t="s">
        <v>207</v>
      </c>
      <c r="E48" s="253">
        <f>606.89+0.06</f>
        <v>606.94999999999993</v>
      </c>
    </row>
    <row r="49" spans="1:5">
      <c r="B49" s="232" t="s">
        <v>208</v>
      </c>
      <c r="C49" s="246">
        <v>212</v>
      </c>
      <c r="E49" s="253">
        <v>561.48</v>
      </c>
    </row>
    <row r="50" spans="1:5">
      <c r="B50" s="249" t="s">
        <v>196</v>
      </c>
      <c r="C50" s="246" t="s">
        <v>247</v>
      </c>
      <c r="D50" s="253">
        <f>E51+E52</f>
        <v>577.64</v>
      </c>
    </row>
    <row r="51" spans="1:5">
      <c r="B51" s="232" t="s">
        <v>209</v>
      </c>
      <c r="C51" s="246" t="s">
        <v>200</v>
      </c>
      <c r="E51" s="253">
        <v>577.25</v>
      </c>
    </row>
    <row r="52" spans="1:5">
      <c r="B52" s="232" t="s">
        <v>210</v>
      </c>
      <c r="C52" s="246" t="s">
        <v>211</v>
      </c>
      <c r="E52" s="253">
        <v>0.39</v>
      </c>
    </row>
    <row r="53" spans="1:5">
      <c r="A53" s="254" t="s">
        <v>256</v>
      </c>
      <c r="B53" s="263" t="s">
        <v>257</v>
      </c>
      <c r="C53" s="259"/>
    </row>
    <row r="55" spans="1:5">
      <c r="B55" s="249" t="s">
        <v>213</v>
      </c>
      <c r="C55" s="246">
        <v>210</v>
      </c>
      <c r="D55" s="253">
        <v>4996.49</v>
      </c>
    </row>
    <row r="56" spans="1:5" ht="15">
      <c r="A56" s="249"/>
      <c r="B56" s="232" t="s">
        <v>17</v>
      </c>
      <c r="C56" s="246">
        <v>210</v>
      </c>
      <c r="E56" s="253">
        <v>29728.880000000001</v>
      </c>
    </row>
    <row r="57" spans="1:5">
      <c r="B57" s="249" t="s">
        <v>214</v>
      </c>
      <c r="C57" s="246" t="s">
        <v>215</v>
      </c>
      <c r="D57" s="253">
        <v>24835.73</v>
      </c>
    </row>
    <row r="58" spans="1:5">
      <c r="B58" s="249" t="s">
        <v>217</v>
      </c>
      <c r="C58" s="246" t="s">
        <v>216</v>
      </c>
      <c r="D58" s="253">
        <v>21743.81</v>
      </c>
    </row>
    <row r="59" spans="1:5">
      <c r="A59" s="254" t="s">
        <v>258</v>
      </c>
      <c r="B59" s="270" t="s">
        <v>183</v>
      </c>
      <c r="C59" s="259" t="s">
        <v>184</v>
      </c>
      <c r="E59" s="253">
        <f>D55+D57+D58-E56</f>
        <v>21847.149999999998</v>
      </c>
    </row>
    <row r="61" spans="1:5">
      <c r="B61" s="249" t="s">
        <v>261</v>
      </c>
      <c r="C61" s="246" t="s">
        <v>218</v>
      </c>
      <c r="D61" s="253">
        <f>1129*15%</f>
        <v>169.35</v>
      </c>
    </row>
    <row r="62" spans="1:5">
      <c r="B62" s="249" t="s">
        <v>262</v>
      </c>
      <c r="C62" s="246" t="s">
        <v>219</v>
      </c>
      <c r="D62" s="253">
        <f>4275*15%</f>
        <v>641.25</v>
      </c>
    </row>
    <row r="63" spans="1:5">
      <c r="A63" s="254" t="s">
        <v>259</v>
      </c>
      <c r="B63" s="258" t="s">
        <v>196</v>
      </c>
      <c r="C63" s="259" t="s">
        <v>247</v>
      </c>
      <c r="E63" s="253">
        <f>D61+D62</f>
        <v>810.6</v>
      </c>
    </row>
    <row r="65" spans="1:5">
      <c r="A65" s="219" t="s">
        <v>168</v>
      </c>
    </row>
    <row r="67" spans="1:5">
      <c r="B67" s="243" t="s">
        <v>221</v>
      </c>
      <c r="C67" s="246">
        <v>55105</v>
      </c>
      <c r="D67" s="253">
        <f>'Tax Rec'!D93</f>
        <v>2.4828680431688244</v>
      </c>
      <c r="E67" s="227"/>
    </row>
    <row r="68" spans="1:5">
      <c r="B68" s="243" t="s">
        <v>222</v>
      </c>
      <c r="C68" s="246" t="s">
        <v>223</v>
      </c>
      <c r="D68" s="253">
        <f>'Tax Rec'!D94</f>
        <v>776.44569878109826</v>
      </c>
      <c r="E68" s="227"/>
    </row>
    <row r="69" spans="1:5">
      <c r="B69" s="243" t="s">
        <v>224</v>
      </c>
      <c r="C69" s="246" t="s">
        <v>288</v>
      </c>
      <c r="D69" s="253">
        <f>'Tax Rec'!D95</f>
        <v>653.72143317573295</v>
      </c>
      <c r="E69" s="227"/>
    </row>
    <row r="70" spans="1:5">
      <c r="A70" s="254"/>
      <c r="B70" s="232" t="s">
        <v>196</v>
      </c>
      <c r="C70" s="246" t="s">
        <v>247</v>
      </c>
      <c r="D70" s="227"/>
      <c r="E70" s="253">
        <f>D67+D68+D69</f>
        <v>1432.65</v>
      </c>
    </row>
    <row r="71" spans="1:5">
      <c r="A71" s="254"/>
      <c r="B71" s="249" t="s">
        <v>280</v>
      </c>
      <c r="D71" s="227"/>
    </row>
    <row r="72" spans="1:5" ht="15">
      <c r="A72" s="227"/>
      <c r="B72" s="232"/>
      <c r="D72" s="227"/>
    </row>
    <row r="73" spans="1:5" ht="15">
      <c r="A73" s="231"/>
      <c r="B73" s="286" t="s">
        <v>162</v>
      </c>
      <c r="C73" s="227" t="s">
        <v>163</v>
      </c>
      <c r="D73" s="233">
        <f>E74+E75+E76+E77+E78</f>
        <v>66720.640000000029</v>
      </c>
      <c r="E73" s="227"/>
    </row>
    <row r="74" spans="1:5" ht="15">
      <c r="A74" s="231"/>
      <c r="B74" s="232" t="s">
        <v>164</v>
      </c>
      <c r="C74" s="227" t="s">
        <v>165</v>
      </c>
      <c r="D74" s="227"/>
      <c r="E74" s="233">
        <f>'Tax Rec'!D76</f>
        <v>69.841036613943444</v>
      </c>
    </row>
    <row r="75" spans="1:5" ht="15">
      <c r="A75" s="227"/>
      <c r="B75" s="232" t="s">
        <v>281</v>
      </c>
      <c r="C75" s="227" t="s">
        <v>282</v>
      </c>
      <c r="D75" s="227"/>
      <c r="E75" s="233">
        <f>'Tax Rec'!D71</f>
        <v>6030.6409948822484</v>
      </c>
    </row>
    <row r="76" spans="1:5" ht="15">
      <c r="A76" s="227"/>
      <c r="B76" s="232" t="s">
        <v>285</v>
      </c>
      <c r="C76" s="227" t="s">
        <v>286</v>
      </c>
      <c r="D76" s="227"/>
      <c r="E76" s="233">
        <f>'Tax Rec'!D72</f>
        <v>20390.732445117763</v>
      </c>
    </row>
    <row r="77" spans="1:5" ht="15">
      <c r="A77" s="249"/>
      <c r="B77" s="232" t="s">
        <v>166</v>
      </c>
      <c r="C77" s="227" t="s">
        <v>167</v>
      </c>
      <c r="D77" s="227"/>
      <c r="E77" s="233">
        <f>'Tax Rec'!D77</f>
        <v>21840.779104837162</v>
      </c>
    </row>
    <row r="78" spans="1:5">
      <c r="A78" s="254" t="s">
        <v>260</v>
      </c>
      <c r="B78" s="258" t="s">
        <v>283</v>
      </c>
      <c r="C78" s="287" t="s">
        <v>284</v>
      </c>
      <c r="D78" s="227"/>
      <c r="E78" s="233">
        <f>'Tax Rec'!D78</f>
        <v>18388.646418548913</v>
      </c>
    </row>
  </sheetData>
  <printOptions gridLines="1"/>
  <pageMargins left="0.25" right="0.25" top="0.75" bottom="0.75" header="0.3" footer="0.3"/>
  <pageSetup orientation="portrait" r:id="rId1"/>
  <headerFooter>
    <oddHeader>&amp;C&amp;"Arial,Bold"&amp;12THE DEACON SUPERANNUATION FUND</oddHeader>
  </headerFooter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Tax Rec</vt:lpstr>
      <vt:lpstr>Exempt Inc Calc</vt:lpstr>
      <vt:lpstr>Dist %</vt:lpstr>
      <vt:lpstr>Cap Losses cfwd</vt:lpstr>
      <vt:lpstr>HUB Cash Acct Rec</vt:lpstr>
      <vt:lpstr>Temp Jnls</vt:lpstr>
      <vt:lpstr>Journals</vt:lpstr>
      <vt:lpstr>'HUB Cash Acct Rec'!Print_Area</vt:lpstr>
      <vt:lpstr>Journals!Print_Area</vt:lpstr>
      <vt:lpstr>'Tax Rec'!Print_Area</vt:lpstr>
      <vt:lpstr>'Temp Jnls'!Print_Area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cherie deacon</cp:lastModifiedBy>
  <cp:lastPrinted>2023-12-05T02:07:29Z</cp:lastPrinted>
  <dcterms:created xsi:type="dcterms:W3CDTF">2006-12-12T02:18:41Z</dcterms:created>
  <dcterms:modified xsi:type="dcterms:W3CDTF">2023-12-06T03:24:38Z</dcterms:modified>
</cp:coreProperties>
</file>