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4240" windowHeight="13140" firstSheet="11" activeTab="15"/>
  </bookViews>
  <sheets>
    <sheet name="Unded.Cont." sheetId="9" r:id="rId1"/>
    <sheet name="ye 07-ABP 2008" sheetId="2" r:id="rId2"/>
    <sheet name="ye 08-ABP 2009" sheetId="1" r:id="rId3"/>
    <sheet name="ye 09-ABP 2010" sheetId="3" r:id="rId4"/>
    <sheet name="ye 10-ABP 2011" sheetId="4" r:id="rId5"/>
    <sheet name="ye 11-ABP 2012" sheetId="5" r:id="rId6"/>
    <sheet name="ye 12-ABP 2013" sheetId="6" r:id="rId7"/>
    <sheet name="ye 13-ABP 2014" sheetId="7" r:id="rId8"/>
    <sheet name="ye 14-ABP 2015" sheetId="8" r:id="rId9"/>
    <sheet name="ye 15-ABP 2016" sheetId="10" r:id="rId10"/>
    <sheet name="ye 16-ABP 2017" sheetId="11" r:id="rId11"/>
    <sheet name="ye 17-ABP 2018" sheetId="12" r:id="rId12"/>
    <sheet name="ye 18-ABP 2019" sheetId="13" r:id="rId13"/>
    <sheet name="ye 19-ABP 2020" sheetId="14" r:id="rId14"/>
    <sheet name="ye 20-ABP 2021" sheetId="15" r:id="rId15"/>
    <sheet name="EOY Tax Component" sheetId="16" r:id="rId16"/>
  </sheets>
  <definedNames>
    <definedName name="_xlnm.Print_Area" localSheetId="15">'EOY Tax Component'!$A$1:$G$126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7" i="16"/>
  <c r="E77"/>
  <c r="G77"/>
  <c r="G59"/>
  <c r="E59"/>
  <c r="C59"/>
  <c r="G70"/>
  <c r="D70" s="1"/>
  <c r="G65"/>
  <c r="G54"/>
  <c r="C111"/>
  <c r="C110"/>
  <c r="C65" s="1"/>
  <c r="G112"/>
  <c r="E109"/>
  <c r="E121"/>
  <c r="F121" s="1"/>
  <c r="D121"/>
  <c r="F120"/>
  <c r="E120"/>
  <c r="D120"/>
  <c r="E119"/>
  <c r="F119" s="1"/>
  <c r="D119"/>
  <c r="E82"/>
  <c r="F82" s="1"/>
  <c r="C67"/>
  <c r="G66"/>
  <c r="E66"/>
  <c r="C66"/>
  <c r="G104"/>
  <c r="G36"/>
  <c r="E36"/>
  <c r="C36"/>
  <c r="E23"/>
  <c r="F23" s="1"/>
  <c r="D23"/>
  <c r="G96"/>
  <c r="C96" s="1"/>
  <c r="G95"/>
  <c r="E94"/>
  <c r="E20" s="1"/>
  <c r="E21" s="1"/>
  <c r="C94"/>
  <c r="C20" s="1"/>
  <c r="C21" s="1"/>
  <c r="G93"/>
  <c r="G94" s="1"/>
  <c r="G20" s="1"/>
  <c r="G21" s="1"/>
  <c r="G24" s="1"/>
  <c r="G26" s="1"/>
  <c r="G28" s="1"/>
  <c r="G97"/>
  <c r="G4"/>
  <c r="E70" l="1"/>
  <c r="F70" s="1"/>
  <c r="C68"/>
  <c r="G68"/>
  <c r="G71" s="1"/>
  <c r="D21"/>
  <c r="C22" s="1"/>
  <c r="F21"/>
  <c r="G73" l="1"/>
  <c r="D68"/>
  <c r="C69" s="1"/>
  <c r="C71" s="1"/>
  <c r="C73" s="1"/>
  <c r="E22"/>
  <c r="D22"/>
  <c r="C24"/>
  <c r="G79" l="1"/>
  <c r="G75"/>
  <c r="C79"/>
  <c r="C75"/>
  <c r="D71"/>
  <c r="D73" s="1"/>
  <c r="D79" s="1"/>
  <c r="E69"/>
  <c r="F69" s="1"/>
  <c r="D69"/>
  <c r="F22"/>
  <c r="E24"/>
  <c r="H24" s="1"/>
  <c r="C26"/>
  <c r="C28" s="1"/>
  <c r="D24"/>
  <c r="D26" s="1"/>
  <c r="F24" l="1"/>
  <c r="F26" s="1"/>
  <c r="E26"/>
  <c r="E28" s="1"/>
  <c r="E112" l="1"/>
  <c r="F112" s="1"/>
  <c r="D112"/>
  <c r="E110"/>
  <c r="F110" s="1"/>
  <c r="D110"/>
  <c r="F109"/>
  <c r="D109"/>
  <c r="E104"/>
  <c r="F104" s="1"/>
  <c r="D104"/>
  <c r="E103"/>
  <c r="F103" s="1"/>
  <c r="D103"/>
  <c r="E102"/>
  <c r="F102" s="1"/>
  <c r="D102"/>
  <c r="E97"/>
  <c r="F97" s="1"/>
  <c r="D97"/>
  <c r="E96"/>
  <c r="F96" s="1"/>
  <c r="D96"/>
  <c r="E95"/>
  <c r="F95" s="1"/>
  <c r="G92"/>
  <c r="G5" s="1"/>
  <c r="G6" s="1"/>
  <c r="G9" s="1"/>
  <c r="G11" s="1"/>
  <c r="C92"/>
  <c r="C5" s="1"/>
  <c r="C6" s="1"/>
  <c r="E91"/>
  <c r="E92" s="1"/>
  <c r="E5" s="1"/>
  <c r="E6" s="1"/>
  <c r="E54"/>
  <c r="E39"/>
  <c r="F39" s="1"/>
  <c r="D39"/>
  <c r="E8"/>
  <c r="F8" s="1"/>
  <c r="D8"/>
  <c r="F4"/>
  <c r="D4"/>
  <c r="B34" i="15"/>
  <c r="B36"/>
  <c r="B38" s="1"/>
  <c r="D35"/>
  <c r="D36" s="1"/>
  <c r="E34"/>
  <c r="E36" s="1"/>
  <c r="B17"/>
  <c r="B19" s="1"/>
  <c r="D16"/>
  <c r="D17" s="1"/>
  <c r="E15"/>
  <c r="F15" s="1"/>
  <c r="B17" i="14"/>
  <c r="B19" s="1"/>
  <c r="D16"/>
  <c r="D17" s="1"/>
  <c r="F15"/>
  <c r="E15"/>
  <c r="E17" s="1"/>
  <c r="F54" i="16" l="1"/>
  <c r="E68"/>
  <c r="G12"/>
  <c r="C98"/>
  <c r="C100" s="1"/>
  <c r="C101" s="1"/>
  <c r="C34" s="1"/>
  <c r="D6"/>
  <c r="C7" s="1"/>
  <c r="F6"/>
  <c r="G98"/>
  <c r="G100" s="1"/>
  <c r="D95"/>
  <c r="E98"/>
  <c r="F34" i="15"/>
  <c r="F35"/>
  <c r="F36" s="1"/>
  <c r="E17"/>
  <c r="F16"/>
  <c r="F17" s="1"/>
  <c r="F16" i="14"/>
  <c r="F17" s="1"/>
  <c r="B17" i="13"/>
  <c r="B19" s="1"/>
  <c r="D16"/>
  <c r="F16" s="1"/>
  <c r="E15"/>
  <c r="F15" s="1"/>
  <c r="F17" s="1"/>
  <c r="F68" i="16" l="1"/>
  <c r="E71"/>
  <c r="E73" s="1"/>
  <c r="G13"/>
  <c r="G35"/>
  <c r="G105"/>
  <c r="G101"/>
  <c r="G34" s="1"/>
  <c r="C105"/>
  <c r="F98"/>
  <c r="F100" s="1"/>
  <c r="E100"/>
  <c r="E7"/>
  <c r="D7"/>
  <c r="H98"/>
  <c r="D98"/>
  <c r="D100" s="1"/>
  <c r="C9"/>
  <c r="E17" i="13"/>
  <c r="D17"/>
  <c r="E21" i="12"/>
  <c r="E11"/>
  <c r="D11"/>
  <c r="B19"/>
  <c r="B21" s="1"/>
  <c r="D18"/>
  <c r="D19" s="1"/>
  <c r="E17"/>
  <c r="E19" s="1"/>
  <c r="E13"/>
  <c r="D13"/>
  <c r="E79" i="16" l="1"/>
  <c r="E75"/>
  <c r="H71"/>
  <c r="F71"/>
  <c r="F73" s="1"/>
  <c r="F79" s="1"/>
  <c r="G37"/>
  <c r="G40" s="1"/>
  <c r="C107"/>
  <c r="C11"/>
  <c r="D9"/>
  <c r="D11" s="1"/>
  <c r="F7"/>
  <c r="E9"/>
  <c r="H9" s="1"/>
  <c r="E101"/>
  <c r="E34" s="1"/>
  <c r="G107"/>
  <c r="D21" i="12"/>
  <c r="F11"/>
  <c r="F18"/>
  <c r="F13"/>
  <c r="F10"/>
  <c r="F17"/>
  <c r="B17" i="11"/>
  <c r="B19" s="1"/>
  <c r="D16"/>
  <c r="F16" s="1"/>
  <c r="E15"/>
  <c r="F15" s="1"/>
  <c r="B17" i="10"/>
  <c r="B19" s="1"/>
  <c r="D16"/>
  <c r="D17" s="1"/>
  <c r="E15"/>
  <c r="F15" s="1"/>
  <c r="B17" i="8"/>
  <c r="D17" s="1"/>
  <c r="F17" s="1"/>
  <c r="E18"/>
  <c r="D16"/>
  <c r="F16" s="1"/>
  <c r="B23"/>
  <c r="D22"/>
  <c r="F22" s="1"/>
  <c r="E21"/>
  <c r="E23" s="1"/>
  <c r="B17" i="7"/>
  <c r="B19" s="1"/>
  <c r="D16"/>
  <c r="F16" s="1"/>
  <c r="E15"/>
  <c r="E17" s="1"/>
  <c r="B17" i="6"/>
  <c r="B19" s="1"/>
  <c r="F16"/>
  <c r="D16"/>
  <c r="D17" s="1"/>
  <c r="E15"/>
  <c r="E17" s="1"/>
  <c r="B17" i="5"/>
  <c r="B19" s="1"/>
  <c r="D16"/>
  <c r="D17" s="1"/>
  <c r="E15"/>
  <c r="E17" s="1"/>
  <c r="B20" i="9"/>
  <c r="B23" s="1"/>
  <c r="C13"/>
  <c r="C15" s="1"/>
  <c r="C20" s="1"/>
  <c r="C23" s="1"/>
  <c r="B13"/>
  <c r="B15" s="1"/>
  <c r="B17" i="4"/>
  <c r="B19" s="1"/>
  <c r="D16"/>
  <c r="D17" s="1"/>
  <c r="E15"/>
  <c r="F15" s="1"/>
  <c r="B17" i="3"/>
  <c r="B19" s="1"/>
  <c r="D16"/>
  <c r="F16" s="1"/>
  <c r="E15"/>
  <c r="E17" s="1"/>
  <c r="G50" i="16" l="1"/>
  <c r="G42"/>
  <c r="G44" s="1"/>
  <c r="G113"/>
  <c r="C12"/>
  <c r="C35" s="1"/>
  <c r="C37" s="1"/>
  <c r="D105"/>
  <c r="D107" s="1"/>
  <c r="E105"/>
  <c r="F9"/>
  <c r="F11" s="1"/>
  <c r="E11"/>
  <c r="G108"/>
  <c r="G51" s="1"/>
  <c r="C108"/>
  <c r="C51" s="1"/>
  <c r="F19" i="12"/>
  <c r="F17" i="11"/>
  <c r="F21" i="12"/>
  <c r="E22" s="1"/>
  <c r="E10" i="13" s="1"/>
  <c r="E11" s="1"/>
  <c r="E19" s="1"/>
  <c r="E17" i="11"/>
  <c r="F15" i="5"/>
  <c r="F16" i="4"/>
  <c r="F17" s="1"/>
  <c r="D17" i="11"/>
  <c r="F18" i="8"/>
  <c r="F15" i="3"/>
  <c r="F17" s="1"/>
  <c r="F15" i="7"/>
  <c r="F17" s="1"/>
  <c r="B18" i="8"/>
  <c r="B25" s="1"/>
  <c r="B6" i="2"/>
  <c r="C6" s="1"/>
  <c r="D18" i="8"/>
  <c r="F16" i="10"/>
  <c r="F17" s="1"/>
  <c r="E17"/>
  <c r="F21" i="8"/>
  <c r="F23" s="1"/>
  <c r="D23"/>
  <c r="D17" i="7"/>
  <c r="F15" i="6"/>
  <c r="F17" s="1"/>
  <c r="F16" i="5"/>
  <c r="E17" i="4"/>
  <c r="D17" i="3"/>
  <c r="B12" i="2"/>
  <c r="C13" s="1"/>
  <c r="B18"/>
  <c r="E12" i="16" l="1"/>
  <c r="E35" s="1"/>
  <c r="E37" s="1"/>
  <c r="C13"/>
  <c r="D37" s="1"/>
  <c r="C38" s="1"/>
  <c r="C113"/>
  <c r="C117" s="1"/>
  <c r="G52"/>
  <c r="G55" s="1"/>
  <c r="G57" s="1"/>
  <c r="E107"/>
  <c r="F105"/>
  <c r="F107" s="1"/>
  <c r="H105"/>
  <c r="G117"/>
  <c r="F17" i="5"/>
  <c r="D22" i="12"/>
  <c r="D24" i="2"/>
  <c r="D26"/>
  <c r="G78" i="16" l="1"/>
  <c r="G80" s="1"/>
  <c r="G83" s="1"/>
  <c r="G118"/>
  <c r="G122" s="1"/>
  <c r="C122"/>
  <c r="C118"/>
  <c r="E13"/>
  <c r="D27" i="2"/>
  <c r="D29" s="1"/>
  <c r="F37" i="16"/>
  <c r="C40"/>
  <c r="C42" s="1"/>
  <c r="C44" s="1"/>
  <c r="E38"/>
  <c r="F38" s="1"/>
  <c r="D38"/>
  <c r="D113"/>
  <c r="D117" s="1"/>
  <c r="E108"/>
  <c r="E51" s="1"/>
  <c r="F22" i="12"/>
  <c r="D10" i="13"/>
  <c r="B22" i="12"/>
  <c r="D122" i="16" l="1"/>
  <c r="E40"/>
  <c r="D40"/>
  <c r="C50"/>
  <c r="C52" s="1"/>
  <c r="D52" s="1"/>
  <c r="C53" s="1"/>
  <c r="D53" s="1"/>
  <c r="E113"/>
  <c r="D11" i="13"/>
  <c r="F10"/>
  <c r="D31" i="2"/>
  <c r="E27" s="1"/>
  <c r="D16" i="1"/>
  <c r="F16" s="1"/>
  <c r="E15"/>
  <c r="F15" s="1"/>
  <c r="F40" i="16" l="1"/>
  <c r="E42"/>
  <c r="E44" s="1"/>
  <c r="D50"/>
  <c r="D42"/>
  <c r="F113"/>
  <c r="F117" s="1"/>
  <c r="E117"/>
  <c r="H40"/>
  <c r="E50"/>
  <c r="E52" s="1"/>
  <c r="F52" s="1"/>
  <c r="E53"/>
  <c r="F53" s="1"/>
  <c r="C55"/>
  <c r="H113"/>
  <c r="D19" i="13"/>
  <c r="F11"/>
  <c r="E29" i="2"/>
  <c r="D10" i="1"/>
  <c r="D11" s="1"/>
  <c r="D17"/>
  <c r="E17"/>
  <c r="F17"/>
  <c r="B17"/>
  <c r="B19" s="1"/>
  <c r="D55" i="16" l="1"/>
  <c r="C57"/>
  <c r="F50"/>
  <c r="F42"/>
  <c r="E118"/>
  <c r="E122" s="1"/>
  <c r="E55"/>
  <c r="F19" i="13"/>
  <c r="E20" s="1"/>
  <c r="E10" i="14" s="1"/>
  <c r="E11" s="1"/>
  <c r="E19" s="1"/>
  <c r="D19" i="1"/>
  <c r="E31" i="2"/>
  <c r="E10" i="1"/>
  <c r="C78" i="16" l="1"/>
  <c r="C80" s="1"/>
  <c r="D80" s="1"/>
  <c r="C81" s="1"/>
  <c r="D57"/>
  <c r="D78"/>
  <c r="F55"/>
  <c r="F57" s="1"/>
  <c r="F78" s="1"/>
  <c r="E57"/>
  <c r="F122"/>
  <c r="H122"/>
  <c r="D20" i="13"/>
  <c r="B20" s="1"/>
  <c r="H55" i="16"/>
  <c r="E11" i="1"/>
  <c r="F10"/>
  <c r="C83" i="16" l="1"/>
  <c r="D81"/>
  <c r="E81"/>
  <c r="F81" s="1"/>
  <c r="E78"/>
  <c r="E80" s="1"/>
  <c r="F20" i="13"/>
  <c r="D10" i="14"/>
  <c r="F11" i="1"/>
  <c r="E19"/>
  <c r="D83" i="16" l="1"/>
  <c r="H83"/>
  <c r="E83"/>
  <c r="F83" s="1"/>
  <c r="F80"/>
  <c r="D11" i="14"/>
  <c r="F10"/>
  <c r="F19" i="1"/>
  <c r="D20" s="1"/>
  <c r="D10" i="3" s="1"/>
  <c r="D19" i="14" l="1"/>
  <c r="F11"/>
  <c r="E20" i="1"/>
  <c r="E10" i="3" s="1"/>
  <c r="E11" s="1"/>
  <c r="E19" s="1"/>
  <c r="D11"/>
  <c r="F19" i="14" l="1"/>
  <c r="E20" s="1"/>
  <c r="B20" i="1"/>
  <c r="F10" i="3"/>
  <c r="F20" i="1"/>
  <c r="D19" i="3"/>
  <c r="F11"/>
  <c r="E29" i="15" l="1"/>
  <c r="E30" s="1"/>
  <c r="E38" s="1"/>
  <c r="E10"/>
  <c r="E11" s="1"/>
  <c r="E19" s="1"/>
  <c r="D20" i="14"/>
  <c r="B20" s="1"/>
  <c r="F19" i="3"/>
  <c r="E20" s="1"/>
  <c r="F20" i="14" l="1"/>
  <c r="D10" i="15"/>
  <c r="D29"/>
  <c r="E10" i="4"/>
  <c r="E11" s="1"/>
  <c r="E19" s="1"/>
  <c r="D20" i="3"/>
  <c r="B20" s="1"/>
  <c r="F10" i="15" l="1"/>
  <c r="D11"/>
  <c r="D30"/>
  <c r="F29"/>
  <c r="F20" i="3"/>
  <c r="D10" i="4"/>
  <c r="D19" i="15" l="1"/>
  <c r="F19" s="1"/>
  <c r="F11"/>
  <c r="D38"/>
  <c r="F30"/>
  <c r="F10" i="4"/>
  <c r="D11"/>
  <c r="D20" i="15" l="1"/>
  <c r="E20"/>
  <c r="F38"/>
  <c r="E39" s="1"/>
  <c r="F11" i="4"/>
  <c r="D19"/>
  <c r="F20" i="15" l="1"/>
  <c r="B20"/>
  <c r="B39"/>
  <c r="D39"/>
  <c r="F39" s="1"/>
  <c r="F19" i="4"/>
  <c r="E20" s="1"/>
  <c r="E10" i="5" s="1"/>
  <c r="E11" s="1"/>
  <c r="E19" s="1"/>
  <c r="D20" i="4" l="1"/>
  <c r="D10" i="5" s="1"/>
  <c r="D11" l="1"/>
  <c r="F10"/>
  <c r="B20" i="4"/>
  <c r="F20"/>
  <c r="D19" i="5" l="1"/>
  <c r="F11"/>
  <c r="F19" l="1"/>
  <c r="E20" s="1"/>
  <c r="D20" l="1"/>
  <c r="D10" i="6" s="1"/>
  <c r="E10"/>
  <c r="E11" s="1"/>
  <c r="E19" s="1"/>
  <c r="B20" i="5" l="1"/>
  <c r="F20"/>
  <c r="D11" i="6"/>
  <c r="F10"/>
  <c r="F11" l="1"/>
  <c r="D19"/>
  <c r="F19" l="1"/>
  <c r="E20" s="1"/>
  <c r="E10" i="7" s="1"/>
  <c r="E11" l="1"/>
  <c r="E19" s="1"/>
  <c r="D20" i="6"/>
  <c r="F20" l="1"/>
  <c r="D10" i="7"/>
  <c r="B20" i="6"/>
  <c r="D11" i="7" l="1"/>
  <c r="F10"/>
  <c r="F11" l="1"/>
  <c r="D19"/>
  <c r="F19" l="1"/>
  <c r="E20" s="1"/>
  <c r="E10" i="8" l="1"/>
  <c r="E11" s="1"/>
  <c r="E25" s="1"/>
  <c r="D20" i="7"/>
  <c r="B20" s="1"/>
  <c r="F20" l="1"/>
  <c r="D10" i="8"/>
  <c r="F10" l="1"/>
  <c r="D11"/>
  <c r="F11" l="1"/>
  <c r="D25"/>
  <c r="F25" l="1"/>
  <c r="E26" s="1"/>
  <c r="E10" i="10" s="1"/>
  <c r="E11" s="1"/>
  <c r="E19" s="1"/>
  <c r="D26" i="8" l="1"/>
  <c r="F26" l="1"/>
  <c r="D10" i="10"/>
  <c r="B26" i="8"/>
  <c r="D11" i="10" l="1"/>
  <c r="F10"/>
  <c r="D19" l="1"/>
  <c r="F11"/>
  <c r="F19" l="1"/>
  <c r="E20" s="1"/>
  <c r="E10" i="11" s="1"/>
  <c r="E11" s="1"/>
  <c r="E19" s="1"/>
  <c r="D20" i="10" l="1"/>
  <c r="B20" s="1"/>
  <c r="D10" i="11" l="1"/>
  <c r="D11" s="1"/>
  <c r="F20" i="10"/>
  <c r="F10" i="11" l="1"/>
  <c r="F11"/>
  <c r="D19"/>
  <c r="F19" l="1"/>
  <c r="E20" s="1"/>
  <c r="D20" l="1"/>
  <c r="F20" s="1"/>
  <c r="B20" l="1"/>
</calcChain>
</file>

<file path=xl/sharedStrings.xml><?xml version="1.0" encoding="utf-8"?>
<sst xmlns="http://schemas.openxmlformats.org/spreadsheetml/2006/main" count="471" uniqueCount="192">
  <si>
    <t>Non-Concessional</t>
  </si>
  <si>
    <t>Concessional</t>
  </si>
  <si>
    <t>Component</t>
  </si>
  <si>
    <t>Total</t>
  </si>
  <si>
    <t>Component % per previous Sch. of Info</t>
  </si>
  <si>
    <t>Accumulation Account made up of:</t>
  </si>
  <si>
    <t>THE DEACON SUPERANNUATION FUND</t>
  </si>
  <si>
    <t xml:space="preserve">Withdrawal of benefits to purchase a new Account Based Pension  </t>
  </si>
  <si>
    <t>Kevin Deacon</t>
  </si>
  <si>
    <t xml:space="preserve"> - Purchase Date</t>
  </si>
  <si>
    <t>Pre  83 Days</t>
  </si>
  <si>
    <t>Post 83 Days</t>
  </si>
  <si>
    <t>($)</t>
  </si>
  <si>
    <t>(%)</t>
  </si>
  <si>
    <t>Total Non-Concessional Component</t>
  </si>
  <si>
    <t xml:space="preserve">Account Based Pension </t>
  </si>
  <si>
    <t xml:space="preserve"> - Purchase Price</t>
  </si>
  <si>
    <t>UNDEDUCTED CONTRIBUTIONS</t>
  </si>
  <si>
    <t>(Accum. a/c)</t>
  </si>
  <si>
    <t>Contributions - 2002</t>
  </si>
  <si>
    <t>Contributions - 2003</t>
  </si>
  <si>
    <t>Contributions - 2004</t>
  </si>
  <si>
    <t>Contributions - 2005</t>
  </si>
  <si>
    <t>Contributions - 2006</t>
  </si>
  <si>
    <t>Contributions - 2007</t>
  </si>
  <si>
    <t xml:space="preserve"> - Balance of Undeducted Contribution</t>
  </si>
  <si>
    <t>Accumulation Account as @ 30/06/07</t>
  </si>
  <si>
    <t xml:space="preserve"> - Accumulation Account Balance</t>
  </si>
  <si>
    <t xml:space="preserve">Opening Balance as at </t>
  </si>
  <si>
    <t xml:space="preserve">Roll-over from </t>
  </si>
  <si>
    <t>Balance as at 30/06/08</t>
  </si>
  <si>
    <t>Balance as at 30/06/07</t>
  </si>
  <si>
    <t>Less: Commuted to ABP on 01/07/07</t>
  </si>
  <si>
    <t xml:space="preserve"> - Balance of Undeducted Contributions on Purchase Date</t>
  </si>
  <si>
    <t>Non-Concessional (Tax Free) Component</t>
  </si>
  <si>
    <t>Crystallised Component :-</t>
  </si>
  <si>
    <t>Contributions Component :-</t>
  </si>
  <si>
    <t>Concessional (Taxable) Component</t>
  </si>
  <si>
    <t>Account Balance as @ 30/06/08</t>
  </si>
  <si>
    <t>New Concessional &amp; Non-Concessional %</t>
  </si>
  <si>
    <t>Account Balance as @ 30/06/09</t>
  </si>
  <si>
    <t>Non-Concessional Contributions for 2011</t>
  </si>
  <si>
    <t>Non-Concessional Contributions for 2010</t>
  </si>
  <si>
    <t>Account Balance as @ 30/06/10</t>
  </si>
  <si>
    <t>Non-Concessional Contributions for 2009</t>
  </si>
  <si>
    <t>Purchase Date - 01/07/08 (Yr 2009)</t>
  </si>
  <si>
    <t>Purch. Price of New ABP on 01/07/08 (Yr 09)</t>
  </si>
  <si>
    <t>Existing ABP (Purch. Date: 01/07/07 - Yr 08)</t>
  </si>
  <si>
    <t>Purchase Date - 01/07/2009 (Yr 2010)</t>
  </si>
  <si>
    <t>Existing ABP (Purch. Date: 01/07/08 - Yr 09)</t>
  </si>
  <si>
    <t>Purch. Price of New ABP on 01/07/09 (Yr 10)</t>
  </si>
  <si>
    <t>Purchase Date - 01/07/2010 (Yr 2011)</t>
  </si>
  <si>
    <t>Existing ABP (Purch. Date: 01/07/09 - Yr 10)</t>
  </si>
  <si>
    <t>Purch. Price of New ABP on 01/07/10 (Yr 11)</t>
  </si>
  <si>
    <t>(ABP)</t>
  </si>
  <si>
    <t>Per ETP Rollover Stmt from</t>
  </si>
  <si>
    <t xml:space="preserve"> - Pre 83 Undeducted Contributions (Pre 83 days/total days x Acc Bal.)</t>
  </si>
  <si>
    <t xml:space="preserve"> - Undeducted Contribution Component</t>
  </si>
  <si>
    <t xml:space="preserve"> - Start Date of Eligible Serv. Period</t>
  </si>
  <si>
    <t>Contributions - 2008</t>
  </si>
  <si>
    <t>Contributions - 2009</t>
  </si>
  <si>
    <t>Contributions - 2010</t>
  </si>
  <si>
    <t>Contributions - 2011</t>
  </si>
  <si>
    <t>Contributions - 2013</t>
  </si>
  <si>
    <t>Contributions - 2014</t>
  </si>
  <si>
    <t>Less: Commuted to ABP on 01/07/11</t>
  </si>
  <si>
    <t>Balance as at 30/06/11</t>
  </si>
  <si>
    <t>Balance as at 30/06/12</t>
  </si>
  <si>
    <t>Contributions - 2015</t>
  </si>
  <si>
    <t>Add: Contributions - 2012</t>
  </si>
  <si>
    <t>Purchase Date - 01/07/2011 (Yr 2012)</t>
  </si>
  <si>
    <t>Existing ABP (Purch. Date: 01/07/10 - Yr 11)</t>
  </si>
  <si>
    <t>Account Balance as @ 30/06/11</t>
  </si>
  <si>
    <t>Non-Concessional Contributions for 2012</t>
  </si>
  <si>
    <t>Purch. Price of New ABP on 01/07/11 (Yr 12)</t>
  </si>
  <si>
    <t>Non-Concessional Contributions for 2008</t>
  </si>
  <si>
    <t>Purchase Date - 01/07/2012 (Yr 2013)</t>
  </si>
  <si>
    <t>Existing ABP (Purch. Date: 01/07/11 - Yr 12)</t>
  </si>
  <si>
    <t>Account Balance as @ 30/06/12</t>
  </si>
  <si>
    <t>Purch. Price of New ABP on 01/07/13 (Yr 14)</t>
  </si>
  <si>
    <t>Purch. Price of New ABP on 01/07/12 (Yr 13)</t>
  </si>
  <si>
    <t>Purchase Date - 01/07/2013 (Yr 2014)</t>
  </si>
  <si>
    <t>Existing ABP (Purch. Date: 01/07/12 - Yr 13)</t>
  </si>
  <si>
    <t>Account Balance as @ 30/06/13</t>
  </si>
  <si>
    <t>Non-Concessional Contributions for 2013</t>
  </si>
  <si>
    <t>Account Bal.</t>
  </si>
  <si>
    <t>Purchase Date - 01/07/2014 (Yr 2015)</t>
  </si>
  <si>
    <t>Account Balance as @ 30/06/14</t>
  </si>
  <si>
    <t>Conc. Contributions, Earnings etc  for 2014</t>
  </si>
  <si>
    <t>Non-Concessional Contributions for 2014</t>
  </si>
  <si>
    <t>Purch. Price of New ABP on 01/07/14 (Yr 15)</t>
  </si>
  <si>
    <t>ABP #1 (Purch. Date: 01/07/13 - Yr 14)</t>
  </si>
  <si>
    <t>ABP #2 (Purch. Date: 10/07/13 - Yr 14)</t>
  </si>
  <si>
    <t>Made up of:</t>
  </si>
  <si>
    <t>Non-Concessional Contributions on 10/07/13</t>
  </si>
  <si>
    <t>Pension Payments &amp; Earnings for 2014</t>
  </si>
  <si>
    <t>Conc. Contributions, Earnings &amp; Taxes for 08</t>
  </si>
  <si>
    <t>Conc. Contributions, Earnings &amp; Taxes for 09</t>
  </si>
  <si>
    <t>Conc. Contributions, Earnings &amp; Taxes for 10</t>
  </si>
  <si>
    <t>Conc. Contributions, Earnings &amp; Taxes for 11</t>
  </si>
  <si>
    <t>Conc. Contributions, Earnings &amp; Taxes for 12</t>
  </si>
  <si>
    <t>Conc. Contributions, Earnings &amp; Taxes for 13</t>
  </si>
  <si>
    <t>ABP #1 (Purch. Date: 01/07/14 - Yr 15)</t>
  </si>
  <si>
    <t>Account Balance as @ 30/06/15</t>
  </si>
  <si>
    <t>Conc. Contributions, Earnings etc  for 2015</t>
  </si>
  <si>
    <t>Non-Concessional Contributions for 2015</t>
  </si>
  <si>
    <t>Purch. Price of New ABP on 01/07/15 (Yr 16)</t>
  </si>
  <si>
    <t xml:space="preserve">* Remember to change % each year </t>
  </si>
  <si>
    <t xml:space="preserve">       to c/fwd from last year</t>
  </si>
  <si>
    <t>* These %s c/fwd to top line next year</t>
  </si>
  <si>
    <t>ABP #1 (Purch. Date: 01/07/15 - Yr 16)</t>
  </si>
  <si>
    <t>Account Balance as @ 30/06/16</t>
  </si>
  <si>
    <t>Conc. Contributions, Earnings etc  for 2016</t>
  </si>
  <si>
    <t>Non-Concessional Contributions for 2016</t>
  </si>
  <si>
    <t>Purch. Price of New ABP on 01/07/16 (Yr 17)</t>
  </si>
  <si>
    <t>ABP #1 (Purch. Date: 01/07/16 - Yr 17)</t>
  </si>
  <si>
    <t>Account Balance as @ 30/06/17</t>
  </si>
  <si>
    <t>Conc. Contributions, Earnings etc  for 2017</t>
  </si>
  <si>
    <t>Non-Concessional Contributions for 2017</t>
  </si>
  <si>
    <t>ABP #1 (Purch. Date: 08/11/16 - Yr 17)</t>
  </si>
  <si>
    <t>Purch. Price of New ABP on 01/07/17 (Yr 18)</t>
  </si>
  <si>
    <t>Account Balance as @ 30/06/18</t>
  </si>
  <si>
    <t>ABP (Purch. Date: 01/07/17 - Yr 18)</t>
  </si>
  <si>
    <t>Conc. Contributions, Earnings etc  for 2018</t>
  </si>
  <si>
    <t>Non-Concessional Contributions for 2018</t>
  </si>
  <si>
    <t>Purch. Price of New ABP on 01/07/18 (Yr 19)</t>
  </si>
  <si>
    <t>ABP (Purch. Date: 01/07/18 - Yr 19)</t>
  </si>
  <si>
    <t>Account Balance as @ 30/06/19</t>
  </si>
  <si>
    <t>Conc. Contributions, Earnings etc  for 2019</t>
  </si>
  <si>
    <t>Purch. Price of New ABP on 01/07/19 (Yr 20)</t>
  </si>
  <si>
    <t>Non-Concessional Contributions for 2019</t>
  </si>
  <si>
    <t>Account Balance as @ 30/06/20</t>
  </si>
  <si>
    <t>Conc. Contributions, Earnings etc  for 2020</t>
  </si>
  <si>
    <t>Non-Concessional Contributions for 2020</t>
  </si>
  <si>
    <t>Purch. Price of New ABP on 01/07/20 (Yr 20)</t>
  </si>
  <si>
    <t>ABP (Purch. Date: 01/07/20 - Yr 21)</t>
  </si>
  <si>
    <t>ABP (Purch. Date: 01/07/19 - Yr 20)</t>
  </si>
  <si>
    <t>(Correction)</t>
  </si>
  <si>
    <t>Tax Components</t>
  </si>
  <si>
    <t>Date</t>
  </si>
  <si>
    <t>Tax Free</t>
  </si>
  <si>
    <t>%</t>
  </si>
  <si>
    <t>Taxable - Taxed</t>
  </si>
  <si>
    <t>Cross check</t>
  </si>
  <si>
    <t>Benefit commuted in from Accum Account</t>
  </si>
  <si>
    <t>Benefit Payments - Income Stream FY 2021</t>
  </si>
  <si>
    <t>Allocated Earnings and Tax Exps - FY 2021</t>
  </si>
  <si>
    <t>Closing Balance</t>
  </si>
  <si>
    <t>Opening Balance</t>
  </si>
  <si>
    <t>Benefit Payments - Income Stream FY 2022</t>
  </si>
  <si>
    <t>Allocated Earnings and Tax Exps - FY 2022</t>
  </si>
  <si>
    <t>Benefit Payments - Income Stream FY 2023</t>
  </si>
  <si>
    <t>Allocated Earnings and Tax Exps - FY 2023</t>
  </si>
  <si>
    <t>Alloc. Earnings; Tax Exps &amp; Insurance-FY 21</t>
  </si>
  <si>
    <t>Concessional Contributions FY 2022</t>
  </si>
  <si>
    <t>Non-concessional Contributions FY 2022</t>
  </si>
  <si>
    <t>Alloc. Earnings; Tax Exps &amp; Insurance-FY 22</t>
  </si>
  <si>
    <t>Concessional Contributions FY 2023</t>
  </si>
  <si>
    <t>Non-concessional Contributions FY 2023</t>
  </si>
  <si>
    <t>Alloc. Earnings; Tax Exps &amp; Insurance-FY 23</t>
  </si>
  <si>
    <t>???</t>
  </si>
  <si>
    <t>Kevin Deacon (Accumulation Acc)</t>
  </si>
  <si>
    <t xml:space="preserve">Concessional &amp; Non-concessional Contrib.  </t>
  </si>
  <si>
    <t>Benefits commuted out to New ABP</t>
  </si>
  <si>
    <t>Concessional Contributions after 12/10/20</t>
  </si>
  <si>
    <t>Non-concessional Contrib. after 12/10/20</t>
  </si>
  <si>
    <t>Benefits Commuted out to New ABP</t>
  </si>
  <si>
    <t>Op Bal Existing ABP (Purch Date: 01/07/19)</t>
  </si>
  <si>
    <t>Benefits commuted out to New ABP No.1</t>
  </si>
  <si>
    <t>Benefits commuted out to New ABP No.2</t>
  </si>
  <si>
    <t xml:space="preserve">Benefit commuted out to New ABP </t>
  </si>
  <si>
    <t xml:space="preserve">Ben. commuted in from ABP 01/07/20 -No.1 </t>
  </si>
  <si>
    <t>Ben. commuted in from ABP 12/10/20 -No.2</t>
  </si>
  <si>
    <t>Kevin Deacon (ABP 12/10/20) - No.2  FINISHED</t>
  </si>
  <si>
    <t>Kevin Deacon (ABP 01/07/20) - No.1  FINISHED</t>
  </si>
  <si>
    <t>Alloc. Earnings; Tax Exps FY 23</t>
  </si>
  <si>
    <t>Benefits Commuted out to New ABP No.3</t>
  </si>
  <si>
    <t>Benefits Commuted out to New ABP No.4</t>
  </si>
  <si>
    <t>Kevin Deacon (ABP 01/07/21) FINISHED</t>
  </si>
  <si>
    <t xml:space="preserve">Ben. commuted in from ABP 01/07/21 </t>
  </si>
  <si>
    <t>Kevin Deacon (ABP 01/07/22) No.3</t>
  </si>
  <si>
    <t>Kevin Deacon (ABP 07/11/22) No. 4</t>
  </si>
  <si>
    <t xml:space="preserve">Ben. commuted in from ABP 01/07/22 -No.3 </t>
  </si>
  <si>
    <t>Ben. commuted in from ABP 7/11/22 -No.4</t>
  </si>
  <si>
    <t>Benefit Payments - Income Stream FY 2024</t>
  </si>
  <si>
    <t>Allocated Earnings and Tax Exps - FY 2024</t>
  </si>
  <si>
    <r>
      <t xml:space="preserve">Purchase Price (New </t>
    </r>
    <r>
      <rPr>
        <b/>
        <sz val="12"/>
        <color theme="1"/>
        <rFont val="Calibri"/>
        <family val="2"/>
        <scheme val="minor"/>
      </rPr>
      <t>ABP 01/07/2020</t>
    </r>
    <r>
      <rPr>
        <sz val="12"/>
        <color theme="1"/>
        <rFont val="Calibri"/>
        <family val="2"/>
        <scheme val="minor"/>
      </rPr>
      <t>)</t>
    </r>
  </si>
  <si>
    <r>
      <t xml:space="preserve">Purchase Price (New </t>
    </r>
    <r>
      <rPr>
        <b/>
        <sz val="12"/>
        <color theme="1"/>
        <rFont val="Calibri"/>
        <family val="2"/>
        <scheme val="minor"/>
      </rPr>
      <t>ABP 12/10/2020</t>
    </r>
    <r>
      <rPr>
        <sz val="12"/>
        <color theme="1"/>
        <rFont val="Calibri"/>
        <family val="2"/>
        <scheme val="minor"/>
      </rPr>
      <t>)</t>
    </r>
  </si>
  <si>
    <r>
      <t xml:space="preserve">Purchase Price (New </t>
    </r>
    <r>
      <rPr>
        <b/>
        <sz val="12"/>
        <color theme="1"/>
        <rFont val="Calibri"/>
        <family val="2"/>
        <scheme val="minor"/>
      </rPr>
      <t>ABP 01/07/2021</t>
    </r>
    <r>
      <rPr>
        <sz val="12"/>
        <color theme="1"/>
        <rFont val="Calibri"/>
        <family val="2"/>
        <scheme val="minor"/>
      </rPr>
      <t>)</t>
    </r>
  </si>
  <si>
    <r>
      <t xml:space="preserve">Purchase Price (New </t>
    </r>
    <r>
      <rPr>
        <b/>
        <sz val="12"/>
        <color theme="1"/>
        <rFont val="Calibri"/>
        <family val="2"/>
        <scheme val="minor"/>
      </rPr>
      <t>ABP 01/07/2022</t>
    </r>
    <r>
      <rPr>
        <sz val="12"/>
        <color theme="1"/>
        <rFont val="Calibri"/>
        <family val="2"/>
        <scheme val="minor"/>
      </rPr>
      <t xml:space="preserve">) </t>
    </r>
  </si>
  <si>
    <r>
      <t xml:space="preserve">Purchase Price (New </t>
    </r>
    <r>
      <rPr>
        <b/>
        <sz val="12"/>
        <color theme="1"/>
        <rFont val="Calibri"/>
        <family val="2"/>
        <scheme val="minor"/>
      </rPr>
      <t>ABP 7/11/2022</t>
    </r>
    <r>
      <rPr>
        <sz val="12"/>
        <color theme="1"/>
        <rFont val="Calibri"/>
        <family val="2"/>
        <scheme val="minor"/>
      </rPr>
      <t>)</t>
    </r>
  </si>
  <si>
    <r>
      <t xml:space="preserve">Purchase Price (New </t>
    </r>
    <r>
      <rPr>
        <b/>
        <sz val="12"/>
        <color theme="1"/>
        <rFont val="Calibri"/>
        <family val="2"/>
        <scheme val="minor"/>
      </rPr>
      <t>ABP 01/07/2023</t>
    </r>
    <r>
      <rPr>
        <sz val="12"/>
        <color theme="1"/>
        <rFont val="Calibri"/>
        <family val="2"/>
        <scheme val="minor"/>
      </rPr>
      <t xml:space="preserve">) </t>
    </r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</si>
</sst>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dd/mm/yy;@"/>
    <numFmt numFmtId="166" formatCode="#,##0.00;[Red]\(#,##0.00\)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u/>
      <sz val="14"/>
      <name val="Calibri"/>
      <family val="2"/>
      <scheme val="minor"/>
    </font>
    <font>
      <u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u/>
      <sz val="14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99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indexed="64"/>
      </left>
      <right style="dashed">
        <color indexed="64"/>
      </right>
      <top style="double">
        <color indexed="64"/>
      </top>
      <bottom/>
      <diagonal/>
    </border>
    <border>
      <left style="thin">
        <color indexed="64"/>
      </left>
      <right style="dashed">
        <color auto="1"/>
      </right>
      <top/>
      <bottom/>
      <diagonal/>
    </border>
    <border>
      <left style="dashed">
        <color auto="1"/>
      </left>
      <right/>
      <top style="thin">
        <color indexed="64"/>
      </top>
      <bottom/>
      <diagonal/>
    </border>
    <border>
      <left style="thin">
        <color indexed="64"/>
      </left>
      <right style="dashed">
        <color auto="1"/>
      </right>
      <top style="thin">
        <color indexed="64"/>
      </top>
      <bottom/>
      <diagonal/>
    </border>
    <border>
      <left style="dashed">
        <color auto="1"/>
      </left>
      <right/>
      <top/>
      <bottom style="thin">
        <color auto="1"/>
      </bottom>
      <diagonal/>
    </border>
    <border>
      <left style="thin">
        <color indexed="64"/>
      </left>
      <right style="dashed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auto="1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auto="1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44" fontId="0" fillId="0" borderId="0" xfId="0" applyNumberFormat="1"/>
    <xf numFmtId="0" fontId="0" fillId="0" borderId="7" xfId="0" applyBorder="1" applyAlignment="1">
      <alignment horizontal="center"/>
    </xf>
    <xf numFmtId="0" fontId="0" fillId="0" borderId="0" xfId="0" quotePrefix="1"/>
    <xf numFmtId="43" fontId="0" fillId="0" borderId="0" xfId="0" quotePrefix="1" applyNumberFormat="1"/>
    <xf numFmtId="10" fontId="0" fillId="0" borderId="0" xfId="0" applyNumberFormat="1"/>
    <xf numFmtId="43" fontId="0" fillId="0" borderId="7" xfId="0" applyNumberFormat="1" applyBorder="1"/>
    <xf numFmtId="43" fontId="0" fillId="0" borderId="0" xfId="0" applyNumberFormat="1"/>
    <xf numFmtId="0" fontId="0" fillId="0" borderId="0" xfId="0" applyBorder="1"/>
    <xf numFmtId="0" fontId="2" fillId="0" borderId="7" xfId="0" applyFont="1" applyBorder="1" applyAlignment="1">
      <alignment horizontal="center"/>
    </xf>
    <xf numFmtId="44" fontId="2" fillId="0" borderId="1" xfId="0" applyNumberFormat="1" applyFont="1" applyBorder="1" applyAlignment="1">
      <alignment horizontal="center"/>
    </xf>
    <xf numFmtId="43" fontId="2" fillId="0" borderId="16" xfId="0" applyNumberFormat="1" applyFont="1" applyBorder="1"/>
    <xf numFmtId="0" fontId="0" fillId="0" borderId="19" xfId="0" applyBorder="1"/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Font="1"/>
    <xf numFmtId="0" fontId="8" fillId="0" borderId="0" xfId="0" applyFont="1"/>
    <xf numFmtId="10" fontId="0" fillId="0" borderId="0" xfId="0" applyNumberFormat="1" applyFont="1"/>
    <xf numFmtId="10" fontId="0" fillId="0" borderId="16" xfId="0" applyNumberFormat="1" applyFont="1" applyBorder="1"/>
    <xf numFmtId="10" fontId="9" fillId="0" borderId="0" xfId="0" applyNumberFormat="1" applyFont="1"/>
    <xf numFmtId="0" fontId="3" fillId="0" borderId="0" xfId="0" applyFont="1"/>
    <xf numFmtId="0" fontId="0" fillId="0" borderId="17" xfId="0" applyFont="1" applyBorder="1"/>
    <xf numFmtId="0" fontId="9" fillId="0" borderId="18" xfId="0" applyFont="1" applyBorder="1"/>
    <xf numFmtId="0" fontId="9" fillId="0" borderId="6" xfId="0" applyFont="1" applyBorder="1" applyAlignment="1">
      <alignment horizontal="center"/>
    </xf>
    <xf numFmtId="0" fontId="0" fillId="0" borderId="19" xfId="0" applyFont="1" applyBorder="1"/>
    <xf numFmtId="0" fontId="0" fillId="0" borderId="19" xfId="0" applyFont="1" applyFill="1" applyBorder="1"/>
    <xf numFmtId="0" fontId="0" fillId="0" borderId="5" xfId="0" applyFont="1" applyBorder="1"/>
    <xf numFmtId="0" fontId="0" fillId="0" borderId="6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9" xfId="0" applyFont="1" applyBorder="1"/>
    <xf numFmtId="44" fontId="0" fillId="0" borderId="3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44" fontId="0" fillId="0" borderId="9" xfId="0" applyNumberFormat="1" applyFont="1" applyBorder="1"/>
    <xf numFmtId="0" fontId="0" fillId="0" borderId="10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0" fontId="0" fillId="0" borderId="12" xfId="0" applyFont="1" applyBorder="1"/>
    <xf numFmtId="164" fontId="0" fillId="0" borderId="2" xfId="0" applyNumberFormat="1" applyFont="1" applyBorder="1" applyAlignment="1">
      <alignment horizontal="center"/>
    </xf>
    <xf numFmtId="44" fontId="0" fillId="0" borderId="0" xfId="0" applyNumberFormat="1" applyFont="1" applyBorder="1" applyAlignment="1">
      <alignment horizontal="center"/>
    </xf>
    <xf numFmtId="44" fontId="0" fillId="0" borderId="2" xfId="0" applyNumberFormat="1" applyFont="1" applyBorder="1" applyAlignment="1">
      <alignment horizontal="center"/>
    </xf>
    <xf numFmtId="0" fontId="0" fillId="0" borderId="6" xfId="0" applyFont="1" applyBorder="1"/>
    <xf numFmtId="44" fontId="0" fillId="0" borderId="6" xfId="0" applyNumberFormat="1" applyFont="1" applyBorder="1"/>
    <xf numFmtId="44" fontId="0" fillId="0" borderId="3" xfId="0" applyNumberFormat="1" applyFont="1" applyBorder="1"/>
    <xf numFmtId="44" fontId="0" fillId="0" borderId="7" xfId="0" applyNumberFormat="1" applyFont="1" applyBorder="1"/>
    <xf numFmtId="0" fontId="9" fillId="2" borderId="1" xfId="0" applyFont="1" applyFill="1" applyBorder="1"/>
    <xf numFmtId="0" fontId="9" fillId="0" borderId="2" xfId="0" applyFont="1" applyFill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3" fillId="0" borderId="3" xfId="0" applyFont="1" applyBorder="1"/>
    <xf numFmtId="10" fontId="3" fillId="0" borderId="0" xfId="0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0" fontId="9" fillId="0" borderId="11" xfId="0" applyNumberFormat="1" applyFont="1" applyBorder="1" applyAlignment="1">
      <alignment horizontal="center"/>
    </xf>
    <xf numFmtId="10" fontId="9" fillId="0" borderId="1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10" fontId="9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44" fontId="3" fillId="0" borderId="0" xfId="0" applyNumberFormat="1" applyFont="1" applyBorder="1" applyAlignment="1">
      <alignment horizontal="center"/>
    </xf>
    <xf numFmtId="44" fontId="3" fillId="0" borderId="3" xfId="0" applyNumberFormat="1" applyFont="1" applyBorder="1" applyAlignment="1">
      <alignment horizontal="center"/>
    </xf>
    <xf numFmtId="44" fontId="3" fillId="0" borderId="7" xfId="0" applyNumberFormat="1" applyFont="1" applyBorder="1" applyAlignment="1">
      <alignment horizontal="center"/>
    </xf>
    <xf numFmtId="44" fontId="3" fillId="0" borderId="6" xfId="0" applyNumberFormat="1" applyFont="1" applyBorder="1" applyAlignment="1">
      <alignment horizontal="center"/>
    </xf>
    <xf numFmtId="44" fontId="9" fillId="0" borderId="3" xfId="0" applyNumberFormat="1" applyFont="1" applyBorder="1"/>
    <xf numFmtId="44" fontId="9" fillId="0" borderId="0" xfId="0" applyNumberFormat="1" applyFont="1" applyBorder="1" applyAlignment="1">
      <alignment horizontal="center"/>
    </xf>
    <xf numFmtId="44" fontId="9" fillId="0" borderId="3" xfId="0" applyNumberFormat="1" applyFont="1" applyBorder="1" applyAlignment="1">
      <alignment horizontal="center"/>
    </xf>
    <xf numFmtId="44" fontId="9" fillId="0" borderId="5" xfId="0" applyNumberFormat="1" applyFont="1" applyBorder="1"/>
    <xf numFmtId="0" fontId="3" fillId="0" borderId="13" xfId="0" applyFont="1" applyFill="1" applyBorder="1"/>
    <xf numFmtId="10" fontId="9" fillId="0" borderId="13" xfId="0" applyNumberFormat="1" applyFont="1" applyBorder="1" applyAlignment="1">
      <alignment horizontal="center"/>
    </xf>
    <xf numFmtId="10" fontId="9" fillId="0" borderId="14" xfId="0" applyNumberFormat="1" applyFont="1" applyBorder="1" applyAlignment="1">
      <alignment horizontal="center"/>
    </xf>
    <xf numFmtId="10" fontId="0" fillId="0" borderId="9" xfId="0" applyNumberFormat="1" applyFont="1" applyBorder="1" applyAlignment="1">
      <alignment horizontal="center"/>
    </xf>
    <xf numFmtId="10" fontId="9" fillId="0" borderId="15" xfId="0" applyNumberFormat="1" applyFont="1" applyBorder="1" applyAlignment="1">
      <alignment horizontal="center"/>
    </xf>
    <xf numFmtId="0" fontId="3" fillId="0" borderId="2" xfId="0" applyFont="1" applyBorder="1"/>
    <xf numFmtId="10" fontId="9" fillId="0" borderId="0" xfId="0" applyNumberFormat="1" applyFont="1" applyFill="1"/>
    <xf numFmtId="165" fontId="2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16" xfId="0" applyFill="1" applyBorder="1"/>
    <xf numFmtId="43" fontId="0" fillId="0" borderId="3" xfId="0" applyNumberFormat="1" applyFont="1" applyFill="1" applyBorder="1"/>
    <xf numFmtId="0" fontId="9" fillId="0" borderId="3" xfId="0" applyFont="1" applyBorder="1"/>
    <xf numFmtId="165" fontId="2" fillId="3" borderId="1" xfId="0" applyNumberFormat="1" applyFont="1" applyFill="1" applyBorder="1" applyAlignment="1">
      <alignment horizontal="center"/>
    </xf>
    <xf numFmtId="44" fontId="2" fillId="3" borderId="1" xfId="0" applyNumberFormat="1" applyFont="1" applyFill="1" applyBorder="1" applyAlignment="1">
      <alignment horizontal="center"/>
    </xf>
    <xf numFmtId="0" fontId="1" fillId="0" borderId="6" xfId="0" quotePrefix="1" applyFont="1" applyBorder="1" applyAlignment="1">
      <alignment horizontal="center"/>
    </xf>
    <xf numFmtId="43" fontId="0" fillId="0" borderId="2" xfId="0" applyNumberFormat="1" applyBorder="1"/>
    <xf numFmtId="43" fontId="0" fillId="0" borderId="3" xfId="0" applyNumberFormat="1" applyBorder="1"/>
    <xf numFmtId="43" fontId="0" fillId="0" borderId="6" xfId="0" applyNumberFormat="1" applyBorder="1"/>
    <xf numFmtId="166" fontId="0" fillId="0" borderId="3" xfId="0" applyNumberFormat="1" applyFont="1" applyBorder="1"/>
    <xf numFmtId="0" fontId="0" fillId="0" borderId="19" xfId="0" applyFill="1" applyBorder="1"/>
    <xf numFmtId="0" fontId="1" fillId="0" borderId="17" xfId="0" applyFont="1" applyFill="1" applyBorder="1"/>
    <xf numFmtId="166" fontId="0" fillId="0" borderId="3" xfId="0" applyNumberFormat="1" applyBorder="1"/>
    <xf numFmtId="0" fontId="1" fillId="0" borderId="2" xfId="0" applyFont="1" applyFill="1" applyBorder="1"/>
    <xf numFmtId="0" fontId="0" fillId="0" borderId="20" xfId="0" applyFill="1" applyBorder="1"/>
    <xf numFmtId="43" fontId="0" fillId="0" borderId="21" xfId="0" applyNumberFormat="1" applyBorder="1"/>
    <xf numFmtId="43" fontId="0" fillId="0" borderId="1" xfId="0" applyNumberFormat="1" applyBorder="1"/>
    <xf numFmtId="43" fontId="1" fillId="0" borderId="2" xfId="0" applyNumberFormat="1" applyFont="1" applyBorder="1"/>
    <xf numFmtId="0" fontId="0" fillId="0" borderId="3" xfId="0" applyBorder="1" applyAlignment="1">
      <alignment horizontal="left"/>
    </xf>
    <xf numFmtId="0" fontId="10" fillId="0" borderId="3" xfId="0" applyFont="1" applyBorder="1" applyAlignment="1">
      <alignment horizontal="left"/>
    </xf>
    <xf numFmtId="44" fontId="9" fillId="0" borderId="11" xfId="0" applyNumberFormat="1" applyFont="1" applyBorder="1" applyAlignment="1">
      <alignment horizontal="center"/>
    </xf>
    <xf numFmtId="44" fontId="9" fillId="0" borderId="10" xfId="0" applyNumberFormat="1" applyFont="1" applyBorder="1" applyAlignment="1">
      <alignment horizontal="center"/>
    </xf>
    <xf numFmtId="44" fontId="0" fillId="0" borderId="12" xfId="0" applyNumberFormat="1" applyFont="1" applyBorder="1"/>
    <xf numFmtId="0" fontId="0" fillId="0" borderId="2" xfId="0" applyBorder="1" applyAlignment="1">
      <alignment horizontal="left"/>
    </xf>
    <xf numFmtId="166" fontId="0" fillId="0" borderId="3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0" fillId="0" borderId="9" xfId="0" applyNumberFormat="1" applyFont="1" applyBorder="1"/>
    <xf numFmtId="0" fontId="9" fillId="4" borderId="3" xfId="0" applyFont="1" applyFill="1" applyBorder="1"/>
    <xf numFmtId="44" fontId="9" fillId="4" borderId="3" xfId="0" applyNumberFormat="1" applyFont="1" applyFill="1" applyBorder="1"/>
    <xf numFmtId="44" fontId="9" fillId="4" borderId="0" xfId="0" applyNumberFormat="1" applyFont="1" applyFill="1" applyBorder="1" applyAlignment="1">
      <alignment horizontal="center"/>
    </xf>
    <xf numFmtId="44" fontId="9" fillId="4" borderId="3" xfId="0" applyNumberFormat="1" applyFont="1" applyFill="1" applyBorder="1" applyAlignment="1">
      <alignment horizontal="center"/>
    </xf>
    <xf numFmtId="44" fontId="9" fillId="4" borderId="5" xfId="0" applyNumberFormat="1" applyFont="1" applyFill="1" applyBorder="1"/>
    <xf numFmtId="10" fontId="9" fillId="4" borderId="14" xfId="0" applyNumberFormat="1" applyFont="1" applyFill="1" applyBorder="1" applyAlignment="1">
      <alignment horizontal="center"/>
    </xf>
    <xf numFmtId="10" fontId="9" fillId="4" borderId="13" xfId="0" applyNumberFormat="1" applyFont="1" applyFill="1" applyBorder="1" applyAlignment="1">
      <alignment horizontal="center"/>
    </xf>
    <xf numFmtId="0" fontId="11" fillId="0" borderId="0" xfId="0" applyFont="1"/>
    <xf numFmtId="0" fontId="3" fillId="0" borderId="6" xfId="0" applyFont="1" applyBorder="1" applyAlignment="1">
      <alignment horizontal="left" vertical="top"/>
    </xf>
    <xf numFmtId="164" fontId="0" fillId="0" borderId="6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0" fillId="0" borderId="8" xfId="0" applyFont="1" applyBorder="1"/>
    <xf numFmtId="0" fontId="3" fillId="4" borderId="3" xfId="0" applyFont="1" applyFill="1" applyBorder="1" applyAlignment="1">
      <alignment horizontal="left" vertical="top"/>
    </xf>
    <xf numFmtId="164" fontId="0" fillId="4" borderId="3" xfId="0" applyNumberFormat="1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/>
    </xf>
    <xf numFmtId="164" fontId="3" fillId="4" borderId="3" xfId="0" applyNumberFormat="1" applyFont="1" applyFill="1" applyBorder="1" applyAlignment="1">
      <alignment horizontal="center"/>
    </xf>
    <xf numFmtId="44" fontId="0" fillId="4" borderId="9" xfId="0" applyNumberFormat="1" applyFont="1" applyFill="1" applyBorder="1"/>
    <xf numFmtId="10" fontId="11" fillId="0" borderId="0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0" fontId="12" fillId="4" borderId="0" xfId="0" applyFont="1" applyFill="1"/>
    <xf numFmtId="0" fontId="13" fillId="2" borderId="1" xfId="0" quotePrefix="1" applyFont="1" applyFill="1" applyBorder="1"/>
    <xf numFmtId="0" fontId="14" fillId="5" borderId="14" xfId="0" applyFont="1" applyFill="1" applyBorder="1"/>
    <xf numFmtId="0" fontId="15" fillId="0" borderId="0" xfId="0" applyFont="1"/>
    <xf numFmtId="0" fontId="15" fillId="0" borderId="22" xfId="0" applyFont="1" applyBorder="1"/>
    <xf numFmtId="165" fontId="15" fillId="0" borderId="23" xfId="0" applyNumberFormat="1" applyFont="1" applyBorder="1" applyAlignment="1">
      <alignment horizontal="center"/>
    </xf>
    <xf numFmtId="0" fontId="15" fillId="0" borderId="26" xfId="0" applyFont="1" applyBorder="1"/>
    <xf numFmtId="43" fontId="15" fillId="0" borderId="0" xfId="0" applyNumberFormat="1" applyFont="1"/>
    <xf numFmtId="0" fontId="15" fillId="0" borderId="27" xfId="0" applyFont="1" applyBorder="1"/>
    <xf numFmtId="165" fontId="15" fillId="0" borderId="13" xfId="0" applyNumberFormat="1" applyFont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5" fillId="4" borderId="28" xfId="0" applyFont="1" applyFill="1" applyBorder="1" applyAlignment="1">
      <alignment horizontal="center"/>
    </xf>
    <xf numFmtId="0" fontId="14" fillId="6" borderId="29" xfId="0" applyFont="1" applyFill="1" applyBorder="1" applyAlignment="1">
      <alignment horizontal="center"/>
    </xf>
    <xf numFmtId="0" fontId="15" fillId="6" borderId="15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43" fontId="15" fillId="0" borderId="0" xfId="0" applyNumberFormat="1" applyFont="1" applyAlignment="1">
      <alignment horizontal="center"/>
    </xf>
    <xf numFmtId="0" fontId="15" fillId="0" borderId="19" xfId="0" applyFont="1" applyBorder="1"/>
    <xf numFmtId="165" fontId="15" fillId="0" borderId="3" xfId="0" applyNumberFormat="1" applyFont="1" applyBorder="1" applyAlignment="1">
      <alignment horizontal="center"/>
    </xf>
    <xf numFmtId="10" fontId="15" fillId="0" borderId="30" xfId="0" applyNumberFormat="1" applyFont="1" applyBorder="1" applyAlignment="1">
      <alignment horizontal="right"/>
    </xf>
    <xf numFmtId="43" fontId="15" fillId="0" borderId="31" xfId="0" applyNumberFormat="1" applyFont="1" applyBorder="1" applyAlignment="1">
      <alignment horizontal="center"/>
    </xf>
    <xf numFmtId="10" fontId="15" fillId="0" borderId="9" xfId="0" applyNumberFormat="1" applyFont="1" applyBorder="1" applyAlignment="1">
      <alignment horizontal="right"/>
    </xf>
    <xf numFmtId="43" fontId="15" fillId="0" borderId="9" xfId="0" applyNumberFormat="1" applyFont="1" applyBorder="1" applyAlignment="1">
      <alignment horizontal="center"/>
    </xf>
    <xf numFmtId="43" fontId="15" fillId="0" borderId="0" xfId="0" applyNumberFormat="1" applyFont="1" applyAlignment="1">
      <alignment horizontal="right"/>
    </xf>
    <xf numFmtId="0" fontId="15" fillId="0" borderId="30" xfId="0" applyFont="1" applyBorder="1" applyAlignment="1">
      <alignment horizontal="center"/>
    </xf>
    <xf numFmtId="43" fontId="15" fillId="0" borderId="32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7" xfId="0" applyFont="1" applyBorder="1"/>
    <xf numFmtId="165" fontId="15" fillId="0" borderId="2" xfId="0" applyNumberFormat="1" applyFont="1" applyBorder="1" applyAlignment="1">
      <alignment horizontal="center"/>
    </xf>
    <xf numFmtId="43" fontId="15" fillId="0" borderId="4" xfId="0" applyNumberFormat="1" applyFont="1" applyBorder="1"/>
    <xf numFmtId="10" fontId="15" fillId="0" borderId="33" xfId="0" applyNumberFormat="1" applyFont="1" applyBorder="1"/>
    <xf numFmtId="43" fontId="15" fillId="0" borderId="34" xfId="0" applyNumberFormat="1" applyFont="1" applyBorder="1"/>
    <xf numFmtId="10" fontId="15" fillId="0" borderId="5" xfId="0" applyNumberFormat="1" applyFont="1" applyBorder="1"/>
    <xf numFmtId="43" fontId="15" fillId="0" borderId="5" xfId="0" applyNumberFormat="1" applyFont="1" applyBorder="1"/>
    <xf numFmtId="14" fontId="15" fillId="0" borderId="3" xfId="0" applyNumberFormat="1" applyFont="1" applyBorder="1"/>
    <xf numFmtId="166" fontId="15" fillId="0" borderId="0" xfId="0" applyNumberFormat="1" applyFont="1"/>
    <xf numFmtId="10" fontId="15" fillId="0" borderId="30" xfId="0" applyNumberFormat="1" applyFont="1" applyBorder="1"/>
    <xf numFmtId="166" fontId="15" fillId="0" borderId="32" xfId="0" applyNumberFormat="1" applyFont="1" applyBorder="1"/>
    <xf numFmtId="10" fontId="15" fillId="0" borderId="9" xfId="0" applyNumberFormat="1" applyFont="1" applyBorder="1"/>
    <xf numFmtId="166" fontId="15" fillId="0" borderId="9" xfId="0" applyNumberFormat="1" applyFont="1" applyBorder="1"/>
    <xf numFmtId="165" fontId="15" fillId="0" borderId="6" xfId="0" applyNumberFormat="1" applyFont="1" applyBorder="1" applyAlignment="1">
      <alignment horizontal="center"/>
    </xf>
    <xf numFmtId="43" fontId="15" fillId="0" borderId="7" xfId="0" applyNumberFormat="1" applyFont="1" applyBorder="1"/>
    <xf numFmtId="10" fontId="15" fillId="0" borderId="35" xfId="0" applyNumberFormat="1" applyFont="1" applyBorder="1"/>
    <xf numFmtId="43" fontId="15" fillId="0" borderId="36" xfId="0" applyNumberFormat="1" applyFont="1" applyBorder="1"/>
    <xf numFmtId="10" fontId="15" fillId="0" borderId="8" xfId="0" applyNumberFormat="1" applyFont="1" applyBorder="1"/>
    <xf numFmtId="43" fontId="15" fillId="0" borderId="8" xfId="0" applyNumberFormat="1" applyFont="1" applyBorder="1"/>
    <xf numFmtId="0" fontId="14" fillId="7" borderId="37" xfId="0" applyFont="1" applyFill="1" applyBorder="1"/>
    <xf numFmtId="165" fontId="14" fillId="7" borderId="38" xfId="0" applyNumberFormat="1" applyFont="1" applyFill="1" applyBorder="1" applyAlignment="1">
      <alignment horizontal="center"/>
    </xf>
    <xf numFmtId="43" fontId="14" fillId="7" borderId="39" xfId="0" applyNumberFormat="1" applyFont="1" applyFill="1" applyBorder="1"/>
    <xf numFmtId="10" fontId="15" fillId="7" borderId="40" xfId="0" applyNumberFormat="1" applyFont="1" applyFill="1" applyBorder="1"/>
    <xf numFmtId="43" fontId="14" fillId="7" borderId="41" xfId="0" applyNumberFormat="1" applyFont="1" applyFill="1" applyBorder="1"/>
    <xf numFmtId="10" fontId="15" fillId="7" borderId="42" xfId="0" applyNumberFormat="1" applyFont="1" applyFill="1" applyBorder="1"/>
    <xf numFmtId="43" fontId="14" fillId="7" borderId="42" xfId="0" applyNumberFormat="1" applyFont="1" applyFill="1" applyBorder="1"/>
    <xf numFmtId="43" fontId="15" fillId="7" borderId="0" xfId="0" applyNumberFormat="1" applyFont="1" applyFill="1"/>
    <xf numFmtId="0" fontId="14" fillId="0" borderId="19" xfId="0" applyFont="1" applyBorder="1"/>
    <xf numFmtId="165" fontId="14" fillId="0" borderId="3" xfId="0" applyNumberFormat="1" applyFont="1" applyBorder="1" applyAlignment="1">
      <alignment horizontal="center"/>
    </xf>
    <xf numFmtId="43" fontId="14" fillId="0" borderId="0" xfId="0" applyNumberFormat="1" applyFont="1"/>
    <xf numFmtId="43" fontId="14" fillId="0" borderId="32" xfId="0" applyNumberFormat="1" applyFont="1" applyBorder="1"/>
    <xf numFmtId="43" fontId="15" fillId="0" borderId="9" xfId="0" applyNumberFormat="1" applyFont="1" applyBorder="1"/>
    <xf numFmtId="43" fontId="15" fillId="0" borderId="32" xfId="0" applyNumberFormat="1" applyFont="1" applyBorder="1"/>
    <xf numFmtId="0" fontId="14" fillId="0" borderId="20" xfId="0" applyFont="1" applyBorder="1"/>
    <xf numFmtId="165" fontId="14" fillId="0" borderId="1" xfId="0" applyNumberFormat="1" applyFont="1" applyBorder="1" applyAlignment="1">
      <alignment horizontal="center"/>
    </xf>
    <xf numFmtId="43" fontId="14" fillId="0" borderId="49" xfId="0" applyNumberFormat="1" applyFont="1" applyBorder="1"/>
    <xf numFmtId="10" fontId="15" fillId="0" borderId="50" xfId="0" applyNumberFormat="1" applyFont="1" applyBorder="1"/>
    <xf numFmtId="43" fontId="14" fillId="0" borderId="51" xfId="0" applyNumberFormat="1" applyFont="1" applyBorder="1"/>
    <xf numFmtId="10" fontId="15" fillId="0" borderId="21" xfId="0" applyNumberFormat="1" applyFont="1" applyBorder="1"/>
    <xf numFmtId="43" fontId="14" fillId="0" borderId="21" xfId="0" applyNumberFormat="1" applyFont="1" applyBorder="1"/>
    <xf numFmtId="0" fontId="14" fillId="0" borderId="0" xfId="0" applyFont="1" applyBorder="1"/>
    <xf numFmtId="165" fontId="14" fillId="0" borderId="0" xfId="0" applyNumberFormat="1" applyFont="1" applyBorder="1" applyAlignment="1">
      <alignment horizontal="center"/>
    </xf>
    <xf numFmtId="43" fontId="14" fillId="0" borderId="0" xfId="0" applyNumberFormat="1" applyFont="1" applyBorder="1"/>
    <xf numFmtId="10" fontId="15" fillId="0" borderId="0" xfId="0" applyNumberFormat="1" applyFont="1" applyBorder="1"/>
    <xf numFmtId="165" fontId="15" fillId="0" borderId="14" xfId="0" applyNumberFormat="1" applyFont="1" applyBorder="1" applyAlignment="1">
      <alignment horizontal="center"/>
    </xf>
    <xf numFmtId="43" fontId="15" fillId="0" borderId="14" xfId="0" applyNumberFormat="1" applyFont="1" applyBorder="1"/>
    <xf numFmtId="10" fontId="15" fillId="0" borderId="14" xfId="0" applyNumberFormat="1" applyFont="1" applyBorder="1"/>
    <xf numFmtId="0" fontId="15" fillId="0" borderId="23" xfId="0" applyFont="1" applyBorder="1"/>
    <xf numFmtId="0" fontId="15" fillId="0" borderId="13" xfId="0" applyFont="1" applyBorder="1" applyAlignment="1">
      <alignment horizontal="center"/>
    </xf>
    <xf numFmtId="43" fontId="15" fillId="0" borderId="3" xfId="0" applyNumberFormat="1" applyFont="1" applyBorder="1"/>
    <xf numFmtId="43" fontId="15" fillId="0" borderId="2" xfId="0" applyNumberFormat="1" applyFont="1" applyBorder="1"/>
    <xf numFmtId="166" fontId="15" fillId="0" borderId="3" xfId="0" applyNumberFormat="1" applyFont="1" applyBorder="1"/>
    <xf numFmtId="43" fontId="14" fillId="7" borderId="38" xfId="0" applyNumberFormat="1" applyFont="1" applyFill="1" applyBorder="1"/>
    <xf numFmtId="0" fontId="14" fillId="0" borderId="0" xfId="0" applyFont="1" applyFill="1" applyBorder="1"/>
    <xf numFmtId="165" fontId="14" fillId="0" borderId="0" xfId="0" applyNumberFormat="1" applyFont="1" applyFill="1" applyBorder="1" applyAlignment="1">
      <alignment horizontal="center"/>
    </xf>
    <xf numFmtId="43" fontId="14" fillId="0" borderId="0" xfId="0" applyNumberFormat="1" applyFont="1" applyFill="1" applyBorder="1"/>
    <xf numFmtId="10" fontId="15" fillId="0" borderId="0" xfId="0" applyNumberFormat="1" applyFont="1" applyFill="1" applyBorder="1"/>
    <xf numFmtId="43" fontId="15" fillId="0" borderId="0" xfId="0" applyNumberFormat="1" applyFont="1" applyFill="1"/>
    <xf numFmtId="0" fontId="15" fillId="0" borderId="0" xfId="0" applyFont="1" applyFill="1"/>
    <xf numFmtId="165" fontId="14" fillId="8" borderId="1" xfId="0" applyNumberFormat="1" applyFont="1" applyFill="1" applyBorder="1" applyAlignment="1">
      <alignment horizontal="center"/>
    </xf>
    <xf numFmtId="165" fontId="15" fillId="0" borderId="0" xfId="0" applyNumberFormat="1" applyFont="1" applyBorder="1" applyAlignment="1">
      <alignment horizontal="center"/>
    </xf>
    <xf numFmtId="43" fontId="15" fillId="0" borderId="0" xfId="0" applyNumberFormat="1" applyFont="1" applyBorder="1"/>
    <xf numFmtId="10" fontId="15" fillId="0" borderId="0" xfId="0" applyNumberFormat="1" applyFont="1"/>
    <xf numFmtId="0" fontId="14" fillId="0" borderId="37" xfId="0" applyFont="1" applyBorder="1"/>
    <xf numFmtId="165" fontId="14" fillId="0" borderId="38" xfId="0" applyNumberFormat="1" applyFont="1" applyBorder="1" applyAlignment="1">
      <alignment horizontal="center"/>
    </xf>
    <xf numFmtId="43" fontId="14" fillId="4" borderId="39" xfId="0" applyNumberFormat="1" applyFont="1" applyFill="1" applyBorder="1"/>
    <xf numFmtId="10" fontId="15" fillId="4" borderId="40" xfId="0" applyNumberFormat="1" applyFont="1" applyFill="1" applyBorder="1"/>
    <xf numFmtId="43" fontId="14" fillId="6" borderId="41" xfId="0" applyNumberFormat="1" applyFont="1" applyFill="1" applyBorder="1"/>
    <xf numFmtId="10" fontId="15" fillId="6" borderId="42" xfId="0" applyNumberFormat="1" applyFont="1" applyFill="1" applyBorder="1"/>
    <xf numFmtId="43" fontId="14" fillId="0" borderId="38" xfId="0" applyNumberFormat="1" applyFont="1" applyBorder="1"/>
    <xf numFmtId="0" fontId="15" fillId="0" borderId="0" xfId="0" applyFont="1" applyAlignment="1">
      <alignment horizontal="center"/>
    </xf>
    <xf numFmtId="0" fontId="15" fillId="0" borderId="3" xfId="0" applyFont="1" applyBorder="1"/>
    <xf numFmtId="43" fontId="15" fillId="0" borderId="19" xfId="0" applyNumberFormat="1" applyFont="1" applyBorder="1"/>
    <xf numFmtId="10" fontId="15" fillId="0" borderId="43" xfId="0" applyNumberFormat="1" applyFont="1" applyBorder="1"/>
    <xf numFmtId="166" fontId="15" fillId="0" borderId="19" xfId="0" applyNumberFormat="1" applyFont="1" applyBorder="1"/>
    <xf numFmtId="43" fontId="14" fillId="7" borderId="37" xfId="0" applyNumberFormat="1" applyFont="1" applyFill="1" applyBorder="1"/>
    <xf numFmtId="10" fontId="15" fillId="7" borderId="44" xfId="0" applyNumberFormat="1" applyFont="1" applyFill="1" applyBorder="1"/>
    <xf numFmtId="0" fontId="15" fillId="0" borderId="10" xfId="0" applyFont="1" applyBorder="1"/>
    <xf numFmtId="0" fontId="15" fillId="0" borderId="45" xfId="0" applyFont="1" applyBorder="1"/>
    <xf numFmtId="0" fontId="15" fillId="0" borderId="46" xfId="0" applyFont="1" applyBorder="1"/>
    <xf numFmtId="0" fontId="15" fillId="0" borderId="47" xfId="0" applyFont="1" applyBorder="1"/>
    <xf numFmtId="0" fontId="15" fillId="0" borderId="48" xfId="0" applyFont="1" applyBorder="1"/>
    <xf numFmtId="43" fontId="15" fillId="7" borderId="37" xfId="0" applyNumberFormat="1" applyFont="1" applyFill="1" applyBorder="1"/>
    <xf numFmtId="43" fontId="15" fillId="7" borderId="38" xfId="0" applyNumberFormat="1" applyFont="1" applyFill="1" applyBorder="1"/>
    <xf numFmtId="43" fontId="16" fillId="0" borderId="19" xfId="0" applyNumberFormat="1" applyFont="1" applyBorder="1"/>
    <xf numFmtId="43" fontId="16" fillId="0" borderId="3" xfId="0" applyNumberFormat="1" applyFont="1" applyBorder="1"/>
    <xf numFmtId="43" fontId="15" fillId="4" borderId="37" xfId="0" applyNumberFormat="1" applyFont="1" applyFill="1" applyBorder="1"/>
    <xf numFmtId="10" fontId="15" fillId="4" borderId="44" xfId="0" applyNumberFormat="1" applyFont="1" applyFill="1" applyBorder="1"/>
    <xf numFmtId="43" fontId="15" fillId="0" borderId="38" xfId="0" applyNumberFormat="1" applyFont="1" applyBorder="1"/>
    <xf numFmtId="165" fontId="14" fillId="8" borderId="38" xfId="0" applyNumberFormat="1" applyFont="1" applyFill="1" applyBorder="1" applyAlignment="1">
      <alignment horizontal="center"/>
    </xf>
    <xf numFmtId="43" fontId="9" fillId="0" borderId="20" xfId="0" applyNumberFormat="1" applyFont="1" applyBorder="1" applyAlignment="1">
      <alignment horizontal="center"/>
    </xf>
    <xf numFmtId="43" fontId="9" fillId="0" borderId="21" xfId="0" applyNumberFormat="1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5" fillId="0" borderId="2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3"/>
  <sheetViews>
    <sheetView workbookViewId="0">
      <selection activeCell="A23" sqref="A23"/>
    </sheetView>
  </sheetViews>
  <sheetFormatPr defaultRowHeight="14.6"/>
  <cols>
    <col min="1" max="1" width="34.3046875" customWidth="1"/>
    <col min="2" max="2" width="15.3828125" customWidth="1"/>
    <col min="3" max="3" width="14.69140625" customWidth="1"/>
  </cols>
  <sheetData>
    <row r="1" spans="1:3" ht="18.45">
      <c r="A1" s="14" t="s">
        <v>6</v>
      </c>
    </row>
    <row r="3" spans="1:3">
      <c r="A3" s="24"/>
      <c r="B3" s="249" t="s">
        <v>8</v>
      </c>
      <c r="C3" s="250"/>
    </row>
    <row r="4" spans="1:3">
      <c r="A4" s="25" t="s">
        <v>17</v>
      </c>
      <c r="B4" s="26" t="s">
        <v>18</v>
      </c>
      <c r="C4" s="91" t="s">
        <v>54</v>
      </c>
    </row>
    <row r="5" spans="1:3">
      <c r="A5" s="27" t="s">
        <v>28</v>
      </c>
      <c r="B5" s="87">
        <v>0</v>
      </c>
      <c r="C5" s="92">
        <v>0</v>
      </c>
    </row>
    <row r="6" spans="1:3">
      <c r="A6" s="28" t="s">
        <v>29</v>
      </c>
      <c r="B6" s="87">
        <v>358.12</v>
      </c>
      <c r="C6" s="93">
        <v>0</v>
      </c>
    </row>
    <row r="7" spans="1:3">
      <c r="A7" s="12" t="s">
        <v>19</v>
      </c>
      <c r="B7" s="87">
        <v>0</v>
      </c>
      <c r="C7" s="93">
        <v>0</v>
      </c>
    </row>
    <row r="8" spans="1:3">
      <c r="A8" s="27" t="s">
        <v>20</v>
      </c>
      <c r="B8" s="87">
        <v>60698.58</v>
      </c>
      <c r="C8" s="93">
        <v>0</v>
      </c>
    </row>
    <row r="9" spans="1:3">
      <c r="A9" s="27" t="s">
        <v>21</v>
      </c>
      <c r="B9" s="87">
        <v>1000</v>
      </c>
      <c r="C9" s="93">
        <v>0</v>
      </c>
    </row>
    <row r="10" spans="1:3">
      <c r="A10" s="27" t="s">
        <v>22</v>
      </c>
      <c r="B10" s="87">
        <v>200</v>
      </c>
      <c r="C10" s="93">
        <v>0</v>
      </c>
    </row>
    <row r="11" spans="1:3">
      <c r="A11" s="28" t="s">
        <v>23</v>
      </c>
      <c r="B11" s="87">
        <v>0</v>
      </c>
      <c r="C11" s="93">
        <v>0</v>
      </c>
    </row>
    <row r="12" spans="1:3">
      <c r="A12" s="28" t="s">
        <v>24</v>
      </c>
      <c r="B12" s="87">
        <v>0</v>
      </c>
      <c r="C12" s="93">
        <v>0</v>
      </c>
    </row>
    <row r="13" spans="1:3">
      <c r="A13" s="99" t="s">
        <v>31</v>
      </c>
      <c r="B13" s="103">
        <f>SUM(B5:B12)</f>
        <v>62256.700000000004</v>
      </c>
      <c r="C13" s="103">
        <f>SUM(C5:C12)</f>
        <v>0</v>
      </c>
    </row>
    <row r="14" spans="1:3">
      <c r="A14" s="28" t="s">
        <v>32</v>
      </c>
      <c r="B14" s="95">
        <v>-62256.7</v>
      </c>
      <c r="C14" s="94">
        <v>62256.7</v>
      </c>
    </row>
    <row r="15" spans="1:3">
      <c r="A15" s="97" t="s">
        <v>30</v>
      </c>
      <c r="B15" s="103">
        <f>SUM(B13:B14)</f>
        <v>0</v>
      </c>
      <c r="C15" s="103">
        <f>SUM(C13:C14)</f>
        <v>62256.7</v>
      </c>
    </row>
    <row r="16" spans="1:3">
      <c r="A16" s="12" t="s">
        <v>59</v>
      </c>
      <c r="B16" s="93">
        <v>0</v>
      </c>
      <c r="C16" s="93">
        <v>0</v>
      </c>
    </row>
    <row r="17" spans="1:3">
      <c r="A17" s="96" t="s">
        <v>60</v>
      </c>
      <c r="B17" s="93">
        <v>0</v>
      </c>
      <c r="C17" s="93">
        <v>0</v>
      </c>
    </row>
    <row r="18" spans="1:3">
      <c r="A18" s="96" t="s">
        <v>61</v>
      </c>
      <c r="B18" s="93">
        <v>0</v>
      </c>
      <c r="C18" s="93">
        <v>0</v>
      </c>
    </row>
    <row r="19" spans="1:3">
      <c r="A19" s="96" t="s">
        <v>62</v>
      </c>
      <c r="B19" s="93">
        <v>10000</v>
      </c>
      <c r="C19" s="93">
        <v>0</v>
      </c>
    </row>
    <row r="20" spans="1:3">
      <c r="A20" s="99" t="s">
        <v>66</v>
      </c>
      <c r="B20" s="103">
        <f>SUM(B16:B19)</f>
        <v>10000</v>
      </c>
      <c r="C20" s="103">
        <f>SUM(C15:C19)</f>
        <v>62256.7</v>
      </c>
    </row>
    <row r="21" spans="1:3">
      <c r="A21" s="96" t="s">
        <v>65</v>
      </c>
      <c r="B21" s="98">
        <v>-10000</v>
      </c>
      <c r="C21" s="93">
        <v>10000</v>
      </c>
    </row>
    <row r="22" spans="1:3">
      <c r="A22" s="96" t="s">
        <v>69</v>
      </c>
      <c r="B22" s="93">
        <v>48000</v>
      </c>
      <c r="C22" s="93">
        <v>0</v>
      </c>
    </row>
    <row r="23" spans="1:3">
      <c r="A23" s="99" t="s">
        <v>67</v>
      </c>
      <c r="B23" s="103">
        <f>SUM(B20:B22)</f>
        <v>48000</v>
      </c>
      <c r="C23" s="103">
        <f>SUM(C20:C22)</f>
        <v>72256.7</v>
      </c>
    </row>
    <row r="24" spans="1:3">
      <c r="A24" s="96" t="s">
        <v>63</v>
      </c>
      <c r="B24" s="93"/>
      <c r="C24" s="93"/>
    </row>
    <row r="25" spans="1:3">
      <c r="A25" s="96" t="s">
        <v>64</v>
      </c>
      <c r="B25" s="93"/>
      <c r="C25" s="93"/>
    </row>
    <row r="26" spans="1:3">
      <c r="A26" s="96" t="s">
        <v>68</v>
      </c>
      <c r="B26" s="93"/>
      <c r="C26" s="93"/>
    </row>
    <row r="27" spans="1:3">
      <c r="A27" s="100"/>
      <c r="B27" s="102"/>
      <c r="C27" s="101"/>
    </row>
    <row r="28" spans="1:3">
      <c r="B28" s="7"/>
      <c r="C28" s="7"/>
    </row>
    <row r="29" spans="1:3">
      <c r="B29" s="7"/>
      <c r="C29" s="7"/>
    </row>
    <row r="30" spans="1:3">
      <c r="B30" s="7"/>
      <c r="C30" s="7"/>
    </row>
    <row r="31" spans="1:3">
      <c r="B31" s="7"/>
      <c r="C31" s="7"/>
    </row>
    <row r="32" spans="1:3">
      <c r="B32" s="7"/>
      <c r="C32" s="7"/>
    </row>
    <row r="33" spans="2:3">
      <c r="B33" s="7"/>
      <c r="C33" s="7"/>
    </row>
    <row r="34" spans="2:3">
      <c r="B34" s="7"/>
      <c r="C34" s="7"/>
    </row>
    <row r="35" spans="2:3">
      <c r="B35" s="7"/>
      <c r="C35" s="7"/>
    </row>
    <row r="36" spans="2:3">
      <c r="B36" s="7"/>
      <c r="C36" s="7"/>
    </row>
    <row r="37" spans="2:3">
      <c r="B37" s="7"/>
      <c r="C37" s="7"/>
    </row>
    <row r="38" spans="2:3">
      <c r="B38" s="7"/>
      <c r="C38" s="7"/>
    </row>
    <row r="39" spans="2:3">
      <c r="B39" s="7"/>
      <c r="C39" s="7"/>
    </row>
    <row r="40" spans="2:3">
      <c r="B40" s="7"/>
      <c r="C40" s="7"/>
    </row>
    <row r="41" spans="2:3">
      <c r="B41" s="7"/>
      <c r="C41" s="7"/>
    </row>
    <row r="42" spans="2:3">
      <c r="B42" s="7"/>
      <c r="C42" s="7"/>
    </row>
    <row r="43" spans="2:3">
      <c r="B43" s="7"/>
      <c r="C43" s="7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G23" sqref="G23"/>
    </sheetView>
  </sheetViews>
  <sheetFormatPr defaultRowHeight="14.6"/>
  <cols>
    <col min="1" max="1" width="40.15234375" customWidth="1"/>
    <col min="2" max="2" width="12.53515625" customWidth="1"/>
    <col min="3" max="3" width="1.69140625" customWidth="1"/>
    <col min="4" max="4" width="17" customWidth="1"/>
    <col min="5" max="5" width="13.3828125" customWidth="1"/>
    <col min="6" max="6" width="12.3828125" customWidth="1"/>
  </cols>
  <sheetData>
    <row r="1" spans="1:7" ht="18.45">
      <c r="A1" s="14" t="s">
        <v>6</v>
      </c>
    </row>
    <row r="2" spans="1:7">
      <c r="A2" s="15" t="s">
        <v>7</v>
      </c>
      <c r="B2" s="18"/>
      <c r="C2" s="18"/>
      <c r="D2" s="18"/>
      <c r="E2" s="18"/>
      <c r="F2" s="18"/>
    </row>
    <row r="3" spans="1:7">
      <c r="A3" s="15"/>
      <c r="B3" s="18"/>
      <c r="C3" s="18"/>
      <c r="D3" s="18"/>
      <c r="E3" s="18"/>
      <c r="F3" s="18"/>
    </row>
    <row r="4" spans="1:7" ht="18.45">
      <c r="A4" s="133" t="s">
        <v>8</v>
      </c>
      <c r="B4" s="18"/>
      <c r="C4" s="18"/>
      <c r="D4" s="18"/>
      <c r="E4" s="18"/>
      <c r="F4" s="18"/>
    </row>
    <row r="5" spans="1:7">
      <c r="A5" s="46"/>
      <c r="B5" s="18"/>
      <c r="C5" s="18"/>
      <c r="D5" s="18"/>
      <c r="E5" s="18"/>
      <c r="F5" s="18"/>
    </row>
    <row r="6" spans="1:7">
      <c r="A6" s="47"/>
      <c r="B6" s="48"/>
      <c r="C6" s="49"/>
      <c r="D6" s="50" t="s">
        <v>0</v>
      </c>
      <c r="E6" s="48" t="s">
        <v>1</v>
      </c>
      <c r="F6" s="29"/>
    </row>
    <row r="7" spans="1:7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7">
      <c r="A8" s="31"/>
      <c r="B8" s="31"/>
      <c r="C8" s="31"/>
      <c r="D8" s="55"/>
      <c r="E8" s="56"/>
      <c r="F8" s="32"/>
    </row>
    <row r="9" spans="1:7">
      <c r="A9" s="57" t="s">
        <v>102</v>
      </c>
      <c r="B9" s="33"/>
      <c r="C9" s="33"/>
      <c r="D9" s="55"/>
      <c r="E9" s="56"/>
      <c r="F9" s="32"/>
    </row>
    <row r="10" spans="1:7">
      <c r="A10" s="58" t="s">
        <v>4</v>
      </c>
      <c r="B10" s="34"/>
      <c r="C10" s="34"/>
      <c r="D10" s="131">
        <f>'ye 14-ABP 2015'!D26</f>
        <v>0.75260000000000005</v>
      </c>
      <c r="E10" s="132">
        <f>'ye 14-ABP 2015'!E26</f>
        <v>0.24740000000000001</v>
      </c>
      <c r="F10" s="80">
        <f>+D10+E10</f>
        <v>1</v>
      </c>
      <c r="G10" s="120" t="s">
        <v>107</v>
      </c>
    </row>
    <row r="11" spans="1:7">
      <c r="A11" s="126" t="s">
        <v>103</v>
      </c>
      <c r="B11" s="127">
        <v>106290.22</v>
      </c>
      <c r="C11" s="127"/>
      <c r="D11" s="128">
        <f>+B11*D10</f>
        <v>79994.019572000005</v>
      </c>
      <c r="E11" s="129">
        <f>+B11*E10</f>
        <v>26296.200428</v>
      </c>
      <c r="F11" s="130">
        <f>+D11+E11</f>
        <v>106290.22</v>
      </c>
      <c r="G11" s="120" t="s">
        <v>108</v>
      </c>
    </row>
    <row r="12" spans="1:7">
      <c r="A12" s="121"/>
      <c r="B12" s="122"/>
      <c r="C12" s="122"/>
      <c r="D12" s="123"/>
      <c r="E12" s="124"/>
      <c r="F12" s="125"/>
    </row>
    <row r="13" spans="1:7">
      <c r="A13" s="31"/>
      <c r="B13" s="34"/>
      <c r="C13" s="34"/>
      <c r="D13" s="74"/>
      <c r="E13" s="75"/>
      <c r="F13" s="35"/>
    </row>
    <row r="14" spans="1:7">
      <c r="A14" s="57" t="s">
        <v>5</v>
      </c>
      <c r="B14" s="34"/>
      <c r="C14" s="34"/>
      <c r="D14" s="74"/>
      <c r="E14" s="75"/>
      <c r="F14" s="35"/>
    </row>
    <row r="15" spans="1:7">
      <c r="A15" s="68" t="s">
        <v>104</v>
      </c>
      <c r="B15" s="34">
        <v>24088.240000000002</v>
      </c>
      <c r="C15" s="34"/>
      <c r="D15" s="69">
        <v>0</v>
      </c>
      <c r="E15" s="70">
        <f>+B15</f>
        <v>24088.240000000002</v>
      </c>
      <c r="F15" s="35">
        <f>+D15+E15</f>
        <v>24088.240000000002</v>
      </c>
    </row>
    <row r="16" spans="1:7">
      <c r="A16" s="68" t="s">
        <v>105</v>
      </c>
      <c r="B16" s="34">
        <v>27406</v>
      </c>
      <c r="C16" s="34"/>
      <c r="D16" s="71">
        <f>+B16</f>
        <v>27406</v>
      </c>
      <c r="E16" s="72">
        <v>0</v>
      </c>
      <c r="F16" s="35">
        <f>+D16+E16</f>
        <v>27406</v>
      </c>
    </row>
    <row r="17" spans="1:8">
      <c r="A17" s="82" t="s">
        <v>103</v>
      </c>
      <c r="B17" s="39">
        <f>SUM(B15:B16)</f>
        <v>51494.240000000005</v>
      </c>
      <c r="C17" s="34"/>
      <c r="D17" s="40">
        <f>SUM(D15:D16)</f>
        <v>27406</v>
      </c>
      <c r="E17" s="41">
        <f>SUM(E15:E16)</f>
        <v>24088.240000000002</v>
      </c>
      <c r="F17" s="41">
        <f>SUM(F15:F16)</f>
        <v>51494.240000000005</v>
      </c>
    </row>
    <row r="18" spans="1:8">
      <c r="A18" s="42"/>
      <c r="B18" s="43"/>
      <c r="C18" s="44"/>
      <c r="D18" s="45"/>
      <c r="E18" s="43"/>
      <c r="F18" s="32"/>
    </row>
    <row r="19" spans="1:8">
      <c r="A19" s="113" t="s">
        <v>106</v>
      </c>
      <c r="B19" s="114">
        <f>B11+B17</f>
        <v>157784.46000000002</v>
      </c>
      <c r="C19" s="114"/>
      <c r="D19" s="115">
        <f>D11+D17</f>
        <v>107400.019572</v>
      </c>
      <c r="E19" s="116">
        <f>E11+E17</f>
        <v>50384.440428000002</v>
      </c>
      <c r="F19" s="117">
        <f>+D19+E19</f>
        <v>157784.46000000002</v>
      </c>
    </row>
    <row r="20" spans="1:8" ht="15" thickBot="1">
      <c r="A20" s="77" t="s">
        <v>39</v>
      </c>
      <c r="B20" s="78">
        <f>+E20+D20</f>
        <v>1</v>
      </c>
      <c r="C20" s="67"/>
      <c r="D20" s="118">
        <f>ROUND(D19/F19,4)</f>
        <v>0.68069999999999997</v>
      </c>
      <c r="E20" s="119">
        <f>ROUND(E19/F19,4)</f>
        <v>0.31929999999999997</v>
      </c>
      <c r="F20" s="81">
        <f>+D20+E20</f>
        <v>1</v>
      </c>
      <c r="G20" s="23" t="s">
        <v>109</v>
      </c>
      <c r="H20" s="120"/>
    </row>
    <row r="21" spans="1:8" ht="15" thickTop="1"/>
    <row r="22" spans="1:8">
      <c r="D22" s="5"/>
      <c r="E22" s="5"/>
    </row>
  </sheetData>
  <pageMargins left="0.25" right="0.25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I21" sqref="I21"/>
    </sheetView>
  </sheetViews>
  <sheetFormatPr defaultRowHeight="14.6"/>
  <cols>
    <col min="1" max="1" width="40.15234375" customWidth="1"/>
    <col min="2" max="2" width="12.53515625" customWidth="1"/>
    <col min="3" max="3" width="1.69140625" customWidth="1"/>
    <col min="4" max="4" width="17" customWidth="1"/>
    <col min="5" max="5" width="13.3828125" customWidth="1"/>
    <col min="6" max="6" width="12.3828125" customWidth="1"/>
  </cols>
  <sheetData>
    <row r="1" spans="1:7" ht="18.45">
      <c r="A1" s="14" t="s">
        <v>6</v>
      </c>
    </row>
    <row r="2" spans="1:7">
      <c r="A2" s="15" t="s">
        <v>7</v>
      </c>
      <c r="B2" s="18"/>
      <c r="C2" s="18"/>
      <c r="D2" s="18"/>
      <c r="E2" s="18"/>
      <c r="F2" s="18"/>
    </row>
    <row r="3" spans="1:7">
      <c r="A3" s="15"/>
      <c r="B3" s="18"/>
      <c r="C3" s="18"/>
      <c r="D3" s="18"/>
      <c r="E3" s="18"/>
      <c r="F3" s="18"/>
    </row>
    <row r="4" spans="1:7" ht="18.45">
      <c r="A4" s="133" t="s">
        <v>8</v>
      </c>
      <c r="B4" s="18"/>
      <c r="C4" s="18"/>
      <c r="D4" s="18"/>
      <c r="E4" s="18"/>
      <c r="F4" s="18"/>
    </row>
    <row r="5" spans="1:7">
      <c r="A5" s="46"/>
      <c r="B5" s="18"/>
      <c r="C5" s="18"/>
      <c r="D5" s="18"/>
      <c r="E5" s="18"/>
      <c r="F5" s="18"/>
    </row>
    <row r="6" spans="1:7">
      <c r="A6" s="47"/>
      <c r="B6" s="48"/>
      <c r="C6" s="49"/>
      <c r="D6" s="50" t="s">
        <v>0</v>
      </c>
      <c r="E6" s="48" t="s">
        <v>1</v>
      </c>
      <c r="F6" s="29"/>
    </row>
    <row r="7" spans="1:7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7">
      <c r="A8" s="31"/>
      <c r="B8" s="31"/>
      <c r="C8" s="31"/>
      <c r="D8" s="55"/>
      <c r="E8" s="56"/>
      <c r="F8" s="32"/>
    </row>
    <row r="9" spans="1:7">
      <c r="A9" s="57" t="s">
        <v>110</v>
      </c>
      <c r="B9" s="33"/>
      <c r="C9" s="33"/>
      <c r="D9" s="55"/>
      <c r="E9" s="56"/>
      <c r="F9" s="32"/>
    </row>
    <row r="10" spans="1:7">
      <c r="A10" s="58" t="s">
        <v>4</v>
      </c>
      <c r="B10" s="34"/>
      <c r="C10" s="34"/>
      <c r="D10" s="131">
        <f>'ye 15-ABP 2016'!D20</f>
        <v>0.68069999999999997</v>
      </c>
      <c r="E10" s="132">
        <f>'ye 15-ABP 2016'!E20</f>
        <v>0.31929999999999997</v>
      </c>
      <c r="F10" s="80">
        <f>+D10+E10</f>
        <v>1</v>
      </c>
      <c r="G10" s="120" t="s">
        <v>107</v>
      </c>
    </row>
    <row r="11" spans="1:7">
      <c r="A11" s="126" t="s">
        <v>111</v>
      </c>
      <c r="B11" s="127">
        <v>2056.21</v>
      </c>
      <c r="C11" s="127"/>
      <c r="D11" s="128">
        <f>+B11*D10</f>
        <v>1399.662147</v>
      </c>
      <c r="E11" s="129">
        <f>+B11*E10</f>
        <v>656.54785299999992</v>
      </c>
      <c r="F11" s="130">
        <f>+D11+E11</f>
        <v>2056.21</v>
      </c>
      <c r="G11" s="120" t="s">
        <v>108</v>
      </c>
    </row>
    <row r="12" spans="1:7">
      <c r="A12" s="121"/>
      <c r="B12" s="122"/>
      <c r="C12" s="122"/>
      <c r="D12" s="123"/>
      <c r="E12" s="124"/>
      <c r="F12" s="125"/>
    </row>
    <row r="13" spans="1:7">
      <c r="A13" s="31"/>
      <c r="B13" s="34"/>
      <c r="C13" s="34"/>
      <c r="D13" s="74"/>
      <c r="E13" s="75"/>
      <c r="F13" s="35"/>
    </row>
    <row r="14" spans="1:7">
      <c r="A14" s="57" t="s">
        <v>5</v>
      </c>
      <c r="B14" s="34"/>
      <c r="C14" s="34"/>
      <c r="D14" s="74"/>
      <c r="E14" s="75"/>
      <c r="F14" s="35"/>
    </row>
    <row r="15" spans="1:7">
      <c r="A15" s="68" t="s">
        <v>112</v>
      </c>
      <c r="B15" s="34">
        <v>30193.439999999999</v>
      </c>
      <c r="C15" s="34"/>
      <c r="D15" s="69">
        <v>0</v>
      </c>
      <c r="E15" s="70">
        <f>+B15</f>
        <v>30193.439999999999</v>
      </c>
      <c r="F15" s="35">
        <f>+D15+E15</f>
        <v>30193.439999999999</v>
      </c>
    </row>
    <row r="16" spans="1:7">
      <c r="A16" s="68" t="s">
        <v>113</v>
      </c>
      <c r="B16" s="34">
        <v>0</v>
      </c>
      <c r="C16" s="34"/>
      <c r="D16" s="71">
        <f>+B16</f>
        <v>0</v>
      </c>
      <c r="E16" s="72">
        <v>0</v>
      </c>
      <c r="F16" s="35">
        <f>+D16+E16</f>
        <v>0</v>
      </c>
    </row>
    <row r="17" spans="1:8">
      <c r="A17" s="82" t="s">
        <v>111</v>
      </c>
      <c r="B17" s="39">
        <f>SUM(B15:B16)</f>
        <v>30193.439999999999</v>
      </c>
      <c r="C17" s="34"/>
      <c r="D17" s="40">
        <f>SUM(D15:D16)</f>
        <v>0</v>
      </c>
      <c r="E17" s="41">
        <f>SUM(E15:E16)</f>
        <v>30193.439999999999</v>
      </c>
      <c r="F17" s="41">
        <f>SUM(F15:F16)</f>
        <v>30193.439999999999</v>
      </c>
    </row>
    <row r="18" spans="1:8">
      <c r="A18" s="42"/>
      <c r="B18" s="43"/>
      <c r="C18" s="44"/>
      <c r="D18" s="45"/>
      <c r="E18" s="43"/>
      <c r="F18" s="32"/>
    </row>
    <row r="19" spans="1:8">
      <c r="A19" s="113" t="s">
        <v>114</v>
      </c>
      <c r="B19" s="114">
        <f>B11+B17</f>
        <v>32249.649999999998</v>
      </c>
      <c r="C19" s="114"/>
      <c r="D19" s="115">
        <f>D11+D17</f>
        <v>1399.662147</v>
      </c>
      <c r="E19" s="116">
        <f>E11+E17</f>
        <v>30849.987852999999</v>
      </c>
      <c r="F19" s="117">
        <f>+D19+E19</f>
        <v>32249.649999999998</v>
      </c>
    </row>
    <row r="20" spans="1:8" ht="15" thickBot="1">
      <c r="A20" s="77" t="s">
        <v>39</v>
      </c>
      <c r="B20" s="78">
        <f>+E20+D20</f>
        <v>1</v>
      </c>
      <c r="C20" s="67"/>
      <c r="D20" s="118">
        <f>ROUND(D19/F19,4)</f>
        <v>4.3400000000000001E-2</v>
      </c>
      <c r="E20" s="119">
        <f>ROUND(E19/F19,4)</f>
        <v>0.95660000000000001</v>
      </c>
      <c r="F20" s="81">
        <f>+D20+E20</f>
        <v>1</v>
      </c>
      <c r="G20" s="23" t="s">
        <v>109</v>
      </c>
      <c r="H20" s="120"/>
    </row>
    <row r="21" spans="1:8" ht="15" thickTop="1"/>
    <row r="22" spans="1:8">
      <c r="D22" s="5"/>
      <c r="E22" s="5"/>
    </row>
  </sheetData>
  <pageMargins left="0.25" right="0.25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B22" sqref="B22"/>
    </sheetView>
  </sheetViews>
  <sheetFormatPr defaultRowHeight="14.6"/>
  <cols>
    <col min="1" max="1" width="39.15234375" customWidth="1"/>
    <col min="2" max="2" width="14.15234375" customWidth="1"/>
    <col min="3" max="3" width="1.53515625" customWidth="1"/>
    <col min="4" max="4" width="13.69140625" customWidth="1"/>
    <col min="5" max="5" width="14.69140625" customWidth="1"/>
    <col min="6" max="6" width="13.3828125" customWidth="1"/>
  </cols>
  <sheetData>
    <row r="1" spans="1:7" ht="18.45">
      <c r="A1" s="14" t="s">
        <v>6</v>
      </c>
    </row>
    <row r="2" spans="1:7">
      <c r="A2" s="15" t="s">
        <v>7</v>
      </c>
      <c r="B2" s="18"/>
      <c r="C2" s="18"/>
      <c r="D2" s="18"/>
      <c r="E2" s="18"/>
      <c r="F2" s="18"/>
    </row>
    <row r="3" spans="1:7">
      <c r="A3" s="15"/>
      <c r="B3" s="18"/>
      <c r="C3" s="18"/>
      <c r="D3" s="18"/>
      <c r="E3" s="18"/>
      <c r="F3" s="18"/>
    </row>
    <row r="4" spans="1:7" ht="18.45">
      <c r="A4" s="133" t="s">
        <v>8</v>
      </c>
      <c r="B4" s="18"/>
      <c r="C4" s="18"/>
      <c r="D4" s="18"/>
      <c r="E4" s="18"/>
      <c r="F4" s="18"/>
    </row>
    <row r="5" spans="1:7">
      <c r="A5" s="46"/>
      <c r="B5" s="18"/>
      <c r="C5" s="18"/>
      <c r="D5" s="18"/>
      <c r="E5" s="18"/>
      <c r="F5" s="18"/>
    </row>
    <row r="6" spans="1:7">
      <c r="A6" s="47"/>
      <c r="B6" s="48"/>
      <c r="C6" s="49"/>
      <c r="D6" s="50" t="s">
        <v>0</v>
      </c>
      <c r="E6" s="48" t="s">
        <v>1</v>
      </c>
      <c r="F6" s="29"/>
    </row>
    <row r="7" spans="1:7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7">
      <c r="A8" s="31"/>
      <c r="B8" s="31"/>
      <c r="C8" s="31"/>
      <c r="D8" s="55"/>
      <c r="E8" s="56"/>
      <c r="F8" s="32"/>
    </row>
    <row r="9" spans="1:7">
      <c r="A9" s="57" t="s">
        <v>115</v>
      </c>
      <c r="B9" s="33"/>
      <c r="C9" s="33"/>
      <c r="D9" s="55"/>
      <c r="E9" s="56"/>
      <c r="F9" s="32"/>
    </row>
    <row r="10" spans="1:7">
      <c r="A10" s="58" t="s">
        <v>4</v>
      </c>
      <c r="B10" s="34"/>
      <c r="C10" s="34"/>
      <c r="D10" s="131">
        <v>4.3400000000000001E-2</v>
      </c>
      <c r="E10" s="132">
        <v>0.95660000000000001</v>
      </c>
      <c r="F10" s="80">
        <f>+D10+E10</f>
        <v>1</v>
      </c>
      <c r="G10" s="120" t="s">
        <v>107</v>
      </c>
    </row>
    <row r="11" spans="1:7">
      <c r="A11" s="126" t="s">
        <v>116</v>
      </c>
      <c r="B11" s="127">
        <v>11332.42</v>
      </c>
      <c r="C11" s="34"/>
      <c r="D11" s="128">
        <f>+B11*D10</f>
        <v>491.82702800000004</v>
      </c>
      <c r="E11" s="129">
        <f>+B11*E10</f>
        <v>10840.592972</v>
      </c>
      <c r="F11" s="130">
        <f>+D11+E11</f>
        <v>11332.42</v>
      </c>
      <c r="G11" s="120" t="s">
        <v>108</v>
      </c>
    </row>
    <row r="12" spans="1:7">
      <c r="A12" s="57" t="s">
        <v>119</v>
      </c>
      <c r="B12" s="34"/>
      <c r="C12" s="34"/>
      <c r="D12" s="128"/>
      <c r="E12" s="129"/>
      <c r="F12" s="130"/>
      <c r="G12" s="120"/>
    </row>
    <row r="13" spans="1:7">
      <c r="A13" s="126" t="s">
        <v>116</v>
      </c>
      <c r="B13" s="127">
        <v>38696.15</v>
      </c>
      <c r="C13" s="127"/>
      <c r="D13" s="128">
        <f>+B13*D10</f>
        <v>1679.41291</v>
      </c>
      <c r="E13" s="129">
        <f>+B13*E10</f>
        <v>37016.737090000002</v>
      </c>
      <c r="F13" s="130">
        <f>+D13+E13</f>
        <v>38696.15</v>
      </c>
    </row>
    <row r="14" spans="1:7">
      <c r="A14" s="121"/>
      <c r="B14" s="122"/>
      <c r="C14" s="122"/>
      <c r="D14" s="123"/>
      <c r="E14" s="124"/>
      <c r="F14" s="125"/>
    </row>
    <row r="15" spans="1:7">
      <c r="A15" s="31"/>
      <c r="B15" s="34"/>
      <c r="C15" s="34"/>
      <c r="D15" s="74"/>
      <c r="E15" s="75"/>
      <c r="F15" s="35"/>
    </row>
    <row r="16" spans="1:7">
      <c r="A16" s="57" t="s">
        <v>5</v>
      </c>
      <c r="B16" s="34"/>
      <c r="C16" s="34"/>
      <c r="D16" s="74"/>
      <c r="E16" s="75"/>
      <c r="F16" s="35"/>
    </row>
    <row r="17" spans="1:8">
      <c r="A17" s="68" t="s">
        <v>117</v>
      </c>
      <c r="B17" s="34">
        <v>31547.14</v>
      </c>
      <c r="C17" s="34"/>
      <c r="D17" s="69">
        <v>0</v>
      </c>
      <c r="E17" s="70">
        <f>+B17</f>
        <v>31547.14</v>
      </c>
      <c r="F17" s="35">
        <f>+D17+E17</f>
        <v>31547.14</v>
      </c>
    </row>
    <row r="18" spans="1:8">
      <c r="A18" s="68" t="s">
        <v>118</v>
      </c>
      <c r="B18" s="34">
        <v>101854</v>
      </c>
      <c r="C18" s="34"/>
      <c r="D18" s="71">
        <f>+B18</f>
        <v>101854</v>
      </c>
      <c r="E18" s="72">
        <v>0</v>
      </c>
      <c r="F18" s="35">
        <f>+D18+E18</f>
        <v>101854</v>
      </c>
    </row>
    <row r="19" spans="1:8">
      <c r="A19" s="82" t="s">
        <v>116</v>
      </c>
      <c r="B19" s="39">
        <f>SUM(B17:B18)</f>
        <v>133401.14000000001</v>
      </c>
      <c r="C19" s="34"/>
      <c r="D19" s="40">
        <f>SUM(D17:D18)</f>
        <v>101854</v>
      </c>
      <c r="E19" s="41">
        <f>SUM(E17:E18)</f>
        <v>31547.14</v>
      </c>
      <c r="F19" s="41">
        <f>SUM(F17:F18)</f>
        <v>133401.14000000001</v>
      </c>
    </row>
    <row r="20" spans="1:8">
      <c r="A20" s="42"/>
      <c r="B20" s="43"/>
      <c r="C20" s="44"/>
      <c r="D20" s="45"/>
      <c r="E20" s="43"/>
      <c r="F20" s="32"/>
    </row>
    <row r="21" spans="1:8">
      <c r="A21" s="113" t="s">
        <v>120</v>
      </c>
      <c r="B21" s="114">
        <f>B11+B13+B19</f>
        <v>183429.71000000002</v>
      </c>
      <c r="C21" s="114"/>
      <c r="D21" s="115">
        <f>D11+D13+D19</f>
        <v>104025.239938</v>
      </c>
      <c r="E21" s="116">
        <f>E11+E13+E19</f>
        <v>79404.470062000008</v>
      </c>
      <c r="F21" s="117">
        <f>+D21+E21</f>
        <v>183429.71000000002</v>
      </c>
    </row>
    <row r="22" spans="1:8" ht="15" thickBot="1">
      <c r="A22" s="77" t="s">
        <v>39</v>
      </c>
      <c r="B22" s="78">
        <f>+E22+D22</f>
        <v>1</v>
      </c>
      <c r="C22" s="67"/>
      <c r="D22" s="118">
        <f>ROUND(D21/F21,4)</f>
        <v>0.56710000000000005</v>
      </c>
      <c r="E22" s="119">
        <f>ROUND(E21/F21,4)</f>
        <v>0.43290000000000001</v>
      </c>
      <c r="F22" s="81">
        <f>+D22+E22</f>
        <v>1</v>
      </c>
      <c r="G22" s="23" t="s">
        <v>109</v>
      </c>
      <c r="H22" s="120"/>
    </row>
    <row r="23" spans="1:8" ht="15" thickTop="1"/>
    <row r="24" spans="1:8">
      <c r="D24" s="5"/>
      <c r="E24" s="5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G27" sqref="G27"/>
    </sheetView>
  </sheetViews>
  <sheetFormatPr defaultRowHeight="14.6"/>
  <cols>
    <col min="1" max="1" width="39.15234375" customWidth="1"/>
    <col min="2" max="2" width="14.15234375" customWidth="1"/>
    <col min="3" max="3" width="1.53515625" customWidth="1"/>
    <col min="4" max="4" width="13.69140625" customWidth="1"/>
    <col min="5" max="5" width="14.69140625" customWidth="1"/>
    <col min="6" max="6" width="13.3828125" customWidth="1"/>
  </cols>
  <sheetData>
    <row r="1" spans="1:7" ht="18.45">
      <c r="A1" s="14" t="s">
        <v>6</v>
      </c>
    </row>
    <row r="2" spans="1:7">
      <c r="A2" s="15" t="s">
        <v>7</v>
      </c>
      <c r="B2" s="18"/>
      <c r="C2" s="18"/>
      <c r="D2" s="18"/>
      <c r="E2" s="18"/>
      <c r="F2" s="18"/>
    </row>
    <row r="3" spans="1:7">
      <c r="A3" s="15"/>
      <c r="B3" s="18"/>
      <c r="C3" s="18"/>
      <c r="D3" s="18"/>
      <c r="E3" s="18"/>
      <c r="F3" s="18"/>
    </row>
    <row r="4" spans="1:7" ht="18.45">
      <c r="A4" s="133" t="s">
        <v>8</v>
      </c>
      <c r="B4" s="18"/>
      <c r="C4" s="18"/>
      <c r="D4" s="18"/>
      <c r="E4" s="18"/>
      <c r="F4" s="18"/>
    </row>
    <row r="5" spans="1:7">
      <c r="A5" s="46"/>
      <c r="B5" s="18"/>
      <c r="C5" s="18"/>
      <c r="D5" s="18"/>
      <c r="E5" s="18"/>
      <c r="F5" s="18"/>
    </row>
    <row r="6" spans="1:7">
      <c r="A6" s="47"/>
      <c r="B6" s="48"/>
      <c r="C6" s="49"/>
      <c r="D6" s="50" t="s">
        <v>0</v>
      </c>
      <c r="E6" s="48" t="s">
        <v>1</v>
      </c>
      <c r="F6" s="29"/>
    </row>
    <row r="7" spans="1:7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7">
      <c r="A8" s="31"/>
      <c r="B8" s="31"/>
      <c r="C8" s="31"/>
      <c r="D8" s="55"/>
      <c r="E8" s="56"/>
      <c r="F8" s="32"/>
    </row>
    <row r="9" spans="1:7">
      <c r="A9" s="57" t="s">
        <v>122</v>
      </c>
      <c r="B9" s="33"/>
      <c r="C9" s="33"/>
      <c r="D9" s="55"/>
      <c r="E9" s="56"/>
      <c r="F9" s="32"/>
    </row>
    <row r="10" spans="1:7">
      <c r="A10" s="58" t="s">
        <v>4</v>
      </c>
      <c r="B10" s="34"/>
      <c r="C10" s="34"/>
      <c r="D10" s="131">
        <f>'ye 17-ABP 2018'!D22</f>
        <v>0.56710000000000005</v>
      </c>
      <c r="E10" s="132">
        <f>'ye 17-ABP 2018'!E22</f>
        <v>0.43290000000000001</v>
      </c>
      <c r="F10" s="80">
        <f>+D10+E10</f>
        <v>1</v>
      </c>
      <c r="G10" s="120" t="s">
        <v>107</v>
      </c>
    </row>
    <row r="11" spans="1:7">
      <c r="A11" s="126" t="s">
        <v>121</v>
      </c>
      <c r="B11" s="127">
        <v>78404.259999999995</v>
      </c>
      <c r="C11" s="34"/>
      <c r="D11" s="128">
        <f>+B11*D10</f>
        <v>44463.055846000003</v>
      </c>
      <c r="E11" s="129">
        <f>+B11*E10</f>
        <v>33941.204153999999</v>
      </c>
      <c r="F11" s="130">
        <f>+D11+E11</f>
        <v>78404.260000000009</v>
      </c>
      <c r="G11" s="120" t="s">
        <v>108</v>
      </c>
    </row>
    <row r="12" spans="1:7">
      <c r="A12" s="121"/>
      <c r="B12" s="122"/>
      <c r="C12" s="122"/>
      <c r="D12" s="123"/>
      <c r="E12" s="124"/>
      <c r="F12" s="125"/>
    </row>
    <row r="13" spans="1:7">
      <c r="A13" s="31"/>
      <c r="B13" s="34"/>
      <c r="C13" s="34"/>
      <c r="D13" s="74"/>
      <c r="E13" s="75"/>
      <c r="F13" s="35"/>
    </row>
    <row r="14" spans="1:7">
      <c r="A14" s="57" t="s">
        <v>5</v>
      </c>
      <c r="B14" s="34"/>
      <c r="C14" s="34"/>
      <c r="D14" s="74"/>
      <c r="E14" s="75"/>
      <c r="F14" s="35"/>
    </row>
    <row r="15" spans="1:7">
      <c r="A15" s="68" t="s">
        <v>123</v>
      </c>
      <c r="B15" s="34">
        <v>933.42</v>
      </c>
      <c r="C15" s="34"/>
      <c r="D15" s="69">
        <v>0</v>
      </c>
      <c r="E15" s="70">
        <f>+B15</f>
        <v>933.42</v>
      </c>
      <c r="F15" s="35">
        <f>+D15+E15</f>
        <v>933.42</v>
      </c>
    </row>
    <row r="16" spans="1:7">
      <c r="A16" s="68" t="s">
        <v>124</v>
      </c>
      <c r="B16" s="34">
        <v>19400</v>
      </c>
      <c r="C16" s="34"/>
      <c r="D16" s="71">
        <f>+B16</f>
        <v>19400</v>
      </c>
      <c r="E16" s="72">
        <v>0</v>
      </c>
      <c r="F16" s="35">
        <f>+D16+E16</f>
        <v>19400</v>
      </c>
    </row>
    <row r="17" spans="1:8">
      <c r="A17" s="82" t="s">
        <v>121</v>
      </c>
      <c r="B17" s="39">
        <f>SUM(B15:B16)</f>
        <v>20333.419999999998</v>
      </c>
      <c r="C17" s="34"/>
      <c r="D17" s="40">
        <f>SUM(D15:D16)</f>
        <v>19400</v>
      </c>
      <c r="E17" s="41">
        <f>SUM(E15:E16)</f>
        <v>933.42</v>
      </c>
      <c r="F17" s="41">
        <f>SUM(F15:F16)</f>
        <v>20333.419999999998</v>
      </c>
    </row>
    <row r="18" spans="1:8">
      <c r="A18" s="42"/>
      <c r="B18" s="43"/>
      <c r="C18" s="44"/>
      <c r="D18" s="45"/>
      <c r="E18" s="43"/>
      <c r="F18" s="32"/>
    </row>
    <row r="19" spans="1:8">
      <c r="A19" s="113" t="s">
        <v>125</v>
      </c>
      <c r="B19" s="114">
        <f>B11+B17</f>
        <v>98737.68</v>
      </c>
      <c r="C19" s="114"/>
      <c r="D19" s="115">
        <f>D11+D17</f>
        <v>63863.055846000003</v>
      </c>
      <c r="E19" s="116">
        <f>E11+E17</f>
        <v>34874.624153999997</v>
      </c>
      <c r="F19" s="117">
        <f>+D19+E19</f>
        <v>98737.68</v>
      </c>
    </row>
    <row r="20" spans="1:8" ht="15" thickBot="1">
      <c r="A20" s="77" t="s">
        <v>39</v>
      </c>
      <c r="B20" s="78">
        <f>+E20+D20</f>
        <v>1</v>
      </c>
      <c r="C20" s="67"/>
      <c r="D20" s="118">
        <f>ROUND(D19/F19,4)</f>
        <v>0.64680000000000004</v>
      </c>
      <c r="E20" s="119">
        <f>ROUND(E19/F19,4)</f>
        <v>0.35320000000000001</v>
      </c>
      <c r="F20" s="81">
        <f>+D20+E20</f>
        <v>1</v>
      </c>
      <c r="G20" s="23" t="s">
        <v>109</v>
      </c>
      <c r="H20" s="120"/>
    </row>
    <row r="21" spans="1:8" ht="15" thickTop="1"/>
    <row r="22" spans="1:8">
      <c r="D22" s="5"/>
      <c r="E22" s="5"/>
    </row>
  </sheetData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E19" sqref="E19"/>
    </sheetView>
  </sheetViews>
  <sheetFormatPr defaultRowHeight="14.6"/>
  <cols>
    <col min="1" max="1" width="39.15234375" customWidth="1"/>
    <col min="2" max="2" width="14.15234375" customWidth="1"/>
    <col min="3" max="3" width="1.53515625" customWidth="1"/>
    <col min="4" max="4" width="13.69140625" customWidth="1"/>
    <col min="5" max="5" width="14.69140625" customWidth="1"/>
    <col min="6" max="6" width="13.3828125" customWidth="1"/>
  </cols>
  <sheetData>
    <row r="1" spans="1:7" ht="18.45">
      <c r="A1" s="14" t="s">
        <v>6</v>
      </c>
    </row>
    <row r="2" spans="1:7">
      <c r="A2" s="15" t="s">
        <v>7</v>
      </c>
      <c r="B2" s="18"/>
      <c r="C2" s="18"/>
      <c r="D2" s="18"/>
      <c r="E2" s="18"/>
      <c r="F2" s="18"/>
    </row>
    <row r="3" spans="1:7">
      <c r="A3" s="15"/>
      <c r="B3" s="18"/>
      <c r="C3" s="18"/>
      <c r="D3" s="18"/>
      <c r="E3" s="18"/>
      <c r="F3" s="18"/>
    </row>
    <row r="4" spans="1:7" ht="18.45">
      <c r="A4" s="133" t="s">
        <v>8</v>
      </c>
      <c r="B4" s="18"/>
      <c r="C4" s="18"/>
      <c r="D4" s="18"/>
      <c r="E4" s="18"/>
      <c r="F4" s="18"/>
    </row>
    <row r="5" spans="1:7">
      <c r="A5" s="46"/>
      <c r="B5" s="18"/>
      <c r="C5" s="18"/>
      <c r="D5" s="18"/>
      <c r="E5" s="18"/>
      <c r="F5" s="18"/>
    </row>
    <row r="6" spans="1:7">
      <c r="A6" s="47"/>
      <c r="B6" s="48"/>
      <c r="C6" s="49"/>
      <c r="D6" s="50" t="s">
        <v>0</v>
      </c>
      <c r="E6" s="48" t="s">
        <v>1</v>
      </c>
      <c r="F6" s="29"/>
    </row>
    <row r="7" spans="1:7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7">
      <c r="A8" s="31"/>
      <c r="B8" s="31"/>
      <c r="C8" s="31"/>
      <c r="D8" s="55"/>
      <c r="E8" s="56"/>
      <c r="F8" s="32"/>
    </row>
    <row r="9" spans="1:7">
      <c r="A9" s="57" t="s">
        <v>126</v>
      </c>
      <c r="B9" s="33"/>
      <c r="C9" s="33"/>
      <c r="D9" s="55"/>
      <c r="E9" s="56"/>
      <c r="F9" s="32"/>
    </row>
    <row r="10" spans="1:7">
      <c r="A10" s="58" t="s">
        <v>4</v>
      </c>
      <c r="B10" s="34"/>
      <c r="C10" s="34"/>
      <c r="D10" s="131">
        <f>'ye 18-ABP 2019'!D20</f>
        <v>0.64680000000000004</v>
      </c>
      <c r="E10" s="132">
        <f>'ye 18-ABP 2019'!E20</f>
        <v>0.35320000000000001</v>
      </c>
      <c r="F10" s="80">
        <f>+D10+E10</f>
        <v>1</v>
      </c>
      <c r="G10" s="120" t="s">
        <v>107</v>
      </c>
    </row>
    <row r="11" spans="1:7">
      <c r="A11" s="126" t="s">
        <v>127</v>
      </c>
      <c r="B11" s="127">
        <v>67776.45</v>
      </c>
      <c r="C11" s="34"/>
      <c r="D11" s="128">
        <f>+B11*D10</f>
        <v>43837.807860000001</v>
      </c>
      <c r="E11" s="129">
        <f>+B11*E10</f>
        <v>23938.64214</v>
      </c>
      <c r="F11" s="130">
        <f>+D11+E11</f>
        <v>67776.45</v>
      </c>
      <c r="G11" s="120" t="s">
        <v>108</v>
      </c>
    </row>
    <row r="12" spans="1:7">
      <c r="A12" s="121"/>
      <c r="B12" s="122"/>
      <c r="C12" s="122"/>
      <c r="D12" s="123"/>
      <c r="E12" s="124"/>
      <c r="F12" s="125"/>
    </row>
    <row r="13" spans="1:7">
      <c r="A13" s="31"/>
      <c r="B13" s="34"/>
      <c r="C13" s="34"/>
      <c r="D13" s="74"/>
      <c r="E13" s="75"/>
      <c r="F13" s="35"/>
    </row>
    <row r="14" spans="1:7">
      <c r="A14" s="57" t="s">
        <v>5</v>
      </c>
      <c r="B14" s="34"/>
      <c r="C14" s="34"/>
      <c r="D14" s="74"/>
      <c r="E14" s="75"/>
      <c r="F14" s="35"/>
    </row>
    <row r="15" spans="1:7">
      <c r="A15" s="68" t="s">
        <v>128</v>
      </c>
      <c r="B15" s="34">
        <v>1089.67</v>
      </c>
      <c r="C15" s="34"/>
      <c r="D15" s="69">
        <v>0</v>
      </c>
      <c r="E15" s="70">
        <f>+B15</f>
        <v>1089.67</v>
      </c>
      <c r="F15" s="35">
        <f>+D15+E15</f>
        <v>1089.67</v>
      </c>
    </row>
    <row r="16" spans="1:7">
      <c r="A16" s="68" t="s">
        <v>130</v>
      </c>
      <c r="B16" s="34">
        <v>24650</v>
      </c>
      <c r="C16" s="34"/>
      <c r="D16" s="71">
        <f>+B16</f>
        <v>24650</v>
      </c>
      <c r="E16" s="72">
        <v>0</v>
      </c>
      <c r="F16" s="35">
        <f>+D16+E16</f>
        <v>24650</v>
      </c>
    </row>
    <row r="17" spans="1:8">
      <c r="A17" s="82" t="s">
        <v>127</v>
      </c>
      <c r="B17" s="39">
        <f>SUM(B15:B16)</f>
        <v>25739.67</v>
      </c>
      <c r="C17" s="34"/>
      <c r="D17" s="40">
        <f>SUM(D15:D16)</f>
        <v>24650</v>
      </c>
      <c r="E17" s="41">
        <f>SUM(E15:E16)</f>
        <v>1089.67</v>
      </c>
      <c r="F17" s="41">
        <f>SUM(F15:F16)</f>
        <v>25739.67</v>
      </c>
    </row>
    <row r="18" spans="1:8">
      <c r="A18" s="42"/>
      <c r="B18" s="43"/>
      <c r="C18" s="44"/>
      <c r="D18" s="45"/>
      <c r="E18" s="43"/>
      <c r="F18" s="32"/>
    </row>
    <row r="19" spans="1:8">
      <c r="A19" s="113" t="s">
        <v>129</v>
      </c>
      <c r="B19" s="114">
        <f>B11+B17</f>
        <v>93516.12</v>
      </c>
      <c r="C19" s="114"/>
      <c r="D19" s="115">
        <f>D11+D17</f>
        <v>68487.807860000001</v>
      </c>
      <c r="E19" s="116">
        <f>E11+E17</f>
        <v>25028.312140000002</v>
      </c>
      <c r="F19" s="117">
        <f>+D19+E19</f>
        <v>93516.12</v>
      </c>
    </row>
    <row r="20" spans="1:8" ht="15" thickBot="1">
      <c r="A20" s="77" t="s">
        <v>39</v>
      </c>
      <c r="B20" s="78">
        <f>+E20+D20</f>
        <v>1</v>
      </c>
      <c r="C20" s="67"/>
      <c r="D20" s="118">
        <f>ROUND(D19/F19,4)</f>
        <v>0.73240000000000005</v>
      </c>
      <c r="E20" s="119">
        <f>ROUND(E19/F19,4)</f>
        <v>0.2676</v>
      </c>
      <c r="F20" s="81">
        <f>+D20+E20</f>
        <v>1</v>
      </c>
      <c r="G20" s="23" t="s">
        <v>109</v>
      </c>
      <c r="H20" s="120"/>
    </row>
    <row r="21" spans="1:8" ht="15" thickTop="1"/>
    <row r="22" spans="1:8">
      <c r="D22" s="5"/>
      <c r="E22" s="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40"/>
  <sheetViews>
    <sheetView workbookViewId="0">
      <selection activeCell="A24" sqref="A24"/>
    </sheetView>
  </sheetViews>
  <sheetFormatPr defaultRowHeight="14.6"/>
  <cols>
    <col min="1" max="1" width="39.15234375" customWidth="1"/>
    <col min="2" max="2" width="14.15234375" customWidth="1"/>
    <col min="3" max="3" width="1.53515625" customWidth="1"/>
    <col min="4" max="4" width="13.69140625" customWidth="1"/>
    <col min="5" max="5" width="14.69140625" customWidth="1"/>
    <col min="6" max="6" width="13.3828125" customWidth="1"/>
  </cols>
  <sheetData>
    <row r="1" spans="1:7" ht="18.45">
      <c r="A1" s="14" t="s">
        <v>6</v>
      </c>
    </row>
    <row r="2" spans="1:7">
      <c r="A2" s="15" t="s">
        <v>7</v>
      </c>
      <c r="B2" s="18"/>
      <c r="C2" s="18"/>
      <c r="D2" s="18"/>
      <c r="E2" s="18"/>
      <c r="F2" s="18"/>
    </row>
    <row r="3" spans="1:7">
      <c r="A3" s="15"/>
      <c r="B3" s="18"/>
      <c r="C3" s="18"/>
      <c r="D3" s="18"/>
      <c r="E3" s="18"/>
      <c r="F3" s="18"/>
    </row>
    <row r="4" spans="1:7" ht="18.45">
      <c r="A4" s="133" t="s">
        <v>8</v>
      </c>
      <c r="B4" s="18"/>
      <c r="C4" s="18"/>
      <c r="D4" s="18"/>
      <c r="E4" s="18"/>
      <c r="F4" s="18"/>
    </row>
    <row r="5" spans="1:7">
      <c r="A5" s="46"/>
      <c r="B5" s="18"/>
      <c r="C5" s="18"/>
      <c r="D5" s="18"/>
      <c r="E5" s="18"/>
      <c r="F5" s="18"/>
    </row>
    <row r="6" spans="1:7">
      <c r="A6" s="47"/>
      <c r="B6" s="48"/>
      <c r="C6" s="49"/>
      <c r="D6" s="50" t="s">
        <v>0</v>
      </c>
      <c r="E6" s="48" t="s">
        <v>1</v>
      </c>
      <c r="F6" s="29"/>
    </row>
    <row r="7" spans="1:7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7">
      <c r="A8" s="31"/>
      <c r="B8" s="31"/>
      <c r="C8" s="31"/>
      <c r="D8" s="55"/>
      <c r="E8" s="56"/>
      <c r="F8" s="32"/>
    </row>
    <row r="9" spans="1:7">
      <c r="A9" s="57" t="s">
        <v>135</v>
      </c>
      <c r="B9" s="33"/>
      <c r="C9" s="33"/>
      <c r="D9" s="55"/>
      <c r="E9" s="56"/>
      <c r="F9" s="32"/>
    </row>
    <row r="10" spans="1:7">
      <c r="A10" s="58" t="s">
        <v>4</v>
      </c>
      <c r="B10" s="34"/>
      <c r="C10" s="34"/>
      <c r="D10" s="131">
        <f>'ye 19-ABP 2020'!D20</f>
        <v>0.73240000000000005</v>
      </c>
      <c r="E10" s="132">
        <f>'ye 19-ABP 2020'!E20</f>
        <v>0.2676</v>
      </c>
      <c r="F10" s="80">
        <f>+D10+E10</f>
        <v>1</v>
      </c>
      <c r="G10" s="120" t="s">
        <v>107</v>
      </c>
    </row>
    <row r="11" spans="1:7">
      <c r="A11" s="126" t="s">
        <v>131</v>
      </c>
      <c r="B11" s="127">
        <v>87101.4</v>
      </c>
      <c r="C11" s="34"/>
      <c r="D11" s="128">
        <f>+B11*D10</f>
        <v>63793.065360000001</v>
      </c>
      <c r="E11" s="129">
        <f>+B11*E10</f>
        <v>23308.334639999997</v>
      </c>
      <c r="F11" s="130">
        <f>+D11+E11</f>
        <v>87101.4</v>
      </c>
      <c r="G11" s="120" t="s">
        <v>108</v>
      </c>
    </row>
    <row r="12" spans="1:7">
      <c r="A12" s="121"/>
      <c r="B12" s="122"/>
      <c r="C12" s="122"/>
      <c r="D12" s="123"/>
      <c r="E12" s="124"/>
      <c r="F12" s="125"/>
    </row>
    <row r="13" spans="1:7">
      <c r="A13" s="31"/>
      <c r="B13" s="34"/>
      <c r="C13" s="34"/>
      <c r="D13" s="74"/>
      <c r="E13" s="75"/>
      <c r="F13" s="35"/>
    </row>
    <row r="14" spans="1:7">
      <c r="A14" s="57" t="s">
        <v>5</v>
      </c>
      <c r="B14" s="34"/>
      <c r="C14" s="34"/>
      <c r="D14" s="74"/>
      <c r="E14" s="75"/>
      <c r="F14" s="35"/>
    </row>
    <row r="15" spans="1:7">
      <c r="A15" s="68" t="s">
        <v>132</v>
      </c>
      <c r="B15" s="34">
        <v>21434.07</v>
      </c>
      <c r="C15" s="34"/>
      <c r="D15" s="69">
        <v>0</v>
      </c>
      <c r="E15" s="70">
        <f>+B15</f>
        <v>21434.07</v>
      </c>
      <c r="F15" s="35">
        <f>+D15+E15</f>
        <v>21434.07</v>
      </c>
      <c r="G15" t="s">
        <v>160</v>
      </c>
    </row>
    <row r="16" spans="1:7">
      <c r="A16" s="68" t="s">
        <v>133</v>
      </c>
      <c r="B16" s="34">
        <v>28855</v>
      </c>
      <c r="C16" s="34"/>
      <c r="D16" s="71">
        <f>+B16</f>
        <v>28855</v>
      </c>
      <c r="E16" s="72">
        <v>0</v>
      </c>
      <c r="F16" s="35">
        <f>+D16+E16</f>
        <v>28855</v>
      </c>
      <c r="G16" t="s">
        <v>160</v>
      </c>
    </row>
    <row r="17" spans="1:8">
      <c r="A17" s="82" t="s">
        <v>131</v>
      </c>
      <c r="B17" s="39">
        <f>SUM(B15:B16)</f>
        <v>50289.07</v>
      </c>
      <c r="C17" s="34"/>
      <c r="D17" s="40">
        <f>SUM(D15:D16)</f>
        <v>28855</v>
      </c>
      <c r="E17" s="41">
        <f>SUM(E15:E16)</f>
        <v>21434.07</v>
      </c>
      <c r="F17" s="41">
        <f>SUM(F15:F16)</f>
        <v>50289.07</v>
      </c>
    </row>
    <row r="18" spans="1:8">
      <c r="A18" s="42"/>
      <c r="B18" s="43"/>
      <c r="C18" s="44"/>
      <c r="D18" s="45"/>
      <c r="E18" s="43"/>
      <c r="F18" s="32"/>
    </row>
    <row r="19" spans="1:8">
      <c r="A19" s="113" t="s">
        <v>134</v>
      </c>
      <c r="B19" s="114">
        <f>B11+B17</f>
        <v>137390.47</v>
      </c>
      <c r="C19" s="114"/>
      <c r="D19" s="115">
        <f>D11+D17</f>
        <v>92648.065360000008</v>
      </c>
      <c r="E19" s="116">
        <f>E11+E17</f>
        <v>44742.404639999993</v>
      </c>
      <c r="F19" s="117">
        <f>+D19+E19</f>
        <v>137390.47</v>
      </c>
    </row>
    <row r="20" spans="1:8" ht="15" thickBot="1">
      <c r="A20" s="77" t="s">
        <v>39</v>
      </c>
      <c r="B20" s="78">
        <f>+E20+D20</f>
        <v>1</v>
      </c>
      <c r="C20" s="67"/>
      <c r="D20" s="118">
        <f>ROUND(D19/F19,4)</f>
        <v>0.67430000000000001</v>
      </c>
      <c r="E20" s="119">
        <f>ROUND(E19/F19,4)</f>
        <v>0.32569999999999999</v>
      </c>
      <c r="F20" s="81">
        <f>+D20+E20</f>
        <v>1</v>
      </c>
      <c r="G20" s="23" t="s">
        <v>109</v>
      </c>
      <c r="H20" s="120"/>
    </row>
    <row r="21" spans="1:8" ht="15" thickTop="1"/>
    <row r="22" spans="1:8">
      <c r="D22" s="5"/>
      <c r="E22" s="5"/>
    </row>
    <row r="23" spans="1:8" ht="18.45">
      <c r="A23" s="133" t="s">
        <v>8</v>
      </c>
      <c r="B23" s="18"/>
      <c r="C23" s="18"/>
      <c r="D23" s="18"/>
      <c r="E23" s="18"/>
      <c r="F23" s="18"/>
    </row>
    <row r="24" spans="1:8" ht="26.15">
      <c r="A24" s="134" t="s">
        <v>137</v>
      </c>
      <c r="B24" s="18"/>
      <c r="C24" s="18"/>
      <c r="D24" s="18"/>
      <c r="E24" s="18"/>
      <c r="F24" s="18"/>
    </row>
    <row r="25" spans="1:8">
      <c r="A25" s="47"/>
      <c r="B25" s="48"/>
      <c r="C25" s="49"/>
      <c r="D25" s="50" t="s">
        <v>0</v>
      </c>
      <c r="E25" s="48" t="s">
        <v>1</v>
      </c>
      <c r="F25" s="29"/>
    </row>
    <row r="26" spans="1:8">
      <c r="A26" s="30"/>
      <c r="B26" s="51" t="s">
        <v>85</v>
      </c>
      <c r="C26" s="49"/>
      <c r="D26" s="52" t="s">
        <v>2</v>
      </c>
      <c r="E26" s="53" t="s">
        <v>2</v>
      </c>
      <c r="F26" s="54" t="s">
        <v>3</v>
      </c>
    </row>
    <row r="27" spans="1:8">
      <c r="A27" s="31"/>
      <c r="B27" s="31"/>
      <c r="C27" s="31"/>
      <c r="D27" s="55"/>
      <c r="E27" s="56"/>
      <c r="F27" s="32"/>
    </row>
    <row r="28" spans="1:8">
      <c r="A28" s="57" t="s">
        <v>136</v>
      </c>
      <c r="B28" s="33"/>
      <c r="C28" s="33"/>
      <c r="D28" s="55"/>
      <c r="E28" s="56"/>
      <c r="F28" s="32"/>
    </row>
    <row r="29" spans="1:8">
      <c r="A29" s="58" t="s">
        <v>4</v>
      </c>
      <c r="B29" s="34"/>
      <c r="C29" s="34"/>
      <c r="D29" s="131">
        <f>'ye 19-ABP 2020'!D20</f>
        <v>0.73240000000000005</v>
      </c>
      <c r="E29" s="132">
        <f>'ye 19-ABP 2020'!E20</f>
        <v>0.2676</v>
      </c>
      <c r="F29" s="80">
        <f>+D29+E29</f>
        <v>1</v>
      </c>
    </row>
    <row r="30" spans="1:8">
      <c r="A30" s="126" t="s">
        <v>131</v>
      </c>
      <c r="B30" s="127">
        <v>87101.4</v>
      </c>
      <c r="C30" s="34"/>
      <c r="D30" s="128">
        <f>+B30*D29</f>
        <v>63793.065360000001</v>
      </c>
      <c r="E30" s="129">
        <f>+B30*E29</f>
        <v>23308.334639999997</v>
      </c>
      <c r="F30" s="130">
        <f>+D30+E30</f>
        <v>87101.4</v>
      </c>
    </row>
    <row r="31" spans="1:8">
      <c r="A31" s="121"/>
      <c r="B31" s="122"/>
      <c r="C31" s="122"/>
      <c r="D31" s="123"/>
      <c r="E31" s="124"/>
      <c r="F31" s="125"/>
    </row>
    <row r="32" spans="1:8">
      <c r="A32" s="31"/>
      <c r="B32" s="34"/>
      <c r="C32" s="34"/>
      <c r="D32" s="74"/>
      <c r="E32" s="75"/>
      <c r="F32" s="35"/>
    </row>
    <row r="33" spans="1:6">
      <c r="A33" s="57" t="s">
        <v>5</v>
      </c>
      <c r="B33" s="34"/>
      <c r="C33" s="34"/>
      <c r="D33" s="74"/>
      <c r="E33" s="75"/>
      <c r="F33" s="35"/>
    </row>
    <row r="34" spans="1:6">
      <c r="A34" s="68" t="s">
        <v>132</v>
      </c>
      <c r="B34" s="34">
        <f>112.38-3.31+19000+6000-3750</f>
        <v>21359.07</v>
      </c>
      <c r="C34" s="34"/>
      <c r="D34" s="69">
        <v>0</v>
      </c>
      <c r="E34" s="70">
        <f>+B34</f>
        <v>21359.07</v>
      </c>
      <c r="F34" s="35">
        <f>+D34+E34</f>
        <v>21359.07</v>
      </c>
    </row>
    <row r="35" spans="1:6">
      <c r="A35" s="68" t="s">
        <v>133</v>
      </c>
      <c r="B35" s="34">
        <v>28930</v>
      </c>
      <c r="C35" s="34"/>
      <c r="D35" s="71">
        <f>+B35</f>
        <v>28930</v>
      </c>
      <c r="E35" s="72">
        <v>0</v>
      </c>
      <c r="F35" s="35">
        <f>+D35+E35</f>
        <v>28930</v>
      </c>
    </row>
    <row r="36" spans="1:6">
      <c r="A36" s="82" t="s">
        <v>131</v>
      </c>
      <c r="B36" s="39">
        <f>SUM(B34:B35)</f>
        <v>50289.07</v>
      </c>
      <c r="C36" s="34"/>
      <c r="D36" s="40">
        <f>SUM(D34:D35)</f>
        <v>28930</v>
      </c>
      <c r="E36" s="41">
        <f>SUM(E34:E35)</f>
        <v>21359.07</v>
      </c>
      <c r="F36" s="41">
        <f>SUM(F34:F35)</f>
        <v>50289.07</v>
      </c>
    </row>
    <row r="37" spans="1:6">
      <c r="A37" s="42"/>
      <c r="B37" s="43"/>
      <c r="C37" s="44"/>
      <c r="D37" s="45"/>
      <c r="E37" s="43"/>
      <c r="F37" s="32"/>
    </row>
    <row r="38" spans="1:6">
      <c r="A38" s="113" t="s">
        <v>134</v>
      </c>
      <c r="B38" s="114">
        <f>B30+B36</f>
        <v>137390.47</v>
      </c>
      <c r="C38" s="114"/>
      <c r="D38" s="115">
        <f>D30+D36</f>
        <v>92723.065360000008</v>
      </c>
      <c r="E38" s="116">
        <f>E30+E36</f>
        <v>44667.404639999993</v>
      </c>
      <c r="F38" s="117">
        <f>+D38+E38</f>
        <v>137390.47</v>
      </c>
    </row>
    <row r="39" spans="1:6" ht="15" thickBot="1">
      <c r="A39" s="77" t="s">
        <v>39</v>
      </c>
      <c r="B39" s="78">
        <f>+E39+D39</f>
        <v>1</v>
      </c>
      <c r="C39" s="67"/>
      <c r="D39" s="118">
        <f>ROUND(D38/F38,4)</f>
        <v>0.67490000000000006</v>
      </c>
      <c r="E39" s="119">
        <f>ROUND(E38/F38,4)</f>
        <v>0.3251</v>
      </c>
      <c r="F39" s="81">
        <f>+D39+E39</f>
        <v>1</v>
      </c>
    </row>
    <row r="40" spans="1:6" ht="15" thickTop="1"/>
  </sheetData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122"/>
  <sheetViews>
    <sheetView tabSelected="1" topLeftCell="A63" workbookViewId="0">
      <selection activeCell="C78" sqref="C78"/>
    </sheetView>
  </sheetViews>
  <sheetFormatPr defaultRowHeight="15.9"/>
  <cols>
    <col min="1" max="1" width="40" style="136" customWidth="1"/>
    <col min="2" max="2" width="9.69140625" style="136" customWidth="1"/>
    <col min="3" max="3" width="12.69140625" style="136" customWidth="1"/>
    <col min="4" max="4" width="8.69140625" style="136" customWidth="1"/>
    <col min="5" max="5" width="15" style="136" customWidth="1"/>
    <col min="6" max="6" width="9.23046875" style="136"/>
    <col min="7" max="7" width="13.69140625" style="136" customWidth="1"/>
    <col min="8" max="8" width="13.15234375" style="136" customWidth="1"/>
    <col min="9" max="16384" width="9.23046875" style="136"/>
  </cols>
  <sheetData>
    <row r="1" spans="1:8" ht="16.3" thickBot="1">
      <c r="A1" s="135" t="s">
        <v>174</v>
      </c>
    </row>
    <row r="2" spans="1:8" ht="16.3" thickTop="1">
      <c r="A2" s="137"/>
      <c r="B2" s="138"/>
      <c r="C2" s="251" t="s">
        <v>138</v>
      </c>
      <c r="D2" s="251"/>
      <c r="E2" s="251"/>
      <c r="F2" s="252"/>
      <c r="G2" s="139"/>
      <c r="H2" s="140"/>
    </row>
    <row r="3" spans="1:8" ht="16.3" thickBot="1">
      <c r="A3" s="141"/>
      <c r="B3" s="142" t="s">
        <v>139</v>
      </c>
      <c r="C3" s="143" t="s">
        <v>140</v>
      </c>
      <c r="D3" s="144" t="s">
        <v>141</v>
      </c>
      <c r="E3" s="145" t="s">
        <v>142</v>
      </c>
      <c r="F3" s="146" t="s">
        <v>141</v>
      </c>
      <c r="G3" s="147" t="s">
        <v>3</v>
      </c>
      <c r="H3" s="148" t="s">
        <v>143</v>
      </c>
    </row>
    <row r="4" spans="1:8" ht="16.3" thickTop="1">
      <c r="A4" s="149" t="s">
        <v>167</v>
      </c>
      <c r="B4" s="150">
        <v>44013</v>
      </c>
      <c r="C4" s="148">
        <v>63793.07</v>
      </c>
      <c r="D4" s="151">
        <f>C4/G4</f>
        <v>0.7324000532712448</v>
      </c>
      <c r="E4" s="152">
        <v>23308.33</v>
      </c>
      <c r="F4" s="153">
        <f>E4/G4</f>
        <v>0.26759994672875526</v>
      </c>
      <c r="G4" s="154">
        <f>+C4+E4</f>
        <v>87101.4</v>
      </c>
      <c r="H4" s="148"/>
    </row>
    <row r="5" spans="1:8">
      <c r="A5" s="149" t="s">
        <v>144</v>
      </c>
      <c r="B5" s="150">
        <v>44013</v>
      </c>
      <c r="C5" s="155">
        <f>-C92</f>
        <v>28930</v>
      </c>
      <c r="D5" s="156"/>
      <c r="E5" s="157">
        <f>-E92</f>
        <v>21359.07</v>
      </c>
      <c r="F5" s="158"/>
      <c r="G5" s="154">
        <f>-G92</f>
        <v>50289.07</v>
      </c>
      <c r="H5" s="148"/>
    </row>
    <row r="6" spans="1:8">
      <c r="A6" s="159" t="s">
        <v>186</v>
      </c>
      <c r="B6" s="160">
        <v>44013</v>
      </c>
      <c r="C6" s="161">
        <f>SUM(C4:C5)</f>
        <v>92723.07</v>
      </c>
      <c r="D6" s="162">
        <f>ROUND(C6/G6,4)</f>
        <v>0.67490000000000006</v>
      </c>
      <c r="E6" s="163">
        <f>SUM(E4:E5)</f>
        <v>44667.4</v>
      </c>
      <c r="F6" s="164">
        <f>ROUND(E6/G6,4)</f>
        <v>0.3251</v>
      </c>
      <c r="G6" s="165">
        <f>SUM(G4:G5)</f>
        <v>137390.47</v>
      </c>
    </row>
    <row r="7" spans="1:8">
      <c r="A7" s="166" t="s">
        <v>145</v>
      </c>
      <c r="B7" s="150"/>
      <c r="C7" s="167">
        <f>+G7*D6</f>
        <v>-45872.953000000001</v>
      </c>
      <c r="D7" s="168">
        <f>C7/G7</f>
        <v>0.67490000000000006</v>
      </c>
      <c r="E7" s="169">
        <f>+G7-C7</f>
        <v>-22097.046999999999</v>
      </c>
      <c r="F7" s="170">
        <f>+E7/G7</f>
        <v>0.3251</v>
      </c>
      <c r="G7" s="171">
        <v>-67970</v>
      </c>
    </row>
    <row r="8" spans="1:8">
      <c r="A8" s="149" t="s">
        <v>146</v>
      </c>
      <c r="B8" s="172"/>
      <c r="C8" s="173">
        <v>0</v>
      </c>
      <c r="D8" s="174">
        <f>C8/G8</f>
        <v>0</v>
      </c>
      <c r="E8" s="175">
        <f>G8-C8</f>
        <v>6287.87</v>
      </c>
      <c r="F8" s="176">
        <f>E8/G8</f>
        <v>1</v>
      </c>
      <c r="G8" s="177">
        <v>6287.87</v>
      </c>
    </row>
    <row r="9" spans="1:8">
      <c r="A9" s="178" t="s">
        <v>147</v>
      </c>
      <c r="B9" s="179">
        <v>44377</v>
      </c>
      <c r="C9" s="180">
        <f>SUM(C6:C8)</f>
        <v>46850.117000000006</v>
      </c>
      <c r="D9" s="181">
        <f>ROUND(C9/G9,4)</f>
        <v>0.61880000000000002</v>
      </c>
      <c r="E9" s="182">
        <f>SUM(E6:E8)</f>
        <v>28858.223000000002</v>
      </c>
      <c r="F9" s="183">
        <f>ROUND(E9/G9,4)</f>
        <v>0.38119999999999998</v>
      </c>
      <c r="G9" s="184">
        <f>SUM(G6:G8)</f>
        <v>75708.34</v>
      </c>
      <c r="H9" s="185">
        <f>+C9+E9</f>
        <v>75708.340000000011</v>
      </c>
    </row>
    <row r="10" spans="1:8">
      <c r="A10" s="186"/>
      <c r="B10" s="187"/>
      <c r="C10" s="188"/>
      <c r="D10" s="168"/>
      <c r="E10" s="189"/>
      <c r="F10" s="170"/>
      <c r="G10" s="190"/>
      <c r="H10" s="140"/>
    </row>
    <row r="11" spans="1:8">
      <c r="A11" s="149" t="s">
        <v>148</v>
      </c>
      <c r="B11" s="150">
        <v>44378</v>
      </c>
      <c r="C11" s="140">
        <f>+C9</f>
        <v>46850.117000000006</v>
      </c>
      <c r="D11" s="168">
        <f>+D9</f>
        <v>0.61880000000000002</v>
      </c>
      <c r="E11" s="191">
        <f>+E9</f>
        <v>28858.223000000002</v>
      </c>
      <c r="F11" s="170">
        <f>+F9</f>
        <v>0.38119999999999998</v>
      </c>
      <c r="G11" s="190">
        <f>+G9</f>
        <v>75708.34</v>
      </c>
      <c r="H11" s="140"/>
    </row>
    <row r="12" spans="1:8">
      <c r="A12" s="149" t="s">
        <v>170</v>
      </c>
      <c r="B12" s="150">
        <v>44378</v>
      </c>
      <c r="C12" s="167">
        <f>-C11</f>
        <v>-46850.117000000006</v>
      </c>
      <c r="D12" s="168"/>
      <c r="E12" s="169">
        <f>-E11</f>
        <v>-28858.223000000002</v>
      </c>
      <c r="F12" s="170"/>
      <c r="G12" s="171">
        <f>-G11</f>
        <v>-75708.34</v>
      </c>
      <c r="H12" s="140"/>
    </row>
    <row r="13" spans="1:8">
      <c r="A13" s="192" t="s">
        <v>147</v>
      </c>
      <c r="B13" s="193">
        <v>44742</v>
      </c>
      <c r="C13" s="194">
        <f>SUM(C11:C12)</f>
        <v>0</v>
      </c>
      <c r="D13" s="195"/>
      <c r="E13" s="196">
        <f>SUM(E11:E12)</f>
        <v>0</v>
      </c>
      <c r="F13" s="197"/>
      <c r="G13" s="198">
        <f>SUM(G11:G12)</f>
        <v>0</v>
      </c>
      <c r="H13" s="140"/>
    </row>
    <row r="14" spans="1:8">
      <c r="A14" s="199"/>
      <c r="B14" s="200"/>
      <c r="C14" s="201"/>
      <c r="D14" s="202"/>
      <c r="E14" s="201"/>
      <c r="F14" s="202"/>
      <c r="G14" s="201"/>
      <c r="H14" s="140"/>
    </row>
    <row r="16" spans="1:8" ht="16.3" thickBot="1">
      <c r="A16" s="135" t="s">
        <v>173</v>
      </c>
    </row>
    <row r="17" spans="1:8" ht="16.3" thickTop="1">
      <c r="A17" s="137"/>
      <c r="B17" s="138"/>
      <c r="C17" s="251" t="s">
        <v>138</v>
      </c>
      <c r="D17" s="251"/>
      <c r="E17" s="251"/>
      <c r="F17" s="252"/>
      <c r="G17" s="139"/>
    </row>
    <row r="18" spans="1:8" ht="16.3" thickBot="1">
      <c r="A18" s="141"/>
      <c r="B18" s="142" t="s">
        <v>139</v>
      </c>
      <c r="C18" s="143" t="s">
        <v>140</v>
      </c>
      <c r="D18" s="144" t="s">
        <v>141</v>
      </c>
      <c r="E18" s="145" t="s">
        <v>142</v>
      </c>
      <c r="F18" s="146" t="s">
        <v>141</v>
      </c>
      <c r="G18" s="147" t="s">
        <v>3</v>
      </c>
      <c r="H18" s="148" t="s">
        <v>143</v>
      </c>
    </row>
    <row r="19" spans="1:8" ht="16.3" thickTop="1">
      <c r="A19" s="149" t="s">
        <v>148</v>
      </c>
      <c r="B19" s="150">
        <v>44013</v>
      </c>
      <c r="C19" s="148">
        <v>0</v>
      </c>
      <c r="D19" s="151"/>
      <c r="E19" s="152">
        <v>0</v>
      </c>
      <c r="F19" s="153"/>
      <c r="G19" s="154">
        <v>0</v>
      </c>
    </row>
    <row r="20" spans="1:8">
      <c r="A20" s="149" t="s">
        <v>144</v>
      </c>
      <c r="B20" s="150">
        <v>44116</v>
      </c>
      <c r="C20" s="155">
        <f>-C94</f>
        <v>46152.5</v>
      </c>
      <c r="D20" s="156"/>
      <c r="E20" s="157">
        <f>-E94</f>
        <v>1923.75</v>
      </c>
      <c r="F20" s="158"/>
      <c r="G20" s="154">
        <f>-G94</f>
        <v>48076.25</v>
      </c>
    </row>
    <row r="21" spans="1:8">
      <c r="A21" s="159" t="s">
        <v>187</v>
      </c>
      <c r="B21" s="160">
        <v>44116</v>
      </c>
      <c r="C21" s="161">
        <f>SUM(C19:C20)</f>
        <v>46152.5</v>
      </c>
      <c r="D21" s="162">
        <f>ROUND(C21/G21,4)</f>
        <v>0.96</v>
      </c>
      <c r="E21" s="163">
        <f>SUM(E19:E20)</f>
        <v>1923.75</v>
      </c>
      <c r="F21" s="164">
        <f>ROUND(E21/G21,4)</f>
        <v>0.04</v>
      </c>
      <c r="G21" s="165">
        <f>SUM(G19:G20)</f>
        <v>48076.25</v>
      </c>
    </row>
    <row r="22" spans="1:8">
      <c r="A22" s="166" t="s">
        <v>145</v>
      </c>
      <c r="B22" s="150"/>
      <c r="C22" s="167">
        <f>+G22*D21</f>
        <v>-28800</v>
      </c>
      <c r="D22" s="168">
        <f>C22/G22</f>
        <v>0.96</v>
      </c>
      <c r="E22" s="169">
        <f>+G22-C22</f>
        <v>-1200</v>
      </c>
      <c r="F22" s="170">
        <f>+E22/G22</f>
        <v>0.04</v>
      </c>
      <c r="G22" s="171">
        <v>-30000</v>
      </c>
    </row>
    <row r="23" spans="1:8">
      <c r="A23" s="149" t="s">
        <v>146</v>
      </c>
      <c r="B23" s="172"/>
      <c r="C23" s="173">
        <v>0</v>
      </c>
      <c r="D23" s="174">
        <f>C23/G23</f>
        <v>0</v>
      </c>
      <c r="E23" s="175">
        <f>G23-C23</f>
        <v>1799.29</v>
      </c>
      <c r="F23" s="176">
        <f>E23/G23</f>
        <v>1</v>
      </c>
      <c r="G23" s="177">
        <v>1799.29</v>
      </c>
    </row>
    <row r="24" spans="1:8">
      <c r="A24" s="178" t="s">
        <v>147</v>
      </c>
      <c r="B24" s="179">
        <v>44377</v>
      </c>
      <c r="C24" s="180">
        <f>SUM(C21:C23)</f>
        <v>17352.5</v>
      </c>
      <c r="D24" s="181">
        <f>ROUND(C24/G24,4)</f>
        <v>0.87309999999999999</v>
      </c>
      <c r="E24" s="182">
        <f>SUM(E21:E23)</f>
        <v>2523.04</v>
      </c>
      <c r="F24" s="183">
        <f>ROUND(E24/G24,4)</f>
        <v>0.12690000000000001</v>
      </c>
      <c r="G24" s="184">
        <f>SUM(G21:G23)</f>
        <v>19875.54</v>
      </c>
      <c r="H24" s="185">
        <f>+C24+E24</f>
        <v>19875.54</v>
      </c>
    </row>
    <row r="25" spans="1:8">
      <c r="A25" s="186"/>
      <c r="B25" s="187"/>
      <c r="C25" s="188"/>
      <c r="D25" s="168"/>
      <c r="E25" s="189"/>
      <c r="F25" s="170"/>
      <c r="G25" s="190"/>
    </row>
    <row r="26" spans="1:8">
      <c r="A26" s="149" t="s">
        <v>148</v>
      </c>
      <c r="B26" s="150">
        <v>44378</v>
      </c>
      <c r="C26" s="140">
        <f>+C24</f>
        <v>17352.5</v>
      </c>
      <c r="D26" s="168">
        <f>+D24</f>
        <v>0.87309999999999999</v>
      </c>
      <c r="E26" s="191">
        <f>+E24</f>
        <v>2523.04</v>
      </c>
      <c r="F26" s="170">
        <f>+F24</f>
        <v>0.12690000000000001</v>
      </c>
      <c r="G26" s="190">
        <f>+G24</f>
        <v>19875.54</v>
      </c>
    </row>
    <row r="27" spans="1:8">
      <c r="A27" s="149" t="s">
        <v>170</v>
      </c>
      <c r="B27" s="150">
        <v>44378</v>
      </c>
      <c r="C27" s="167">
        <v>-17352.5</v>
      </c>
      <c r="D27" s="168"/>
      <c r="E27" s="169">
        <v>-2523.04</v>
      </c>
      <c r="F27" s="170"/>
      <c r="G27" s="171">
        <v>-19875.54</v>
      </c>
    </row>
    <row r="28" spans="1:8">
      <c r="A28" s="192" t="s">
        <v>147</v>
      </c>
      <c r="B28" s="193">
        <v>44742</v>
      </c>
      <c r="C28" s="194">
        <f>SUM(C26:C27)</f>
        <v>0</v>
      </c>
      <c r="D28" s="195"/>
      <c r="E28" s="196">
        <f>SUM(E26:E27)</f>
        <v>0</v>
      </c>
      <c r="F28" s="197"/>
      <c r="G28" s="198">
        <f>SUM(G26:G27)</f>
        <v>0</v>
      </c>
    </row>
    <row r="30" spans="1:8">
      <c r="A30" s="199"/>
      <c r="B30" s="200"/>
      <c r="C30" s="201"/>
      <c r="D30" s="202"/>
      <c r="E30" s="201"/>
      <c r="F30" s="202"/>
      <c r="G30" s="201"/>
      <c r="H30" s="140"/>
    </row>
    <row r="31" spans="1:8" ht="16.3" thickBot="1">
      <c r="A31" s="135" t="s">
        <v>178</v>
      </c>
      <c r="B31" s="203"/>
      <c r="C31" s="204"/>
      <c r="D31" s="205"/>
      <c r="E31" s="204"/>
      <c r="F31" s="205"/>
      <c r="G31" s="204"/>
      <c r="H31" s="140"/>
    </row>
    <row r="32" spans="1:8" ht="16.3" thickTop="1">
      <c r="A32" s="137"/>
      <c r="B32" s="138"/>
      <c r="C32" s="251" t="s">
        <v>138</v>
      </c>
      <c r="D32" s="251"/>
      <c r="E32" s="251"/>
      <c r="F32" s="252"/>
      <c r="G32" s="206"/>
      <c r="H32" s="140"/>
    </row>
    <row r="33" spans="1:8" ht="16.3" thickBot="1">
      <c r="A33" s="141"/>
      <c r="B33" s="142" t="s">
        <v>139</v>
      </c>
      <c r="C33" s="143" t="s">
        <v>140</v>
      </c>
      <c r="D33" s="144" t="s">
        <v>141</v>
      </c>
      <c r="E33" s="145" t="s">
        <v>142</v>
      </c>
      <c r="F33" s="146" t="s">
        <v>141</v>
      </c>
      <c r="G33" s="207" t="s">
        <v>3</v>
      </c>
      <c r="H33" s="148" t="s">
        <v>143</v>
      </c>
    </row>
    <row r="34" spans="1:8" ht="16.3" thickTop="1">
      <c r="A34" s="149" t="s">
        <v>144</v>
      </c>
      <c r="B34" s="150">
        <v>44378</v>
      </c>
      <c r="C34" s="140">
        <f>-C101</f>
        <v>26554</v>
      </c>
      <c r="D34" s="168"/>
      <c r="E34" s="191">
        <f>-E101</f>
        <v>1031.0900000000001</v>
      </c>
      <c r="F34" s="170"/>
      <c r="G34" s="208">
        <f>-G101</f>
        <v>27585.09</v>
      </c>
      <c r="H34" s="140"/>
    </row>
    <row r="35" spans="1:8">
      <c r="A35" s="149" t="s">
        <v>171</v>
      </c>
      <c r="B35" s="150">
        <v>44378</v>
      </c>
      <c r="C35" s="140">
        <f>-C12</f>
        <v>46850.117000000006</v>
      </c>
      <c r="D35" s="168"/>
      <c r="E35" s="191">
        <f>-E12</f>
        <v>28858.223000000002</v>
      </c>
      <c r="F35" s="170"/>
      <c r="G35" s="208">
        <f>-G12</f>
        <v>75708.34</v>
      </c>
      <c r="H35" s="140"/>
    </row>
    <row r="36" spans="1:8">
      <c r="A36" s="149" t="s">
        <v>172</v>
      </c>
      <c r="B36" s="150">
        <v>44378</v>
      </c>
      <c r="C36" s="140">
        <f>-C27</f>
        <v>17352.5</v>
      </c>
      <c r="D36" s="168"/>
      <c r="E36" s="191">
        <f>-E27</f>
        <v>2523.04</v>
      </c>
      <c r="F36" s="170"/>
      <c r="G36" s="208">
        <f>-G27</f>
        <v>19875.54</v>
      </c>
      <c r="H36" s="140"/>
    </row>
    <row r="37" spans="1:8">
      <c r="A37" s="159" t="s">
        <v>188</v>
      </c>
      <c r="B37" s="160">
        <v>44378</v>
      </c>
      <c r="C37" s="161">
        <f>SUM(C34:C36)</f>
        <v>90756.616999999998</v>
      </c>
      <c r="D37" s="162">
        <f>+C37/G37</f>
        <v>0.73684643948877704</v>
      </c>
      <c r="E37" s="163">
        <f>SUM(E34:E36)</f>
        <v>32412.353000000003</v>
      </c>
      <c r="F37" s="164">
        <f>+E37/G37</f>
        <v>0.26315356051122296</v>
      </c>
      <c r="G37" s="209">
        <f>SUM(G34:G36)</f>
        <v>123168.97</v>
      </c>
      <c r="H37" s="140"/>
    </row>
    <row r="38" spans="1:8">
      <c r="A38" s="166" t="s">
        <v>149</v>
      </c>
      <c r="B38" s="150"/>
      <c r="C38" s="167">
        <f>G38*D37</f>
        <v>-29061.223573437368</v>
      </c>
      <c r="D38" s="168">
        <f>+C38/G38</f>
        <v>0.73684643948877704</v>
      </c>
      <c r="E38" s="169">
        <f>+G38-C38</f>
        <v>-10378.776426562632</v>
      </c>
      <c r="F38" s="170">
        <f>+E38/G38</f>
        <v>0.26315356051122291</v>
      </c>
      <c r="G38" s="210">
        <v>-39440</v>
      </c>
      <c r="H38" s="140"/>
    </row>
    <row r="39" spans="1:8">
      <c r="A39" s="149" t="s">
        <v>150</v>
      </c>
      <c r="B39" s="150"/>
      <c r="C39" s="140">
        <v>0</v>
      </c>
      <c r="D39" s="168">
        <f>C39/G39</f>
        <v>0</v>
      </c>
      <c r="E39" s="191">
        <f>G39-C39</f>
        <v>-2475.35</v>
      </c>
      <c r="F39" s="170">
        <f>E39/G39</f>
        <v>1</v>
      </c>
      <c r="G39" s="208">
        <v>-2475.35</v>
      </c>
      <c r="H39" s="140"/>
    </row>
    <row r="40" spans="1:8">
      <c r="A40" s="178" t="s">
        <v>147</v>
      </c>
      <c r="B40" s="179">
        <v>44742</v>
      </c>
      <c r="C40" s="180">
        <f>SUM(C37:C39)</f>
        <v>61695.39342656263</v>
      </c>
      <c r="D40" s="181">
        <f>ROUND(C40/G40,4)</f>
        <v>0.75929999999999997</v>
      </c>
      <c r="E40" s="182">
        <f>SUM(E37:E39)</f>
        <v>19558.226573437372</v>
      </c>
      <c r="F40" s="183">
        <f>ROUND(E40/G40,4)</f>
        <v>0.2407</v>
      </c>
      <c r="G40" s="211">
        <f>SUM(G37:G39)</f>
        <v>81253.62</v>
      </c>
      <c r="H40" s="185">
        <f>+C40+E40</f>
        <v>81253.62</v>
      </c>
    </row>
    <row r="41" spans="1:8" s="217" customFormat="1">
      <c r="A41" s="212"/>
      <c r="B41" s="213"/>
      <c r="C41" s="214"/>
      <c r="D41" s="215"/>
      <c r="E41" s="214"/>
      <c r="F41" s="215"/>
      <c r="G41" s="214"/>
      <c r="H41" s="216"/>
    </row>
    <row r="42" spans="1:8">
      <c r="A42" s="149" t="s">
        <v>148</v>
      </c>
      <c r="B42" s="150">
        <v>44743</v>
      </c>
      <c r="C42" s="140">
        <f>+C40</f>
        <v>61695.39342656263</v>
      </c>
      <c r="D42" s="168">
        <f>+D40</f>
        <v>0.75929999999999997</v>
      </c>
      <c r="E42" s="191">
        <f>+E40</f>
        <v>19558.226573437372</v>
      </c>
      <c r="F42" s="170">
        <f>+F40</f>
        <v>0.2407</v>
      </c>
      <c r="G42" s="190">
        <f>+G40</f>
        <v>81253.62</v>
      </c>
    </row>
    <row r="43" spans="1:8">
      <c r="A43" s="149" t="s">
        <v>170</v>
      </c>
      <c r="B43" s="150">
        <v>44743</v>
      </c>
      <c r="C43" s="167">
        <v>-61695.39</v>
      </c>
      <c r="D43" s="168"/>
      <c r="E43" s="169">
        <v>-19558.23</v>
      </c>
      <c r="F43" s="170"/>
      <c r="G43" s="171">
        <v>-81253.62</v>
      </c>
    </row>
    <row r="44" spans="1:8">
      <c r="A44" s="192" t="s">
        <v>147</v>
      </c>
      <c r="B44" s="193">
        <v>44742</v>
      </c>
      <c r="C44" s="194">
        <f>SUM(C42:C43)</f>
        <v>3.4265626309206709E-3</v>
      </c>
      <c r="D44" s="195"/>
      <c r="E44" s="196">
        <f>SUM(E42:E43)</f>
        <v>-3.4265626272826921E-3</v>
      </c>
      <c r="F44" s="197"/>
      <c r="G44" s="198">
        <f>SUM(G42:G43)</f>
        <v>0</v>
      </c>
    </row>
    <row r="45" spans="1:8">
      <c r="A45" s="199"/>
      <c r="B45" s="200"/>
      <c r="C45" s="201"/>
      <c r="D45" s="202"/>
      <c r="E45" s="201"/>
      <c r="F45" s="202"/>
      <c r="G45" s="201"/>
    </row>
    <row r="46" spans="1:8" s="217" customFormat="1">
      <c r="A46" s="212"/>
      <c r="B46" s="213"/>
      <c r="C46" s="214"/>
      <c r="D46" s="215"/>
      <c r="E46" s="214"/>
      <c r="F46" s="215"/>
      <c r="G46" s="214"/>
      <c r="H46" s="216"/>
    </row>
    <row r="47" spans="1:8" ht="16.3" thickBot="1">
      <c r="A47" s="135" t="s">
        <v>180</v>
      </c>
      <c r="B47" s="203"/>
      <c r="C47" s="204"/>
      <c r="D47" s="205"/>
      <c r="E47" s="204"/>
      <c r="F47" s="205"/>
      <c r="G47" s="204"/>
      <c r="H47" s="140"/>
    </row>
    <row r="48" spans="1:8" ht="16.3" thickTop="1">
      <c r="A48" s="137"/>
      <c r="B48" s="138"/>
      <c r="C48" s="251" t="s">
        <v>138</v>
      </c>
      <c r="D48" s="251"/>
      <c r="E48" s="251"/>
      <c r="F48" s="252"/>
      <c r="G48" s="206"/>
      <c r="H48" s="140"/>
    </row>
    <row r="49" spans="1:8" ht="16.3" thickBot="1">
      <c r="A49" s="141"/>
      <c r="B49" s="142" t="s">
        <v>139</v>
      </c>
      <c r="C49" s="143" t="s">
        <v>140</v>
      </c>
      <c r="D49" s="144" t="s">
        <v>141</v>
      </c>
      <c r="E49" s="145" t="s">
        <v>142</v>
      </c>
      <c r="F49" s="146" t="s">
        <v>141</v>
      </c>
      <c r="G49" s="207" t="s">
        <v>3</v>
      </c>
      <c r="H49" s="148" t="s">
        <v>143</v>
      </c>
    </row>
    <row r="50" spans="1:8" ht="16.3" thickTop="1">
      <c r="A50" s="149" t="s">
        <v>179</v>
      </c>
      <c r="B50" s="150">
        <v>44743</v>
      </c>
      <c r="C50" s="140">
        <f>+C40</f>
        <v>61695.39342656263</v>
      </c>
      <c r="D50" s="168">
        <f>+D40</f>
        <v>0.75929999999999997</v>
      </c>
      <c r="E50" s="191">
        <f>+E40</f>
        <v>19558.226573437372</v>
      </c>
      <c r="F50" s="170">
        <f>+F40</f>
        <v>0.2407</v>
      </c>
      <c r="G50" s="208">
        <f>+G40</f>
        <v>81253.62</v>
      </c>
      <c r="H50" s="140"/>
    </row>
    <row r="51" spans="1:8">
      <c r="A51" s="149" t="s">
        <v>144</v>
      </c>
      <c r="B51" s="150">
        <v>44743</v>
      </c>
      <c r="C51" s="140">
        <f>C108</f>
        <v>0</v>
      </c>
      <c r="D51" s="168"/>
      <c r="E51" s="191">
        <f>-E108</f>
        <v>2619.3399999999997</v>
      </c>
      <c r="F51" s="170"/>
      <c r="G51" s="208">
        <f>-G108</f>
        <v>2619.3399999999997</v>
      </c>
      <c r="H51" s="140"/>
    </row>
    <row r="52" spans="1:8">
      <c r="A52" s="159" t="s">
        <v>189</v>
      </c>
      <c r="B52" s="160">
        <v>44743</v>
      </c>
      <c r="C52" s="161">
        <f>SUM(C50:C51)</f>
        <v>61695.39342656263</v>
      </c>
      <c r="D52" s="162">
        <f>C52/G52</f>
        <v>0.73558144873583375</v>
      </c>
      <c r="E52" s="163">
        <f>SUM(E50:E51)</f>
        <v>22177.566573437372</v>
      </c>
      <c r="F52" s="164">
        <f>E52/G52</f>
        <v>0.26441855126416636</v>
      </c>
      <c r="G52" s="209">
        <f>SUM(G50:G51)</f>
        <v>83872.959999999992</v>
      </c>
      <c r="H52" s="140"/>
    </row>
    <row r="53" spans="1:8">
      <c r="A53" s="166" t="s">
        <v>151</v>
      </c>
      <c r="B53" s="150"/>
      <c r="C53" s="167">
        <f>+G53*D52</f>
        <v>-14196.721960601591</v>
      </c>
      <c r="D53" s="168">
        <f>+C53/G53</f>
        <v>0.73558144873583375</v>
      </c>
      <c r="E53" s="169">
        <f>+G53-C53</f>
        <v>-5103.2780393984085</v>
      </c>
      <c r="F53" s="170">
        <f>+E53/G53</f>
        <v>0.26441855126416625</v>
      </c>
      <c r="G53" s="210">
        <v>-19300</v>
      </c>
      <c r="H53" s="140"/>
    </row>
    <row r="54" spans="1:8">
      <c r="A54" s="149" t="s">
        <v>152</v>
      </c>
      <c r="B54" s="187"/>
      <c r="C54" s="140">
        <v>0</v>
      </c>
      <c r="D54" s="168">
        <v>0</v>
      </c>
      <c r="E54" s="191">
        <f>+G54-C54</f>
        <v>6030.64</v>
      </c>
      <c r="F54" s="170">
        <f>+E54/G54</f>
        <v>1</v>
      </c>
      <c r="G54" s="208">
        <f>6030.64</f>
        <v>6030.64</v>
      </c>
      <c r="H54" s="140"/>
    </row>
    <row r="55" spans="1:8">
      <c r="A55" s="178" t="s">
        <v>147</v>
      </c>
      <c r="B55" s="179">
        <v>45107</v>
      </c>
      <c r="C55" s="180">
        <f>SUM(C52:C54)</f>
        <v>47498.671465961037</v>
      </c>
      <c r="D55" s="181">
        <f>ROUND(C55/G55,4)</f>
        <v>0.67279999999999995</v>
      </c>
      <c r="E55" s="182">
        <f>SUM(E52:E54)</f>
        <v>23104.928534038962</v>
      </c>
      <c r="F55" s="183">
        <f>ROUND(E55/G55,4)</f>
        <v>0.32719999999999999</v>
      </c>
      <c r="G55" s="211">
        <f>SUM(G52:G54)</f>
        <v>70603.599999999991</v>
      </c>
      <c r="H55" s="185">
        <f>+C55+E55</f>
        <v>70603.600000000006</v>
      </c>
    </row>
    <row r="56" spans="1:8">
      <c r="A56" s="199"/>
      <c r="B56" s="200"/>
      <c r="C56" s="200"/>
      <c r="D56" s="200"/>
      <c r="E56" s="200"/>
      <c r="F56" s="200"/>
      <c r="G56" s="201"/>
      <c r="H56" s="140"/>
    </row>
    <row r="57" spans="1:8">
      <c r="A57" s="149" t="s">
        <v>148</v>
      </c>
      <c r="B57" s="150">
        <v>45108</v>
      </c>
      <c r="C57" s="140">
        <f>+C55</f>
        <v>47498.671465961037</v>
      </c>
      <c r="D57" s="168">
        <f>+D55</f>
        <v>0.67279999999999995</v>
      </c>
      <c r="E57" s="191">
        <f>+E55</f>
        <v>23104.928534038962</v>
      </c>
      <c r="F57" s="170">
        <f>+F55</f>
        <v>0.32719999999999999</v>
      </c>
      <c r="G57" s="190">
        <f>+G55</f>
        <v>70603.599999999991</v>
      </c>
    </row>
    <row r="58" spans="1:8">
      <c r="A58" s="149" t="s">
        <v>170</v>
      </c>
      <c r="B58" s="150">
        <v>45108</v>
      </c>
      <c r="C58" s="167">
        <v>-47498.67</v>
      </c>
      <c r="D58" s="168"/>
      <c r="E58" s="169">
        <v>-23104.93</v>
      </c>
      <c r="F58" s="170"/>
      <c r="G58" s="171">
        <v>-70603.600000000006</v>
      </c>
    </row>
    <row r="59" spans="1:8">
      <c r="A59" s="192" t="s">
        <v>147</v>
      </c>
      <c r="B59" s="218">
        <v>45473</v>
      </c>
      <c r="C59" s="194">
        <f>SUM(C57:C58)</f>
        <v>1.4659610387752764E-3</v>
      </c>
      <c r="D59" s="195"/>
      <c r="E59" s="196">
        <f>SUM(E57:E58)</f>
        <v>-1.4659610387752764E-3</v>
      </c>
      <c r="F59" s="197"/>
      <c r="G59" s="198">
        <f>SUM(G57:G58)</f>
        <v>0</v>
      </c>
    </row>
    <row r="60" spans="1:8">
      <c r="A60" s="199"/>
      <c r="B60" s="200"/>
      <c r="C60" s="200"/>
      <c r="D60" s="200"/>
      <c r="E60" s="200"/>
      <c r="F60" s="200"/>
      <c r="G60" s="201"/>
      <c r="H60" s="140"/>
    </row>
    <row r="61" spans="1:8">
      <c r="A61" s="199"/>
      <c r="B61" s="200"/>
      <c r="C61" s="200"/>
      <c r="D61" s="200"/>
      <c r="E61" s="200"/>
      <c r="F61" s="200"/>
      <c r="G61" s="201"/>
      <c r="H61" s="140"/>
    </row>
    <row r="62" spans="1:8" ht="16.3" thickBot="1">
      <c r="A62" s="135" t="s">
        <v>181</v>
      </c>
      <c r="B62" s="203"/>
      <c r="C62" s="204"/>
      <c r="D62" s="205"/>
      <c r="E62" s="204"/>
      <c r="F62" s="205"/>
      <c r="G62" s="204"/>
      <c r="H62" s="140"/>
    </row>
    <row r="63" spans="1:8" ht="16.3" thickTop="1">
      <c r="A63" s="137"/>
      <c r="B63" s="138"/>
      <c r="C63" s="251" t="s">
        <v>138</v>
      </c>
      <c r="D63" s="251"/>
      <c r="E63" s="251"/>
      <c r="F63" s="252"/>
      <c r="G63" s="206"/>
      <c r="H63" s="140"/>
    </row>
    <row r="64" spans="1:8" ht="16.3" thickBot="1">
      <c r="A64" s="141"/>
      <c r="B64" s="142" t="s">
        <v>139</v>
      </c>
      <c r="C64" s="143" t="s">
        <v>140</v>
      </c>
      <c r="D64" s="144" t="s">
        <v>141</v>
      </c>
      <c r="E64" s="145" t="s">
        <v>142</v>
      </c>
      <c r="F64" s="146" t="s">
        <v>141</v>
      </c>
      <c r="G64" s="207" t="s">
        <v>3</v>
      </c>
      <c r="H64" s="148" t="s">
        <v>143</v>
      </c>
    </row>
    <row r="65" spans="1:8" ht="16.3" thickTop="1">
      <c r="A65" s="149" t="s">
        <v>144</v>
      </c>
      <c r="B65" s="219">
        <v>44872</v>
      </c>
      <c r="C65" s="220">
        <f>C110-198.75</f>
        <v>330000</v>
      </c>
      <c r="D65" s="219"/>
      <c r="E65" s="219"/>
      <c r="F65" s="219"/>
      <c r="G65" s="220">
        <f>G110-198.75</f>
        <v>330000</v>
      </c>
      <c r="H65" s="140"/>
    </row>
    <row r="66" spans="1:8">
      <c r="A66" s="149" t="s">
        <v>171</v>
      </c>
      <c r="B66" s="150">
        <v>44378</v>
      </c>
      <c r="C66" s="140">
        <f>-C31</f>
        <v>0</v>
      </c>
      <c r="D66" s="168"/>
      <c r="E66" s="191">
        <f>-E31</f>
        <v>0</v>
      </c>
      <c r="F66" s="170"/>
      <c r="G66" s="208">
        <f>-G31</f>
        <v>0</v>
      </c>
      <c r="H66" s="140"/>
    </row>
    <row r="67" spans="1:8">
      <c r="A67" s="149" t="s">
        <v>172</v>
      </c>
      <c r="B67" s="150">
        <v>44378</v>
      </c>
      <c r="C67" s="140">
        <f>-C54</f>
        <v>0</v>
      </c>
      <c r="D67" s="168"/>
      <c r="E67" s="191">
        <v>0</v>
      </c>
      <c r="F67" s="170"/>
      <c r="G67" s="208">
        <v>0</v>
      </c>
      <c r="H67" s="140"/>
    </row>
    <row r="68" spans="1:8">
      <c r="A68" s="159" t="s">
        <v>190</v>
      </c>
      <c r="B68" s="160">
        <v>44872</v>
      </c>
      <c r="C68" s="161">
        <f>SUM(C65:C67)</f>
        <v>330000</v>
      </c>
      <c r="D68" s="162">
        <f>+C68/G68</f>
        <v>1</v>
      </c>
      <c r="E68" s="163">
        <f>SUM(E66:E67)</f>
        <v>0</v>
      </c>
      <c r="F68" s="164">
        <f>+E68/G68</f>
        <v>0</v>
      </c>
      <c r="G68" s="209">
        <f>SUM(G65:G67)</f>
        <v>330000</v>
      </c>
      <c r="H68" s="140"/>
    </row>
    <row r="69" spans="1:8">
      <c r="A69" s="166" t="s">
        <v>151</v>
      </c>
      <c r="B69" s="150"/>
      <c r="C69" s="167">
        <f>G69*D68</f>
        <v>-10000</v>
      </c>
      <c r="D69" s="168">
        <f>+C69/G69</f>
        <v>1</v>
      </c>
      <c r="E69" s="169">
        <f>+G69-C69</f>
        <v>0</v>
      </c>
      <c r="F69" s="170">
        <f>+E69/G69</f>
        <v>0</v>
      </c>
      <c r="G69" s="210">
        <v>-10000</v>
      </c>
      <c r="H69" s="140"/>
    </row>
    <row r="70" spans="1:8">
      <c r="A70" s="149" t="s">
        <v>152</v>
      </c>
      <c r="B70" s="150"/>
      <c r="C70" s="140">
        <v>0</v>
      </c>
      <c r="D70" s="168">
        <f>C70/G70</f>
        <v>0</v>
      </c>
      <c r="E70" s="191">
        <f>G70-C70</f>
        <v>20390.73</v>
      </c>
      <c r="F70" s="170">
        <f>E70/G70</f>
        <v>1</v>
      </c>
      <c r="G70" s="208">
        <f>20390.73</f>
        <v>20390.73</v>
      </c>
      <c r="H70" s="140"/>
    </row>
    <row r="71" spans="1:8">
      <c r="A71" s="178" t="s">
        <v>147</v>
      </c>
      <c r="B71" s="179">
        <v>45107</v>
      </c>
      <c r="C71" s="180">
        <f>SUM(C68:C70)</f>
        <v>320000</v>
      </c>
      <c r="D71" s="181">
        <f>ROUND(C71/G71,4)</f>
        <v>0.94010000000000005</v>
      </c>
      <c r="E71" s="182">
        <f>SUM(E68:E70)</f>
        <v>20390.73</v>
      </c>
      <c r="F71" s="183">
        <f>ROUND(E71/G71,4)</f>
        <v>5.9900000000000002E-2</v>
      </c>
      <c r="G71" s="211">
        <f>SUM(G68:G70)</f>
        <v>340390.73</v>
      </c>
      <c r="H71" s="185">
        <f>+C71+E71</f>
        <v>340390.73</v>
      </c>
    </row>
    <row r="72" spans="1:8">
      <c r="A72" s="199"/>
      <c r="B72" s="200"/>
      <c r="C72" s="200"/>
      <c r="D72" s="200"/>
      <c r="E72" s="200"/>
      <c r="F72" s="200"/>
      <c r="G72" s="201"/>
      <c r="H72" s="140"/>
    </row>
    <row r="73" spans="1:8">
      <c r="A73" s="149" t="s">
        <v>148</v>
      </c>
      <c r="B73" s="150">
        <v>45108</v>
      </c>
      <c r="C73" s="140">
        <f>+C71</f>
        <v>320000</v>
      </c>
      <c r="D73" s="168">
        <f>+D71</f>
        <v>0.94010000000000005</v>
      </c>
      <c r="E73" s="191">
        <f>+E71</f>
        <v>20390.73</v>
      </c>
      <c r="F73" s="170">
        <f>+F71</f>
        <v>5.9900000000000002E-2</v>
      </c>
      <c r="G73" s="190">
        <f>+G71</f>
        <v>340390.73</v>
      </c>
    </row>
    <row r="74" spans="1:8">
      <c r="A74" s="149" t="s">
        <v>170</v>
      </c>
      <c r="B74" s="150">
        <v>45108</v>
      </c>
      <c r="C74" s="167">
        <v>-320000</v>
      </c>
      <c r="D74" s="168"/>
      <c r="E74" s="169">
        <v>-20390.73</v>
      </c>
      <c r="F74" s="170"/>
      <c r="G74" s="171">
        <v>-340390.73</v>
      </c>
    </row>
    <row r="75" spans="1:8">
      <c r="A75" s="192" t="s">
        <v>147</v>
      </c>
      <c r="B75" s="218">
        <v>45473</v>
      </c>
      <c r="C75" s="194">
        <f>SUM(C73:C74)</f>
        <v>0</v>
      </c>
      <c r="D75" s="195"/>
      <c r="E75" s="196">
        <f>SUM(E73:E74)</f>
        <v>0</v>
      </c>
      <c r="F75" s="197"/>
      <c r="G75" s="198">
        <f>SUM(G73:G74)</f>
        <v>0</v>
      </c>
    </row>
    <row r="76" spans="1:8">
      <c r="A76" s="186"/>
      <c r="B76" s="187"/>
      <c r="C76" s="188"/>
      <c r="D76" s="168"/>
      <c r="E76" s="189"/>
      <c r="F76" s="170"/>
      <c r="G76" s="208"/>
      <c r="H76" s="140"/>
    </row>
    <row r="77" spans="1:8">
      <c r="A77" s="149" t="s">
        <v>144</v>
      </c>
      <c r="B77" s="150">
        <v>45108</v>
      </c>
      <c r="C77" s="140">
        <f>C117</f>
        <v>198.75</v>
      </c>
      <c r="D77" s="168"/>
      <c r="E77" s="191">
        <f>E117</f>
        <v>1027.21</v>
      </c>
      <c r="F77" s="170"/>
      <c r="G77" s="208">
        <f>G117</f>
        <v>1225.9600000000116</v>
      </c>
      <c r="H77" s="140"/>
    </row>
    <row r="78" spans="1:8">
      <c r="A78" s="149" t="s">
        <v>182</v>
      </c>
      <c r="B78" s="150">
        <v>45108</v>
      </c>
      <c r="C78" s="140">
        <f>C57</f>
        <v>47498.671465961037</v>
      </c>
      <c r="D78" s="221">
        <f>D55</f>
        <v>0.67279999999999995</v>
      </c>
      <c r="E78" s="140">
        <f>E57</f>
        <v>23104.928534038962</v>
      </c>
      <c r="F78" s="221">
        <f>F57</f>
        <v>0.32719999999999999</v>
      </c>
      <c r="G78" s="140">
        <f>G57</f>
        <v>70603.599999999991</v>
      </c>
    </row>
    <row r="79" spans="1:8">
      <c r="A79" s="149" t="s">
        <v>183</v>
      </c>
      <c r="B79" s="150">
        <v>45108</v>
      </c>
      <c r="C79" s="140">
        <f>C73</f>
        <v>320000</v>
      </c>
      <c r="D79" s="221">
        <f>D73</f>
        <v>0.94010000000000005</v>
      </c>
      <c r="E79" s="140">
        <f>E73</f>
        <v>20390.73</v>
      </c>
      <c r="F79" s="221">
        <f>F73</f>
        <v>5.9900000000000002E-2</v>
      </c>
      <c r="G79" s="140">
        <f>G73</f>
        <v>340390.73</v>
      </c>
    </row>
    <row r="80" spans="1:8">
      <c r="A80" s="159" t="s">
        <v>191</v>
      </c>
      <c r="B80" s="160">
        <v>45108</v>
      </c>
      <c r="C80" s="161">
        <f>SUM(C77:C79)</f>
        <v>367697.42146596103</v>
      </c>
      <c r="D80" s="162">
        <f>C80/G80</f>
        <v>0.89199253502529208</v>
      </c>
      <c r="E80" s="163">
        <f>SUM(E77:E79)</f>
        <v>44522.868534038964</v>
      </c>
      <c r="F80" s="164">
        <f>E80/G80</f>
        <v>0.10800746497470798</v>
      </c>
      <c r="G80" s="209">
        <f>SUM(G77:G79)</f>
        <v>412220.29</v>
      </c>
      <c r="H80" s="140"/>
    </row>
    <row r="81" spans="1:8">
      <c r="A81" s="166" t="s">
        <v>184</v>
      </c>
      <c r="B81" s="150"/>
      <c r="C81" s="167">
        <f>+G81*D80</f>
        <v>0</v>
      </c>
      <c r="D81" s="168" t="e">
        <f>+C81/G81</f>
        <v>#DIV/0!</v>
      </c>
      <c r="E81" s="169">
        <f>+G81-C81</f>
        <v>0</v>
      </c>
      <c r="F81" s="170" t="e">
        <f>+E81/G81</f>
        <v>#DIV/0!</v>
      </c>
      <c r="G81" s="210">
        <v>0</v>
      </c>
      <c r="H81" s="140"/>
    </row>
    <row r="82" spans="1:8">
      <c r="A82" s="149" t="s">
        <v>185</v>
      </c>
      <c r="B82" s="187"/>
      <c r="C82" s="140">
        <v>0</v>
      </c>
      <c r="D82" s="168">
        <v>0</v>
      </c>
      <c r="E82" s="191">
        <f>+G82-C82</f>
        <v>0</v>
      </c>
      <c r="F82" s="170" t="e">
        <f>+E82/G82</f>
        <v>#DIV/0!</v>
      </c>
      <c r="G82" s="208">
        <v>0</v>
      </c>
      <c r="H82" s="140"/>
    </row>
    <row r="83" spans="1:8">
      <c r="A83" s="222" t="s">
        <v>147</v>
      </c>
      <c r="B83" s="248">
        <v>45473</v>
      </c>
      <c r="C83" s="224">
        <f>SUM(C80:C82)</f>
        <v>367697.42146596103</v>
      </c>
      <c r="D83" s="225">
        <f>ROUND(C83/G83,4)</f>
        <v>0.89200000000000002</v>
      </c>
      <c r="E83" s="226">
        <f>SUM(E80:E82)</f>
        <v>44522.868534038964</v>
      </c>
      <c r="F83" s="227">
        <f>ROUND(E83/G83,4)</f>
        <v>0.108</v>
      </c>
      <c r="G83" s="228">
        <f>SUM(G80:G82)</f>
        <v>412220.29</v>
      </c>
      <c r="H83" s="140">
        <f>+C83+E83</f>
        <v>412220.29</v>
      </c>
    </row>
    <row r="84" spans="1:8">
      <c r="A84" s="199"/>
      <c r="B84" s="200"/>
      <c r="C84" s="200"/>
      <c r="D84" s="200"/>
      <c r="E84" s="200"/>
      <c r="F84" s="200"/>
      <c r="G84" s="201"/>
      <c r="H84" s="140"/>
    </row>
    <row r="86" spans="1:8">
      <c r="C86" s="200"/>
      <c r="D86" s="200"/>
      <c r="E86" s="200"/>
      <c r="F86" s="200"/>
    </row>
    <row r="88" spans="1:8" ht="16.3" thickBot="1">
      <c r="A88" s="135" t="s">
        <v>161</v>
      </c>
    </row>
    <row r="89" spans="1:8" ht="16.3" thickTop="1">
      <c r="A89" s="137"/>
      <c r="B89" s="138"/>
      <c r="C89" s="251" t="s">
        <v>138</v>
      </c>
      <c r="D89" s="251"/>
      <c r="E89" s="251"/>
      <c r="F89" s="252"/>
      <c r="G89" s="139"/>
    </row>
    <row r="90" spans="1:8" ht="16.3" thickBot="1">
      <c r="A90" s="141"/>
      <c r="B90" s="142" t="s">
        <v>139</v>
      </c>
      <c r="C90" s="143" t="s">
        <v>140</v>
      </c>
      <c r="D90" s="144" t="s">
        <v>141</v>
      </c>
      <c r="E90" s="145" t="s">
        <v>142</v>
      </c>
      <c r="F90" s="146" t="s">
        <v>141</v>
      </c>
      <c r="G90" s="147" t="s">
        <v>3</v>
      </c>
      <c r="H90" s="229" t="s">
        <v>143</v>
      </c>
    </row>
    <row r="91" spans="1:8" ht="16.3" thickTop="1">
      <c r="A91" s="230" t="s">
        <v>148</v>
      </c>
      <c r="B91" s="150">
        <v>44013</v>
      </c>
      <c r="C91" s="231">
        <v>28930</v>
      </c>
      <c r="D91" s="232"/>
      <c r="E91" s="191">
        <f>G91-C91</f>
        <v>21359.07</v>
      </c>
      <c r="F91" s="170"/>
      <c r="G91" s="208">
        <v>50289.07</v>
      </c>
    </row>
    <row r="92" spans="1:8">
      <c r="A92" s="230" t="s">
        <v>168</v>
      </c>
      <c r="B92" s="187">
        <v>44013</v>
      </c>
      <c r="C92" s="233">
        <f>-C91</f>
        <v>-28930</v>
      </c>
      <c r="D92" s="232"/>
      <c r="E92" s="169">
        <f>-E91</f>
        <v>-21359.07</v>
      </c>
      <c r="F92" s="170"/>
      <c r="G92" s="210">
        <f>-G91</f>
        <v>-50289.07</v>
      </c>
    </row>
    <row r="93" spans="1:8">
      <c r="A93" s="230" t="s">
        <v>162</v>
      </c>
      <c r="B93" s="150">
        <v>44116</v>
      </c>
      <c r="C93" s="231">
        <v>46152.5</v>
      </c>
      <c r="D93" s="232"/>
      <c r="E93" s="191">
        <v>1923.75</v>
      </c>
      <c r="F93" s="170"/>
      <c r="G93" s="208">
        <f>+C93+E93</f>
        <v>48076.25</v>
      </c>
    </row>
    <row r="94" spans="1:8">
      <c r="A94" s="230" t="s">
        <v>169</v>
      </c>
      <c r="B94" s="187">
        <v>44116</v>
      </c>
      <c r="C94" s="233">
        <f>-C93</f>
        <v>-46152.5</v>
      </c>
      <c r="D94" s="232"/>
      <c r="E94" s="169">
        <f>-E93</f>
        <v>-1923.75</v>
      </c>
      <c r="F94" s="170"/>
      <c r="G94" s="210">
        <f>-G93</f>
        <v>-48076.25</v>
      </c>
    </row>
    <row r="95" spans="1:8">
      <c r="A95" s="230" t="s">
        <v>164</v>
      </c>
      <c r="B95" s="150"/>
      <c r="C95" s="231">
        <v>0</v>
      </c>
      <c r="D95" s="232">
        <f>C95/G95</f>
        <v>0</v>
      </c>
      <c r="E95" s="191">
        <f>G95-C95</f>
        <v>1164</v>
      </c>
      <c r="F95" s="170">
        <f>E95/G95</f>
        <v>1</v>
      </c>
      <c r="G95" s="208">
        <f>855+309</f>
        <v>1164</v>
      </c>
    </row>
    <row r="96" spans="1:8">
      <c r="A96" s="149" t="s">
        <v>165</v>
      </c>
      <c r="B96" s="150"/>
      <c r="C96" s="231">
        <f>G96</f>
        <v>26554</v>
      </c>
      <c r="D96" s="232">
        <f>C96/G96</f>
        <v>1</v>
      </c>
      <c r="E96" s="191">
        <f>G96-C96</f>
        <v>0</v>
      </c>
      <c r="F96" s="170">
        <f>E96/G96</f>
        <v>0</v>
      </c>
      <c r="G96" s="208">
        <f>10+3490+23000+54</f>
        <v>26554</v>
      </c>
    </row>
    <row r="97" spans="1:8">
      <c r="A97" s="149" t="s">
        <v>153</v>
      </c>
      <c r="B97" s="150"/>
      <c r="C97" s="231">
        <v>0</v>
      </c>
      <c r="D97" s="232">
        <f>C97/G97</f>
        <v>0</v>
      </c>
      <c r="E97" s="169">
        <f>G97-C97</f>
        <v>-132.90999999999997</v>
      </c>
      <c r="F97" s="170">
        <f>E97/G97</f>
        <v>1</v>
      </c>
      <c r="G97" s="210">
        <f>326.05+4.19-463.15</f>
        <v>-132.90999999999997</v>
      </c>
    </row>
    <row r="98" spans="1:8">
      <c r="A98" s="178" t="s">
        <v>147</v>
      </c>
      <c r="B98" s="179">
        <v>44377</v>
      </c>
      <c r="C98" s="234">
        <f>SUM(C91:C97)</f>
        <v>26554</v>
      </c>
      <c r="D98" s="235">
        <f>C98/G98</f>
        <v>0.96262147413693411</v>
      </c>
      <c r="E98" s="182">
        <f>SUM(E91:E97)</f>
        <v>1031.0900000000001</v>
      </c>
      <c r="F98" s="183">
        <f>E98/G98</f>
        <v>3.7378525863065885E-2</v>
      </c>
      <c r="G98" s="211">
        <f>SUM(G91:G97)</f>
        <v>27585.09</v>
      </c>
      <c r="H98" s="185">
        <f>+C98+E98</f>
        <v>27585.09</v>
      </c>
    </row>
    <row r="99" spans="1:8">
      <c r="A99" s="236"/>
      <c r="B99" s="236"/>
      <c r="C99" s="237"/>
      <c r="D99" s="238"/>
      <c r="E99" s="239"/>
      <c r="F99" s="240"/>
      <c r="G99" s="236"/>
    </row>
    <row r="100" spans="1:8">
      <c r="A100" s="230" t="s">
        <v>148</v>
      </c>
      <c r="B100" s="150">
        <v>44378</v>
      </c>
      <c r="C100" s="231">
        <f>+C98</f>
        <v>26554</v>
      </c>
      <c r="D100" s="232">
        <f>+D98</f>
        <v>0.96262147413693411</v>
      </c>
      <c r="E100" s="191">
        <f>+E98</f>
        <v>1031.0900000000001</v>
      </c>
      <c r="F100" s="170">
        <f>+F98</f>
        <v>3.7378525863065885E-2</v>
      </c>
      <c r="G100" s="208">
        <f>+G98</f>
        <v>27585.09</v>
      </c>
    </row>
    <row r="101" spans="1:8">
      <c r="A101" s="230" t="s">
        <v>163</v>
      </c>
      <c r="B101" s="150">
        <v>44378</v>
      </c>
      <c r="C101" s="233">
        <f>-C100</f>
        <v>-26554</v>
      </c>
      <c r="D101" s="232"/>
      <c r="E101" s="169">
        <f>-E100</f>
        <v>-1031.0900000000001</v>
      </c>
      <c r="F101" s="170"/>
      <c r="G101" s="210">
        <f>-G100</f>
        <v>-27585.09</v>
      </c>
    </row>
    <row r="102" spans="1:8">
      <c r="A102" s="230" t="s">
        <v>154</v>
      </c>
      <c r="B102" s="150"/>
      <c r="C102" s="231">
        <v>0</v>
      </c>
      <c r="D102" s="232">
        <f>C102/G102</f>
        <v>0</v>
      </c>
      <c r="E102" s="191">
        <f>G102-C102</f>
        <v>1325</v>
      </c>
      <c r="F102" s="170">
        <f>E102/G102</f>
        <v>1</v>
      </c>
      <c r="G102" s="208">
        <v>1325</v>
      </c>
    </row>
    <row r="103" spans="1:8">
      <c r="A103" s="149" t="s">
        <v>155</v>
      </c>
      <c r="B103" s="150"/>
      <c r="C103" s="231">
        <v>0</v>
      </c>
      <c r="D103" s="232">
        <f>C103/G103</f>
        <v>0</v>
      </c>
      <c r="E103" s="191">
        <f>G103-C103</f>
        <v>1518.2</v>
      </c>
      <c r="F103" s="170">
        <f>E103/G103</f>
        <v>1</v>
      </c>
      <c r="G103" s="208">
        <v>1518.2</v>
      </c>
    </row>
    <row r="104" spans="1:8">
      <c r="A104" s="149" t="s">
        <v>156</v>
      </c>
      <c r="B104" s="150"/>
      <c r="C104" s="231">
        <v>0</v>
      </c>
      <c r="D104" s="232">
        <f>C104/G104</f>
        <v>0</v>
      </c>
      <c r="E104" s="191">
        <f>G104-C104</f>
        <v>-223.86</v>
      </c>
      <c r="F104" s="170">
        <f>E104/G104</f>
        <v>1</v>
      </c>
      <c r="G104" s="208">
        <f>-25.46+0.35-198.75</f>
        <v>-223.86</v>
      </c>
    </row>
    <row r="105" spans="1:8">
      <c r="A105" s="178" t="s">
        <v>147</v>
      </c>
      <c r="B105" s="179">
        <v>44742</v>
      </c>
      <c r="C105" s="241">
        <f>SUM(C100:C104)</f>
        <v>0</v>
      </c>
      <c r="D105" s="235">
        <f>C105/G105</f>
        <v>0</v>
      </c>
      <c r="E105" s="182">
        <f>SUM(E100:E104)</f>
        <v>2619.3399999999997</v>
      </c>
      <c r="F105" s="183">
        <f>E105/G105</f>
        <v>1</v>
      </c>
      <c r="G105" s="242">
        <f>SUM(G100:G104)</f>
        <v>2619.3399999999997</v>
      </c>
      <c r="H105" s="185">
        <f>+C105+E105</f>
        <v>2619.3399999999997</v>
      </c>
    </row>
    <row r="106" spans="1:8">
      <c r="A106" s="236"/>
      <c r="B106" s="236"/>
      <c r="C106" s="237"/>
      <c r="D106" s="238"/>
      <c r="E106" s="239"/>
      <c r="F106" s="240"/>
      <c r="G106" s="236"/>
    </row>
    <row r="107" spans="1:8">
      <c r="A107" s="230" t="s">
        <v>148</v>
      </c>
      <c r="B107" s="150">
        <v>44743</v>
      </c>
      <c r="C107" s="231">
        <f>+C105</f>
        <v>0</v>
      </c>
      <c r="D107" s="232">
        <f>+D105</f>
        <v>0</v>
      </c>
      <c r="E107" s="191">
        <f>+E105</f>
        <v>2619.3399999999997</v>
      </c>
      <c r="F107" s="170">
        <f>+F105</f>
        <v>1</v>
      </c>
      <c r="G107" s="208">
        <f>+G105</f>
        <v>2619.3399999999997</v>
      </c>
    </row>
    <row r="108" spans="1:8">
      <c r="A108" s="230" t="s">
        <v>176</v>
      </c>
      <c r="B108" s="150">
        <v>44743</v>
      </c>
      <c r="C108" s="233">
        <f>-C107</f>
        <v>0</v>
      </c>
      <c r="D108" s="232"/>
      <c r="E108" s="169">
        <f>-E107</f>
        <v>-2619.3399999999997</v>
      </c>
      <c r="F108" s="170"/>
      <c r="G108" s="210">
        <f>-G107</f>
        <v>-2619.3399999999997</v>
      </c>
    </row>
    <row r="109" spans="1:8">
      <c r="A109" s="230" t="s">
        <v>157</v>
      </c>
      <c r="B109" s="150"/>
      <c r="C109" s="231">
        <v>0</v>
      </c>
      <c r="D109" s="232">
        <f>C109/G109</f>
        <v>0</v>
      </c>
      <c r="E109" s="191">
        <f>G109-C109</f>
        <v>1129.2</v>
      </c>
      <c r="F109" s="170">
        <f>E109/G109</f>
        <v>1</v>
      </c>
      <c r="G109" s="208">
        <v>1129.2</v>
      </c>
    </row>
    <row r="110" spans="1:8">
      <c r="A110" s="149" t="s">
        <v>158</v>
      </c>
      <c r="B110" s="150">
        <v>44872</v>
      </c>
      <c r="C110" s="231">
        <f>G110</f>
        <v>330198.75</v>
      </c>
      <c r="D110" s="232">
        <f>C110/G110</f>
        <v>1</v>
      </c>
      <c r="E110" s="191">
        <f>G110-C110</f>
        <v>0</v>
      </c>
      <c r="F110" s="170">
        <f>E110/G110</f>
        <v>0</v>
      </c>
      <c r="G110" s="208">
        <v>330198.75</v>
      </c>
    </row>
    <row r="111" spans="1:8">
      <c r="A111" s="230" t="s">
        <v>177</v>
      </c>
      <c r="B111" s="150">
        <v>44872</v>
      </c>
      <c r="C111" s="243">
        <f>G111</f>
        <v>-330000</v>
      </c>
      <c r="D111" s="232"/>
      <c r="E111" s="191"/>
      <c r="F111" s="170"/>
      <c r="G111" s="244">
        <v>-330000</v>
      </c>
    </row>
    <row r="112" spans="1:8">
      <c r="A112" s="149" t="s">
        <v>175</v>
      </c>
      <c r="B112" s="150"/>
      <c r="C112" s="231">
        <v>0</v>
      </c>
      <c r="D112" s="232">
        <f>C112/G112</f>
        <v>0</v>
      </c>
      <c r="E112" s="191">
        <f>G112-C112</f>
        <v>-101.99</v>
      </c>
      <c r="F112" s="170">
        <f>E112/G112</f>
        <v>1</v>
      </c>
      <c r="G112" s="208">
        <f>69.84-2.48-169.35</f>
        <v>-101.99</v>
      </c>
    </row>
    <row r="113" spans="1:8">
      <c r="A113" s="222" t="s">
        <v>147</v>
      </c>
      <c r="B113" s="223">
        <v>45107</v>
      </c>
      <c r="C113" s="245">
        <f>SUM(C107:C112)</f>
        <v>198.75</v>
      </c>
      <c r="D113" s="246">
        <f>C113/G113</f>
        <v>0.16211785050083047</v>
      </c>
      <c r="E113" s="226">
        <f>SUM(E107:E112)</f>
        <v>1027.21</v>
      </c>
      <c r="F113" s="227">
        <f>E113/G113</f>
        <v>0.83788214949916007</v>
      </c>
      <c r="G113" s="247">
        <f>SUM(G107:G112)</f>
        <v>1225.9600000000116</v>
      </c>
      <c r="H113" s="140">
        <f>+C113+E113</f>
        <v>1225.96</v>
      </c>
    </row>
    <row r="116" spans="1:8">
      <c r="A116" s="236"/>
      <c r="B116" s="236"/>
      <c r="C116" s="237"/>
      <c r="D116" s="238"/>
      <c r="E116" s="239"/>
      <c r="F116" s="240"/>
      <c r="G116" s="236"/>
    </row>
    <row r="117" spans="1:8">
      <c r="A117" s="230" t="s">
        <v>148</v>
      </c>
      <c r="B117" s="150">
        <v>45108</v>
      </c>
      <c r="C117" s="231">
        <f>+C113</f>
        <v>198.75</v>
      </c>
      <c r="D117" s="232">
        <f>+D113</f>
        <v>0.16211785050083047</v>
      </c>
      <c r="E117" s="191">
        <f>+E113</f>
        <v>1027.21</v>
      </c>
      <c r="F117" s="170">
        <f>+F113</f>
        <v>0.83788214949916007</v>
      </c>
      <c r="G117" s="208">
        <f>+G113</f>
        <v>1225.9600000000116</v>
      </c>
    </row>
    <row r="118" spans="1:8">
      <c r="A118" s="230" t="s">
        <v>166</v>
      </c>
      <c r="B118" s="150">
        <v>45108</v>
      </c>
      <c r="C118" s="233">
        <f>-C117</f>
        <v>-198.75</v>
      </c>
      <c r="D118" s="232"/>
      <c r="E118" s="169">
        <f>-E117</f>
        <v>-1027.21</v>
      </c>
      <c r="F118" s="170"/>
      <c r="G118" s="210">
        <f>-G117</f>
        <v>-1225.9600000000116</v>
      </c>
    </row>
    <row r="119" spans="1:8">
      <c r="A119" s="230" t="s">
        <v>157</v>
      </c>
      <c r="B119" s="150"/>
      <c r="C119" s="231">
        <v>0</v>
      </c>
      <c r="D119" s="232" t="e">
        <f>C119/G119</f>
        <v>#DIV/0!</v>
      </c>
      <c r="E119" s="191">
        <f>G119-C119</f>
        <v>0</v>
      </c>
      <c r="F119" s="170" t="e">
        <f>E119/G119</f>
        <v>#DIV/0!</v>
      </c>
      <c r="G119" s="208">
        <v>0</v>
      </c>
    </row>
    <row r="120" spans="1:8">
      <c r="A120" s="149" t="s">
        <v>158</v>
      </c>
      <c r="B120" s="150"/>
      <c r="C120" s="231">
        <v>0</v>
      </c>
      <c r="D120" s="232" t="e">
        <f>C120/G120</f>
        <v>#DIV/0!</v>
      </c>
      <c r="E120" s="191">
        <f>G120-C120</f>
        <v>0</v>
      </c>
      <c r="F120" s="170" t="e">
        <f>E120/G120</f>
        <v>#DIV/0!</v>
      </c>
      <c r="G120" s="208">
        <v>0</v>
      </c>
    </row>
    <row r="121" spans="1:8">
      <c r="A121" s="149" t="s">
        <v>159</v>
      </c>
      <c r="B121" s="150"/>
      <c r="C121" s="231">
        <v>0</v>
      </c>
      <c r="D121" s="232" t="e">
        <f>C121/G121</f>
        <v>#DIV/0!</v>
      </c>
      <c r="E121" s="191">
        <f>G121-C121</f>
        <v>0</v>
      </c>
      <c r="F121" s="170" t="e">
        <f>E121/G121</f>
        <v>#DIV/0!</v>
      </c>
      <c r="G121" s="208">
        <v>0</v>
      </c>
    </row>
    <row r="122" spans="1:8">
      <c r="A122" s="222" t="s">
        <v>147</v>
      </c>
      <c r="B122" s="248">
        <v>45473</v>
      </c>
      <c r="C122" s="245">
        <f>SUM(C117:C121)</f>
        <v>0</v>
      </c>
      <c r="D122" s="246" t="e">
        <f>C122/G122</f>
        <v>#DIV/0!</v>
      </c>
      <c r="E122" s="226">
        <f>SUM(E117:E121)</f>
        <v>0</v>
      </c>
      <c r="F122" s="227" t="e">
        <f>E122/G122</f>
        <v>#DIV/0!</v>
      </c>
      <c r="G122" s="247">
        <f>SUM(G117:G121)</f>
        <v>0</v>
      </c>
      <c r="H122" s="140">
        <f>+C122+E122</f>
        <v>0</v>
      </c>
    </row>
  </sheetData>
  <mergeCells count="6">
    <mergeCell ref="C2:F2"/>
    <mergeCell ref="C89:F89"/>
    <mergeCell ref="C17:F17"/>
    <mergeCell ref="C32:F32"/>
    <mergeCell ref="C63:F63"/>
    <mergeCell ref="C48:F48"/>
  </mergeCells>
  <pageMargins left="0.70866141732283472" right="0.70866141732283472" top="0.74803149606299213" bottom="0.74803149606299213" header="0.31496062992125984" footer="0.31496062992125984"/>
  <pageSetup scale="80" orientation="portrait" r:id="rId1"/>
  <rowBreaks count="2" manualBreakCount="2">
    <brk id="45" max="6" man="1"/>
    <brk id="8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I15" sqref="I15:J15"/>
    </sheetView>
  </sheetViews>
  <sheetFormatPr defaultRowHeight="14.6"/>
  <cols>
    <col min="1" max="1" width="36.84375" customWidth="1"/>
    <col min="2" max="2" width="15.69140625" customWidth="1"/>
    <col min="3" max="3" width="12.3828125" customWidth="1"/>
    <col min="4" max="4" width="12.84375" customWidth="1"/>
    <col min="5" max="5" width="9.3828125" bestFit="1" customWidth="1"/>
    <col min="256" max="256" width="31.15234375" customWidth="1"/>
    <col min="257" max="257" width="12.3046875" bestFit="1" customWidth="1"/>
    <col min="260" max="260" width="11.3046875" customWidth="1"/>
    <col min="512" max="512" width="31.15234375" customWidth="1"/>
    <col min="513" max="513" width="12.3046875" bestFit="1" customWidth="1"/>
    <col min="516" max="516" width="11.3046875" customWidth="1"/>
    <col min="768" max="768" width="31.15234375" customWidth="1"/>
    <col min="769" max="769" width="12.3046875" bestFit="1" customWidth="1"/>
    <col min="772" max="772" width="11.3046875" customWidth="1"/>
    <col min="1024" max="1024" width="31.15234375" customWidth="1"/>
    <col min="1025" max="1025" width="12.3046875" bestFit="1" customWidth="1"/>
    <col min="1028" max="1028" width="11.3046875" customWidth="1"/>
    <col min="1280" max="1280" width="31.15234375" customWidth="1"/>
    <col min="1281" max="1281" width="12.3046875" bestFit="1" customWidth="1"/>
    <col min="1284" max="1284" width="11.3046875" customWidth="1"/>
    <col min="1536" max="1536" width="31.15234375" customWidth="1"/>
    <col min="1537" max="1537" width="12.3046875" bestFit="1" customWidth="1"/>
    <col min="1540" max="1540" width="11.3046875" customWidth="1"/>
    <col min="1792" max="1792" width="31.15234375" customWidth="1"/>
    <col min="1793" max="1793" width="12.3046875" bestFit="1" customWidth="1"/>
    <col min="1796" max="1796" width="11.3046875" customWidth="1"/>
    <col min="2048" max="2048" width="31.15234375" customWidth="1"/>
    <col min="2049" max="2049" width="12.3046875" bestFit="1" customWidth="1"/>
    <col min="2052" max="2052" width="11.3046875" customWidth="1"/>
    <col min="2304" max="2304" width="31.15234375" customWidth="1"/>
    <col min="2305" max="2305" width="12.3046875" bestFit="1" customWidth="1"/>
    <col min="2308" max="2308" width="11.3046875" customWidth="1"/>
    <col min="2560" max="2560" width="31.15234375" customWidth="1"/>
    <col min="2561" max="2561" width="12.3046875" bestFit="1" customWidth="1"/>
    <col min="2564" max="2564" width="11.3046875" customWidth="1"/>
    <col min="2816" max="2816" width="31.15234375" customWidth="1"/>
    <col min="2817" max="2817" width="12.3046875" bestFit="1" customWidth="1"/>
    <col min="2820" max="2820" width="11.3046875" customWidth="1"/>
    <col min="3072" max="3072" width="31.15234375" customWidth="1"/>
    <col min="3073" max="3073" width="12.3046875" bestFit="1" customWidth="1"/>
    <col min="3076" max="3076" width="11.3046875" customWidth="1"/>
    <col min="3328" max="3328" width="31.15234375" customWidth="1"/>
    <col min="3329" max="3329" width="12.3046875" bestFit="1" customWidth="1"/>
    <col min="3332" max="3332" width="11.3046875" customWidth="1"/>
    <col min="3584" max="3584" width="31.15234375" customWidth="1"/>
    <col min="3585" max="3585" width="12.3046875" bestFit="1" customWidth="1"/>
    <col min="3588" max="3588" width="11.3046875" customWidth="1"/>
    <col min="3840" max="3840" width="31.15234375" customWidth="1"/>
    <col min="3841" max="3841" width="12.3046875" bestFit="1" customWidth="1"/>
    <col min="3844" max="3844" width="11.3046875" customWidth="1"/>
    <col min="4096" max="4096" width="31.15234375" customWidth="1"/>
    <col min="4097" max="4097" width="12.3046875" bestFit="1" customWidth="1"/>
    <col min="4100" max="4100" width="11.3046875" customWidth="1"/>
    <col min="4352" max="4352" width="31.15234375" customWidth="1"/>
    <col min="4353" max="4353" width="12.3046875" bestFit="1" customWidth="1"/>
    <col min="4356" max="4356" width="11.3046875" customWidth="1"/>
    <col min="4608" max="4608" width="31.15234375" customWidth="1"/>
    <col min="4609" max="4609" width="12.3046875" bestFit="1" customWidth="1"/>
    <col min="4612" max="4612" width="11.3046875" customWidth="1"/>
    <col min="4864" max="4864" width="31.15234375" customWidth="1"/>
    <col min="4865" max="4865" width="12.3046875" bestFit="1" customWidth="1"/>
    <col min="4868" max="4868" width="11.3046875" customWidth="1"/>
    <col min="5120" max="5120" width="31.15234375" customWidth="1"/>
    <col min="5121" max="5121" width="12.3046875" bestFit="1" customWidth="1"/>
    <col min="5124" max="5124" width="11.3046875" customWidth="1"/>
    <col min="5376" max="5376" width="31.15234375" customWidth="1"/>
    <col min="5377" max="5377" width="12.3046875" bestFit="1" customWidth="1"/>
    <col min="5380" max="5380" width="11.3046875" customWidth="1"/>
    <col min="5632" max="5632" width="31.15234375" customWidth="1"/>
    <col min="5633" max="5633" width="12.3046875" bestFit="1" customWidth="1"/>
    <col min="5636" max="5636" width="11.3046875" customWidth="1"/>
    <col min="5888" max="5888" width="31.15234375" customWidth="1"/>
    <col min="5889" max="5889" width="12.3046875" bestFit="1" customWidth="1"/>
    <col min="5892" max="5892" width="11.3046875" customWidth="1"/>
    <col min="6144" max="6144" width="31.15234375" customWidth="1"/>
    <col min="6145" max="6145" width="12.3046875" bestFit="1" customWidth="1"/>
    <col min="6148" max="6148" width="11.3046875" customWidth="1"/>
    <col min="6400" max="6400" width="31.15234375" customWidth="1"/>
    <col min="6401" max="6401" width="12.3046875" bestFit="1" customWidth="1"/>
    <col min="6404" max="6404" width="11.3046875" customWidth="1"/>
    <col min="6656" max="6656" width="31.15234375" customWidth="1"/>
    <col min="6657" max="6657" width="12.3046875" bestFit="1" customWidth="1"/>
    <col min="6660" max="6660" width="11.3046875" customWidth="1"/>
    <col min="6912" max="6912" width="31.15234375" customWidth="1"/>
    <col min="6913" max="6913" width="12.3046875" bestFit="1" customWidth="1"/>
    <col min="6916" max="6916" width="11.3046875" customWidth="1"/>
    <col min="7168" max="7168" width="31.15234375" customWidth="1"/>
    <col min="7169" max="7169" width="12.3046875" bestFit="1" customWidth="1"/>
    <col min="7172" max="7172" width="11.3046875" customWidth="1"/>
    <col min="7424" max="7424" width="31.15234375" customWidth="1"/>
    <col min="7425" max="7425" width="12.3046875" bestFit="1" customWidth="1"/>
    <col min="7428" max="7428" width="11.3046875" customWidth="1"/>
    <col min="7680" max="7680" width="31.15234375" customWidth="1"/>
    <col min="7681" max="7681" width="12.3046875" bestFit="1" customWidth="1"/>
    <col min="7684" max="7684" width="11.3046875" customWidth="1"/>
    <col min="7936" max="7936" width="31.15234375" customWidth="1"/>
    <col min="7937" max="7937" width="12.3046875" bestFit="1" customWidth="1"/>
    <col min="7940" max="7940" width="11.3046875" customWidth="1"/>
    <col min="8192" max="8192" width="31.15234375" customWidth="1"/>
    <col min="8193" max="8193" width="12.3046875" bestFit="1" customWidth="1"/>
    <col min="8196" max="8196" width="11.3046875" customWidth="1"/>
    <col min="8448" max="8448" width="31.15234375" customWidth="1"/>
    <col min="8449" max="8449" width="12.3046875" bestFit="1" customWidth="1"/>
    <col min="8452" max="8452" width="11.3046875" customWidth="1"/>
    <col min="8704" max="8704" width="31.15234375" customWidth="1"/>
    <col min="8705" max="8705" width="12.3046875" bestFit="1" customWidth="1"/>
    <col min="8708" max="8708" width="11.3046875" customWidth="1"/>
    <col min="8960" max="8960" width="31.15234375" customWidth="1"/>
    <col min="8961" max="8961" width="12.3046875" bestFit="1" customWidth="1"/>
    <col min="8964" max="8964" width="11.3046875" customWidth="1"/>
    <col min="9216" max="9216" width="31.15234375" customWidth="1"/>
    <col min="9217" max="9217" width="12.3046875" bestFit="1" customWidth="1"/>
    <col min="9220" max="9220" width="11.3046875" customWidth="1"/>
    <col min="9472" max="9472" width="31.15234375" customWidth="1"/>
    <col min="9473" max="9473" width="12.3046875" bestFit="1" customWidth="1"/>
    <col min="9476" max="9476" width="11.3046875" customWidth="1"/>
    <col min="9728" max="9728" width="31.15234375" customWidth="1"/>
    <col min="9729" max="9729" width="12.3046875" bestFit="1" customWidth="1"/>
    <col min="9732" max="9732" width="11.3046875" customWidth="1"/>
    <col min="9984" max="9984" width="31.15234375" customWidth="1"/>
    <col min="9985" max="9985" width="12.3046875" bestFit="1" customWidth="1"/>
    <col min="9988" max="9988" width="11.3046875" customWidth="1"/>
    <col min="10240" max="10240" width="31.15234375" customWidth="1"/>
    <col min="10241" max="10241" width="12.3046875" bestFit="1" customWidth="1"/>
    <col min="10244" max="10244" width="11.3046875" customWidth="1"/>
    <col min="10496" max="10496" width="31.15234375" customWidth="1"/>
    <col min="10497" max="10497" width="12.3046875" bestFit="1" customWidth="1"/>
    <col min="10500" max="10500" width="11.3046875" customWidth="1"/>
    <col min="10752" max="10752" width="31.15234375" customWidth="1"/>
    <col min="10753" max="10753" width="12.3046875" bestFit="1" customWidth="1"/>
    <col min="10756" max="10756" width="11.3046875" customWidth="1"/>
    <col min="11008" max="11008" width="31.15234375" customWidth="1"/>
    <col min="11009" max="11009" width="12.3046875" bestFit="1" customWidth="1"/>
    <col min="11012" max="11012" width="11.3046875" customWidth="1"/>
    <col min="11264" max="11264" width="31.15234375" customWidth="1"/>
    <col min="11265" max="11265" width="12.3046875" bestFit="1" customWidth="1"/>
    <col min="11268" max="11268" width="11.3046875" customWidth="1"/>
    <col min="11520" max="11520" width="31.15234375" customWidth="1"/>
    <col min="11521" max="11521" width="12.3046875" bestFit="1" customWidth="1"/>
    <col min="11524" max="11524" width="11.3046875" customWidth="1"/>
    <col min="11776" max="11776" width="31.15234375" customWidth="1"/>
    <col min="11777" max="11777" width="12.3046875" bestFit="1" customWidth="1"/>
    <col min="11780" max="11780" width="11.3046875" customWidth="1"/>
    <col min="12032" max="12032" width="31.15234375" customWidth="1"/>
    <col min="12033" max="12033" width="12.3046875" bestFit="1" customWidth="1"/>
    <col min="12036" max="12036" width="11.3046875" customWidth="1"/>
    <col min="12288" max="12288" width="31.15234375" customWidth="1"/>
    <col min="12289" max="12289" width="12.3046875" bestFit="1" customWidth="1"/>
    <col min="12292" max="12292" width="11.3046875" customWidth="1"/>
    <col min="12544" max="12544" width="31.15234375" customWidth="1"/>
    <col min="12545" max="12545" width="12.3046875" bestFit="1" customWidth="1"/>
    <col min="12548" max="12548" width="11.3046875" customWidth="1"/>
    <col min="12800" max="12800" width="31.15234375" customWidth="1"/>
    <col min="12801" max="12801" width="12.3046875" bestFit="1" customWidth="1"/>
    <col min="12804" max="12804" width="11.3046875" customWidth="1"/>
    <col min="13056" max="13056" width="31.15234375" customWidth="1"/>
    <col min="13057" max="13057" width="12.3046875" bestFit="1" customWidth="1"/>
    <col min="13060" max="13060" width="11.3046875" customWidth="1"/>
    <col min="13312" max="13312" width="31.15234375" customWidth="1"/>
    <col min="13313" max="13313" width="12.3046875" bestFit="1" customWidth="1"/>
    <col min="13316" max="13316" width="11.3046875" customWidth="1"/>
    <col min="13568" max="13568" width="31.15234375" customWidth="1"/>
    <col min="13569" max="13569" width="12.3046875" bestFit="1" customWidth="1"/>
    <col min="13572" max="13572" width="11.3046875" customWidth="1"/>
    <col min="13824" max="13824" width="31.15234375" customWidth="1"/>
    <col min="13825" max="13825" width="12.3046875" bestFit="1" customWidth="1"/>
    <col min="13828" max="13828" width="11.3046875" customWidth="1"/>
    <col min="14080" max="14080" width="31.15234375" customWidth="1"/>
    <col min="14081" max="14081" width="12.3046875" bestFit="1" customWidth="1"/>
    <col min="14084" max="14084" width="11.3046875" customWidth="1"/>
    <col min="14336" max="14336" width="31.15234375" customWidth="1"/>
    <col min="14337" max="14337" width="12.3046875" bestFit="1" customWidth="1"/>
    <col min="14340" max="14340" width="11.3046875" customWidth="1"/>
    <col min="14592" max="14592" width="31.15234375" customWidth="1"/>
    <col min="14593" max="14593" width="12.3046875" bestFit="1" customWidth="1"/>
    <col min="14596" max="14596" width="11.3046875" customWidth="1"/>
    <col min="14848" max="14848" width="31.15234375" customWidth="1"/>
    <col min="14849" max="14849" width="12.3046875" bestFit="1" customWidth="1"/>
    <col min="14852" max="14852" width="11.3046875" customWidth="1"/>
    <col min="15104" max="15104" width="31.15234375" customWidth="1"/>
    <col min="15105" max="15105" width="12.3046875" bestFit="1" customWidth="1"/>
    <col min="15108" max="15108" width="11.3046875" customWidth="1"/>
    <col min="15360" max="15360" width="31.15234375" customWidth="1"/>
    <col min="15361" max="15361" width="12.3046875" bestFit="1" customWidth="1"/>
    <col min="15364" max="15364" width="11.3046875" customWidth="1"/>
    <col min="15616" max="15616" width="31.15234375" customWidth="1"/>
    <col min="15617" max="15617" width="12.3046875" bestFit="1" customWidth="1"/>
    <col min="15620" max="15620" width="11.3046875" customWidth="1"/>
    <col min="15872" max="15872" width="31.15234375" customWidth="1"/>
    <col min="15873" max="15873" width="12.3046875" bestFit="1" customWidth="1"/>
    <col min="15876" max="15876" width="11.3046875" customWidth="1"/>
    <col min="16128" max="16128" width="31.15234375" customWidth="1"/>
    <col min="16129" max="16129" width="12.3046875" bestFit="1" customWidth="1"/>
    <col min="16132" max="16132" width="11.3046875" customWidth="1"/>
  </cols>
  <sheetData>
    <row r="1" spans="1:4" ht="18.45">
      <c r="A1" s="14" t="s">
        <v>6</v>
      </c>
    </row>
    <row r="2" spans="1:4">
      <c r="A2" s="15" t="s">
        <v>7</v>
      </c>
    </row>
    <row r="4" spans="1:4">
      <c r="A4" s="16" t="s">
        <v>8</v>
      </c>
    </row>
    <row r="5" spans="1:4">
      <c r="A5" s="15" t="s">
        <v>26</v>
      </c>
    </row>
    <row r="6" spans="1:4">
      <c r="A6" t="s">
        <v>25</v>
      </c>
      <c r="B6" s="1">
        <f>+Unded.Cont.!B13</f>
        <v>62256.700000000004</v>
      </c>
      <c r="C6" s="5">
        <f>ROUND(B6/B7,4)</f>
        <v>0.44409999999999999</v>
      </c>
      <c r="D6" s="7"/>
    </row>
    <row r="7" spans="1:4">
      <c r="A7" t="s">
        <v>27</v>
      </c>
      <c r="B7" s="1">
        <v>140200.57</v>
      </c>
      <c r="C7" s="5">
        <v>1</v>
      </c>
      <c r="D7" s="7"/>
    </row>
    <row r="8" spans="1:4">
      <c r="B8" s="1"/>
      <c r="C8" s="5"/>
      <c r="D8" s="7"/>
    </row>
    <row r="9" spans="1:4">
      <c r="B9" s="1"/>
    </row>
    <row r="10" spans="1:4">
      <c r="A10" s="15" t="s">
        <v>15</v>
      </c>
      <c r="B10" s="9"/>
    </row>
    <row r="11" spans="1:4">
      <c r="A11" t="s">
        <v>9</v>
      </c>
      <c r="B11" s="89">
        <v>39264</v>
      </c>
    </row>
    <row r="12" spans="1:4">
      <c r="A12" t="s">
        <v>16</v>
      </c>
      <c r="B12" s="90">
        <f>+B7</f>
        <v>140200.57</v>
      </c>
    </row>
    <row r="13" spans="1:4">
      <c r="A13" t="s">
        <v>57</v>
      </c>
      <c r="B13" s="10">
        <v>62256.7</v>
      </c>
      <c r="C13" s="5">
        <f>ROUND(B13/B12,4)</f>
        <v>0.44409999999999999</v>
      </c>
    </row>
    <row r="14" spans="1:4">
      <c r="A14" t="s">
        <v>58</v>
      </c>
      <c r="B14" s="84">
        <v>30821</v>
      </c>
      <c r="C14" s="13" t="s">
        <v>55</v>
      </c>
    </row>
    <row r="16" spans="1:4">
      <c r="A16" t="s">
        <v>10</v>
      </c>
      <c r="B16" s="85">
        <v>0</v>
      </c>
    </row>
    <row r="17" spans="1:5">
      <c r="A17" t="s">
        <v>11</v>
      </c>
      <c r="B17" s="85">
        <v>6722</v>
      </c>
    </row>
    <row r="18" spans="1:5" ht="15" thickBot="1">
      <c r="A18" t="s">
        <v>3</v>
      </c>
      <c r="B18" s="86">
        <f>+B16+B17</f>
        <v>6722</v>
      </c>
    </row>
    <row r="19" spans="1:5" ht="15" thickTop="1">
      <c r="B19" s="8"/>
    </row>
    <row r="21" spans="1:5">
      <c r="D21" s="2" t="s">
        <v>12</v>
      </c>
      <c r="E21" s="2" t="s">
        <v>13</v>
      </c>
    </row>
    <row r="22" spans="1:5">
      <c r="A22" s="17" t="s">
        <v>34</v>
      </c>
    </row>
    <row r="23" spans="1:5">
      <c r="A23" s="23" t="s">
        <v>35</v>
      </c>
    </row>
    <row r="24" spans="1:5">
      <c r="A24" t="s">
        <v>56</v>
      </c>
      <c r="D24" s="4">
        <f>(B16/B18)*B6</f>
        <v>0</v>
      </c>
      <c r="E24" s="5"/>
    </row>
    <row r="25" spans="1:5">
      <c r="A25" t="s">
        <v>36</v>
      </c>
      <c r="B25" s="3"/>
      <c r="D25" s="4"/>
      <c r="E25" s="5"/>
    </row>
    <row r="26" spans="1:5">
      <c r="A26" t="s">
        <v>33</v>
      </c>
      <c r="D26" s="6">
        <f>+B13</f>
        <v>62256.7</v>
      </c>
      <c r="E26" s="5"/>
    </row>
    <row r="27" spans="1:5">
      <c r="A27" s="19" t="s">
        <v>14</v>
      </c>
      <c r="D27" s="7">
        <f>+D24+D26</f>
        <v>62256.7</v>
      </c>
      <c r="E27" s="83">
        <f>ROUNDDOWN(D27/D31,4)</f>
        <v>0.44400000000000001</v>
      </c>
    </row>
    <row r="28" spans="1:5">
      <c r="A28" s="18"/>
      <c r="D28" s="7"/>
      <c r="E28" s="20"/>
    </row>
    <row r="29" spans="1:5">
      <c r="A29" s="19" t="s">
        <v>37</v>
      </c>
      <c r="D29" s="7">
        <f>+B12-D27</f>
        <v>77943.87000000001</v>
      </c>
      <c r="E29" s="22">
        <f>ROUNDUP(D29/D31,4)</f>
        <v>0.55599999999999994</v>
      </c>
    </row>
    <row r="30" spans="1:5">
      <c r="D30" s="7"/>
      <c r="E30" s="20"/>
    </row>
    <row r="31" spans="1:5" ht="15" thickBot="1">
      <c r="D31" s="11">
        <f>+D27+D29</f>
        <v>140200.57</v>
      </c>
      <c r="E31" s="21">
        <f>+E27+E29</f>
        <v>1</v>
      </c>
    </row>
    <row r="32" spans="1:5" ht="15" thickTop="1"/>
    <row r="35" spans="2:2">
      <c r="B35" s="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16" sqref="A16"/>
    </sheetView>
  </sheetViews>
  <sheetFormatPr defaultRowHeight="14.6"/>
  <cols>
    <col min="1" max="1" width="39.53515625" customWidth="1"/>
    <col min="2" max="2" width="12.53515625" customWidth="1"/>
    <col min="3" max="3" width="1.69140625" customWidth="1"/>
    <col min="4" max="4" width="16.3828125" customWidth="1"/>
    <col min="5" max="5" width="14.69140625" customWidth="1"/>
    <col min="6" max="6" width="14.3046875" customWidth="1"/>
    <col min="7" max="7" width="9.3046875" bestFit="1" customWidth="1"/>
    <col min="257" max="257" width="37.3046875" customWidth="1"/>
    <col min="258" max="258" width="16.15234375" customWidth="1"/>
    <col min="259" max="259" width="1.69140625" customWidth="1"/>
    <col min="260" max="260" width="16.3828125" customWidth="1"/>
    <col min="261" max="261" width="14.69140625" customWidth="1"/>
    <col min="262" max="262" width="14.3046875" customWidth="1"/>
    <col min="263" max="263" width="9.3046875" bestFit="1" customWidth="1"/>
    <col min="513" max="513" width="37.3046875" customWidth="1"/>
    <col min="514" max="514" width="16.15234375" customWidth="1"/>
    <col min="515" max="515" width="1.69140625" customWidth="1"/>
    <col min="516" max="516" width="16.3828125" customWidth="1"/>
    <col min="517" max="517" width="14.69140625" customWidth="1"/>
    <col min="518" max="518" width="14.3046875" customWidth="1"/>
    <col min="519" max="519" width="9.3046875" bestFit="1" customWidth="1"/>
    <col min="769" max="769" width="37.3046875" customWidth="1"/>
    <col min="770" max="770" width="16.15234375" customWidth="1"/>
    <col min="771" max="771" width="1.69140625" customWidth="1"/>
    <col min="772" max="772" width="16.3828125" customWidth="1"/>
    <col min="773" max="773" width="14.69140625" customWidth="1"/>
    <col min="774" max="774" width="14.3046875" customWidth="1"/>
    <col min="775" max="775" width="9.3046875" bestFit="1" customWidth="1"/>
    <col min="1025" max="1025" width="37.3046875" customWidth="1"/>
    <col min="1026" max="1026" width="16.15234375" customWidth="1"/>
    <col min="1027" max="1027" width="1.69140625" customWidth="1"/>
    <col min="1028" max="1028" width="16.3828125" customWidth="1"/>
    <col min="1029" max="1029" width="14.69140625" customWidth="1"/>
    <col min="1030" max="1030" width="14.3046875" customWidth="1"/>
    <col min="1031" max="1031" width="9.3046875" bestFit="1" customWidth="1"/>
    <col min="1281" max="1281" width="37.3046875" customWidth="1"/>
    <col min="1282" max="1282" width="16.15234375" customWidth="1"/>
    <col min="1283" max="1283" width="1.69140625" customWidth="1"/>
    <col min="1284" max="1284" width="16.3828125" customWidth="1"/>
    <col min="1285" max="1285" width="14.69140625" customWidth="1"/>
    <col min="1286" max="1286" width="14.3046875" customWidth="1"/>
    <col min="1287" max="1287" width="9.3046875" bestFit="1" customWidth="1"/>
    <col min="1537" max="1537" width="37.3046875" customWidth="1"/>
    <col min="1538" max="1538" width="16.15234375" customWidth="1"/>
    <col min="1539" max="1539" width="1.69140625" customWidth="1"/>
    <col min="1540" max="1540" width="16.3828125" customWidth="1"/>
    <col min="1541" max="1541" width="14.69140625" customWidth="1"/>
    <col min="1542" max="1542" width="14.3046875" customWidth="1"/>
    <col min="1543" max="1543" width="9.3046875" bestFit="1" customWidth="1"/>
    <col min="1793" max="1793" width="37.3046875" customWidth="1"/>
    <col min="1794" max="1794" width="16.15234375" customWidth="1"/>
    <col min="1795" max="1795" width="1.69140625" customWidth="1"/>
    <col min="1796" max="1796" width="16.3828125" customWidth="1"/>
    <col min="1797" max="1797" width="14.69140625" customWidth="1"/>
    <col min="1798" max="1798" width="14.3046875" customWidth="1"/>
    <col min="1799" max="1799" width="9.3046875" bestFit="1" customWidth="1"/>
    <col min="2049" max="2049" width="37.3046875" customWidth="1"/>
    <col min="2050" max="2050" width="16.15234375" customWidth="1"/>
    <col min="2051" max="2051" width="1.69140625" customWidth="1"/>
    <col min="2052" max="2052" width="16.3828125" customWidth="1"/>
    <col min="2053" max="2053" width="14.69140625" customWidth="1"/>
    <col min="2054" max="2054" width="14.3046875" customWidth="1"/>
    <col min="2055" max="2055" width="9.3046875" bestFit="1" customWidth="1"/>
    <col min="2305" max="2305" width="37.3046875" customWidth="1"/>
    <col min="2306" max="2306" width="16.15234375" customWidth="1"/>
    <col min="2307" max="2307" width="1.69140625" customWidth="1"/>
    <col min="2308" max="2308" width="16.3828125" customWidth="1"/>
    <col min="2309" max="2309" width="14.69140625" customWidth="1"/>
    <col min="2310" max="2310" width="14.3046875" customWidth="1"/>
    <col min="2311" max="2311" width="9.3046875" bestFit="1" customWidth="1"/>
    <col min="2561" max="2561" width="37.3046875" customWidth="1"/>
    <col min="2562" max="2562" width="16.15234375" customWidth="1"/>
    <col min="2563" max="2563" width="1.69140625" customWidth="1"/>
    <col min="2564" max="2564" width="16.3828125" customWidth="1"/>
    <col min="2565" max="2565" width="14.69140625" customWidth="1"/>
    <col min="2566" max="2566" width="14.3046875" customWidth="1"/>
    <col min="2567" max="2567" width="9.3046875" bestFit="1" customWidth="1"/>
    <col min="2817" max="2817" width="37.3046875" customWidth="1"/>
    <col min="2818" max="2818" width="16.15234375" customWidth="1"/>
    <col min="2819" max="2819" width="1.69140625" customWidth="1"/>
    <col min="2820" max="2820" width="16.3828125" customWidth="1"/>
    <col min="2821" max="2821" width="14.69140625" customWidth="1"/>
    <col min="2822" max="2822" width="14.3046875" customWidth="1"/>
    <col min="2823" max="2823" width="9.3046875" bestFit="1" customWidth="1"/>
    <col min="3073" max="3073" width="37.3046875" customWidth="1"/>
    <col min="3074" max="3074" width="16.15234375" customWidth="1"/>
    <col min="3075" max="3075" width="1.69140625" customWidth="1"/>
    <col min="3076" max="3076" width="16.3828125" customWidth="1"/>
    <col min="3077" max="3077" width="14.69140625" customWidth="1"/>
    <col min="3078" max="3078" width="14.3046875" customWidth="1"/>
    <col min="3079" max="3079" width="9.3046875" bestFit="1" customWidth="1"/>
    <col min="3329" max="3329" width="37.3046875" customWidth="1"/>
    <col min="3330" max="3330" width="16.15234375" customWidth="1"/>
    <col min="3331" max="3331" width="1.69140625" customWidth="1"/>
    <col min="3332" max="3332" width="16.3828125" customWidth="1"/>
    <col min="3333" max="3333" width="14.69140625" customWidth="1"/>
    <col min="3334" max="3334" width="14.3046875" customWidth="1"/>
    <col min="3335" max="3335" width="9.3046875" bestFit="1" customWidth="1"/>
    <col min="3585" max="3585" width="37.3046875" customWidth="1"/>
    <col min="3586" max="3586" width="16.15234375" customWidth="1"/>
    <col min="3587" max="3587" width="1.69140625" customWidth="1"/>
    <col min="3588" max="3588" width="16.3828125" customWidth="1"/>
    <col min="3589" max="3589" width="14.69140625" customWidth="1"/>
    <col min="3590" max="3590" width="14.3046875" customWidth="1"/>
    <col min="3591" max="3591" width="9.3046875" bestFit="1" customWidth="1"/>
    <col min="3841" max="3841" width="37.3046875" customWidth="1"/>
    <col min="3842" max="3842" width="16.15234375" customWidth="1"/>
    <col min="3843" max="3843" width="1.69140625" customWidth="1"/>
    <col min="3844" max="3844" width="16.3828125" customWidth="1"/>
    <col min="3845" max="3845" width="14.69140625" customWidth="1"/>
    <col min="3846" max="3846" width="14.3046875" customWidth="1"/>
    <col min="3847" max="3847" width="9.3046875" bestFit="1" customWidth="1"/>
    <col min="4097" max="4097" width="37.3046875" customWidth="1"/>
    <col min="4098" max="4098" width="16.15234375" customWidth="1"/>
    <col min="4099" max="4099" width="1.69140625" customWidth="1"/>
    <col min="4100" max="4100" width="16.3828125" customWidth="1"/>
    <col min="4101" max="4101" width="14.69140625" customWidth="1"/>
    <col min="4102" max="4102" width="14.3046875" customWidth="1"/>
    <col min="4103" max="4103" width="9.3046875" bestFit="1" customWidth="1"/>
    <col min="4353" max="4353" width="37.3046875" customWidth="1"/>
    <col min="4354" max="4354" width="16.15234375" customWidth="1"/>
    <col min="4355" max="4355" width="1.69140625" customWidth="1"/>
    <col min="4356" max="4356" width="16.3828125" customWidth="1"/>
    <col min="4357" max="4357" width="14.69140625" customWidth="1"/>
    <col min="4358" max="4358" width="14.3046875" customWidth="1"/>
    <col min="4359" max="4359" width="9.3046875" bestFit="1" customWidth="1"/>
    <col min="4609" max="4609" width="37.3046875" customWidth="1"/>
    <col min="4610" max="4610" width="16.15234375" customWidth="1"/>
    <col min="4611" max="4611" width="1.69140625" customWidth="1"/>
    <col min="4612" max="4612" width="16.3828125" customWidth="1"/>
    <col min="4613" max="4613" width="14.69140625" customWidth="1"/>
    <col min="4614" max="4614" width="14.3046875" customWidth="1"/>
    <col min="4615" max="4615" width="9.3046875" bestFit="1" customWidth="1"/>
    <col min="4865" max="4865" width="37.3046875" customWidth="1"/>
    <col min="4866" max="4866" width="16.15234375" customWidth="1"/>
    <col min="4867" max="4867" width="1.69140625" customWidth="1"/>
    <col min="4868" max="4868" width="16.3828125" customWidth="1"/>
    <col min="4869" max="4869" width="14.69140625" customWidth="1"/>
    <col min="4870" max="4870" width="14.3046875" customWidth="1"/>
    <col min="4871" max="4871" width="9.3046875" bestFit="1" customWidth="1"/>
    <col min="5121" max="5121" width="37.3046875" customWidth="1"/>
    <col min="5122" max="5122" width="16.15234375" customWidth="1"/>
    <col min="5123" max="5123" width="1.69140625" customWidth="1"/>
    <col min="5124" max="5124" width="16.3828125" customWidth="1"/>
    <col min="5125" max="5125" width="14.69140625" customWidth="1"/>
    <col min="5126" max="5126" width="14.3046875" customWidth="1"/>
    <col min="5127" max="5127" width="9.3046875" bestFit="1" customWidth="1"/>
    <col min="5377" max="5377" width="37.3046875" customWidth="1"/>
    <col min="5378" max="5378" width="16.15234375" customWidth="1"/>
    <col min="5379" max="5379" width="1.69140625" customWidth="1"/>
    <col min="5380" max="5380" width="16.3828125" customWidth="1"/>
    <col min="5381" max="5381" width="14.69140625" customWidth="1"/>
    <col min="5382" max="5382" width="14.3046875" customWidth="1"/>
    <col min="5383" max="5383" width="9.3046875" bestFit="1" customWidth="1"/>
    <col min="5633" max="5633" width="37.3046875" customWidth="1"/>
    <col min="5634" max="5634" width="16.15234375" customWidth="1"/>
    <col min="5635" max="5635" width="1.69140625" customWidth="1"/>
    <col min="5636" max="5636" width="16.3828125" customWidth="1"/>
    <col min="5637" max="5637" width="14.69140625" customWidth="1"/>
    <col min="5638" max="5638" width="14.3046875" customWidth="1"/>
    <col min="5639" max="5639" width="9.3046875" bestFit="1" customWidth="1"/>
    <col min="5889" max="5889" width="37.3046875" customWidth="1"/>
    <col min="5890" max="5890" width="16.15234375" customWidth="1"/>
    <col min="5891" max="5891" width="1.69140625" customWidth="1"/>
    <col min="5892" max="5892" width="16.3828125" customWidth="1"/>
    <col min="5893" max="5893" width="14.69140625" customWidth="1"/>
    <col min="5894" max="5894" width="14.3046875" customWidth="1"/>
    <col min="5895" max="5895" width="9.3046875" bestFit="1" customWidth="1"/>
    <col min="6145" max="6145" width="37.3046875" customWidth="1"/>
    <col min="6146" max="6146" width="16.15234375" customWidth="1"/>
    <col min="6147" max="6147" width="1.69140625" customWidth="1"/>
    <col min="6148" max="6148" width="16.3828125" customWidth="1"/>
    <col min="6149" max="6149" width="14.69140625" customWidth="1"/>
    <col min="6150" max="6150" width="14.3046875" customWidth="1"/>
    <col min="6151" max="6151" width="9.3046875" bestFit="1" customWidth="1"/>
    <col min="6401" max="6401" width="37.3046875" customWidth="1"/>
    <col min="6402" max="6402" width="16.15234375" customWidth="1"/>
    <col min="6403" max="6403" width="1.69140625" customWidth="1"/>
    <col min="6404" max="6404" width="16.3828125" customWidth="1"/>
    <col min="6405" max="6405" width="14.69140625" customWidth="1"/>
    <col min="6406" max="6406" width="14.3046875" customWidth="1"/>
    <col min="6407" max="6407" width="9.3046875" bestFit="1" customWidth="1"/>
    <col min="6657" max="6657" width="37.3046875" customWidth="1"/>
    <col min="6658" max="6658" width="16.15234375" customWidth="1"/>
    <col min="6659" max="6659" width="1.69140625" customWidth="1"/>
    <col min="6660" max="6660" width="16.3828125" customWidth="1"/>
    <col min="6661" max="6661" width="14.69140625" customWidth="1"/>
    <col min="6662" max="6662" width="14.3046875" customWidth="1"/>
    <col min="6663" max="6663" width="9.3046875" bestFit="1" customWidth="1"/>
    <col min="6913" max="6913" width="37.3046875" customWidth="1"/>
    <col min="6914" max="6914" width="16.15234375" customWidth="1"/>
    <col min="6915" max="6915" width="1.69140625" customWidth="1"/>
    <col min="6916" max="6916" width="16.3828125" customWidth="1"/>
    <col min="6917" max="6917" width="14.69140625" customWidth="1"/>
    <col min="6918" max="6918" width="14.3046875" customWidth="1"/>
    <col min="6919" max="6919" width="9.3046875" bestFit="1" customWidth="1"/>
    <col min="7169" max="7169" width="37.3046875" customWidth="1"/>
    <col min="7170" max="7170" width="16.15234375" customWidth="1"/>
    <col min="7171" max="7171" width="1.69140625" customWidth="1"/>
    <col min="7172" max="7172" width="16.3828125" customWidth="1"/>
    <col min="7173" max="7173" width="14.69140625" customWidth="1"/>
    <col min="7174" max="7174" width="14.3046875" customWidth="1"/>
    <col min="7175" max="7175" width="9.3046875" bestFit="1" customWidth="1"/>
    <col min="7425" max="7425" width="37.3046875" customWidth="1"/>
    <col min="7426" max="7426" width="16.15234375" customWidth="1"/>
    <col min="7427" max="7427" width="1.69140625" customWidth="1"/>
    <col min="7428" max="7428" width="16.3828125" customWidth="1"/>
    <col min="7429" max="7429" width="14.69140625" customWidth="1"/>
    <col min="7430" max="7430" width="14.3046875" customWidth="1"/>
    <col min="7431" max="7431" width="9.3046875" bestFit="1" customWidth="1"/>
    <col min="7681" max="7681" width="37.3046875" customWidth="1"/>
    <col min="7682" max="7682" width="16.15234375" customWidth="1"/>
    <col min="7683" max="7683" width="1.69140625" customWidth="1"/>
    <col min="7684" max="7684" width="16.3828125" customWidth="1"/>
    <col min="7685" max="7685" width="14.69140625" customWidth="1"/>
    <col min="7686" max="7686" width="14.3046875" customWidth="1"/>
    <col min="7687" max="7687" width="9.3046875" bestFit="1" customWidth="1"/>
    <col min="7937" max="7937" width="37.3046875" customWidth="1"/>
    <col min="7938" max="7938" width="16.15234375" customWidth="1"/>
    <col min="7939" max="7939" width="1.69140625" customWidth="1"/>
    <col min="7940" max="7940" width="16.3828125" customWidth="1"/>
    <col min="7941" max="7941" width="14.69140625" customWidth="1"/>
    <col min="7942" max="7942" width="14.3046875" customWidth="1"/>
    <col min="7943" max="7943" width="9.3046875" bestFit="1" customWidth="1"/>
    <col min="8193" max="8193" width="37.3046875" customWidth="1"/>
    <col min="8194" max="8194" width="16.15234375" customWidth="1"/>
    <col min="8195" max="8195" width="1.69140625" customWidth="1"/>
    <col min="8196" max="8196" width="16.3828125" customWidth="1"/>
    <col min="8197" max="8197" width="14.69140625" customWidth="1"/>
    <col min="8198" max="8198" width="14.3046875" customWidth="1"/>
    <col min="8199" max="8199" width="9.3046875" bestFit="1" customWidth="1"/>
    <col min="8449" max="8449" width="37.3046875" customWidth="1"/>
    <col min="8450" max="8450" width="16.15234375" customWidth="1"/>
    <col min="8451" max="8451" width="1.69140625" customWidth="1"/>
    <col min="8452" max="8452" width="16.3828125" customWidth="1"/>
    <col min="8453" max="8453" width="14.69140625" customWidth="1"/>
    <col min="8454" max="8454" width="14.3046875" customWidth="1"/>
    <col min="8455" max="8455" width="9.3046875" bestFit="1" customWidth="1"/>
    <col min="8705" max="8705" width="37.3046875" customWidth="1"/>
    <col min="8706" max="8706" width="16.15234375" customWidth="1"/>
    <col min="8707" max="8707" width="1.69140625" customWidth="1"/>
    <col min="8708" max="8708" width="16.3828125" customWidth="1"/>
    <col min="8709" max="8709" width="14.69140625" customWidth="1"/>
    <col min="8710" max="8710" width="14.3046875" customWidth="1"/>
    <col min="8711" max="8711" width="9.3046875" bestFit="1" customWidth="1"/>
    <col min="8961" max="8961" width="37.3046875" customWidth="1"/>
    <col min="8962" max="8962" width="16.15234375" customWidth="1"/>
    <col min="8963" max="8963" width="1.69140625" customWidth="1"/>
    <col min="8964" max="8964" width="16.3828125" customWidth="1"/>
    <col min="8965" max="8965" width="14.69140625" customWidth="1"/>
    <col min="8966" max="8966" width="14.3046875" customWidth="1"/>
    <col min="8967" max="8967" width="9.3046875" bestFit="1" customWidth="1"/>
    <col min="9217" max="9217" width="37.3046875" customWidth="1"/>
    <col min="9218" max="9218" width="16.15234375" customWidth="1"/>
    <col min="9219" max="9219" width="1.69140625" customWidth="1"/>
    <col min="9220" max="9220" width="16.3828125" customWidth="1"/>
    <col min="9221" max="9221" width="14.69140625" customWidth="1"/>
    <col min="9222" max="9222" width="14.3046875" customWidth="1"/>
    <col min="9223" max="9223" width="9.3046875" bestFit="1" customWidth="1"/>
    <col min="9473" max="9473" width="37.3046875" customWidth="1"/>
    <col min="9474" max="9474" width="16.15234375" customWidth="1"/>
    <col min="9475" max="9475" width="1.69140625" customWidth="1"/>
    <col min="9476" max="9476" width="16.3828125" customWidth="1"/>
    <col min="9477" max="9477" width="14.69140625" customWidth="1"/>
    <col min="9478" max="9478" width="14.3046875" customWidth="1"/>
    <col min="9479" max="9479" width="9.3046875" bestFit="1" customWidth="1"/>
    <col min="9729" max="9729" width="37.3046875" customWidth="1"/>
    <col min="9730" max="9730" width="16.15234375" customWidth="1"/>
    <col min="9731" max="9731" width="1.69140625" customWidth="1"/>
    <col min="9732" max="9732" width="16.3828125" customWidth="1"/>
    <col min="9733" max="9733" width="14.69140625" customWidth="1"/>
    <col min="9734" max="9734" width="14.3046875" customWidth="1"/>
    <col min="9735" max="9735" width="9.3046875" bestFit="1" customWidth="1"/>
    <col min="9985" max="9985" width="37.3046875" customWidth="1"/>
    <col min="9986" max="9986" width="16.15234375" customWidth="1"/>
    <col min="9987" max="9987" width="1.69140625" customWidth="1"/>
    <col min="9988" max="9988" width="16.3828125" customWidth="1"/>
    <col min="9989" max="9989" width="14.69140625" customWidth="1"/>
    <col min="9990" max="9990" width="14.3046875" customWidth="1"/>
    <col min="9991" max="9991" width="9.3046875" bestFit="1" customWidth="1"/>
    <col min="10241" max="10241" width="37.3046875" customWidth="1"/>
    <col min="10242" max="10242" width="16.15234375" customWidth="1"/>
    <col min="10243" max="10243" width="1.69140625" customWidth="1"/>
    <col min="10244" max="10244" width="16.3828125" customWidth="1"/>
    <col min="10245" max="10245" width="14.69140625" customWidth="1"/>
    <col min="10246" max="10246" width="14.3046875" customWidth="1"/>
    <col min="10247" max="10247" width="9.3046875" bestFit="1" customWidth="1"/>
    <col min="10497" max="10497" width="37.3046875" customWidth="1"/>
    <col min="10498" max="10498" width="16.15234375" customWidth="1"/>
    <col min="10499" max="10499" width="1.69140625" customWidth="1"/>
    <col min="10500" max="10500" width="16.3828125" customWidth="1"/>
    <col min="10501" max="10501" width="14.69140625" customWidth="1"/>
    <col min="10502" max="10502" width="14.3046875" customWidth="1"/>
    <col min="10503" max="10503" width="9.3046875" bestFit="1" customWidth="1"/>
    <col min="10753" max="10753" width="37.3046875" customWidth="1"/>
    <col min="10754" max="10754" width="16.15234375" customWidth="1"/>
    <col min="10755" max="10755" width="1.69140625" customWidth="1"/>
    <col min="10756" max="10756" width="16.3828125" customWidth="1"/>
    <col min="10757" max="10757" width="14.69140625" customWidth="1"/>
    <col min="10758" max="10758" width="14.3046875" customWidth="1"/>
    <col min="10759" max="10759" width="9.3046875" bestFit="1" customWidth="1"/>
    <col min="11009" max="11009" width="37.3046875" customWidth="1"/>
    <col min="11010" max="11010" width="16.15234375" customWidth="1"/>
    <col min="11011" max="11011" width="1.69140625" customWidth="1"/>
    <col min="11012" max="11012" width="16.3828125" customWidth="1"/>
    <col min="11013" max="11013" width="14.69140625" customWidth="1"/>
    <col min="11014" max="11014" width="14.3046875" customWidth="1"/>
    <col min="11015" max="11015" width="9.3046875" bestFit="1" customWidth="1"/>
    <col min="11265" max="11265" width="37.3046875" customWidth="1"/>
    <col min="11266" max="11266" width="16.15234375" customWidth="1"/>
    <col min="11267" max="11267" width="1.69140625" customWidth="1"/>
    <col min="11268" max="11268" width="16.3828125" customWidth="1"/>
    <col min="11269" max="11269" width="14.69140625" customWidth="1"/>
    <col min="11270" max="11270" width="14.3046875" customWidth="1"/>
    <col min="11271" max="11271" width="9.3046875" bestFit="1" customWidth="1"/>
    <col min="11521" max="11521" width="37.3046875" customWidth="1"/>
    <col min="11522" max="11522" width="16.15234375" customWidth="1"/>
    <col min="11523" max="11523" width="1.69140625" customWidth="1"/>
    <col min="11524" max="11524" width="16.3828125" customWidth="1"/>
    <col min="11525" max="11525" width="14.69140625" customWidth="1"/>
    <col min="11526" max="11526" width="14.3046875" customWidth="1"/>
    <col min="11527" max="11527" width="9.3046875" bestFit="1" customWidth="1"/>
    <col min="11777" max="11777" width="37.3046875" customWidth="1"/>
    <col min="11778" max="11778" width="16.15234375" customWidth="1"/>
    <col min="11779" max="11779" width="1.69140625" customWidth="1"/>
    <col min="11780" max="11780" width="16.3828125" customWidth="1"/>
    <col min="11781" max="11781" width="14.69140625" customWidth="1"/>
    <col min="11782" max="11782" width="14.3046875" customWidth="1"/>
    <col min="11783" max="11783" width="9.3046875" bestFit="1" customWidth="1"/>
    <col min="12033" max="12033" width="37.3046875" customWidth="1"/>
    <col min="12034" max="12034" width="16.15234375" customWidth="1"/>
    <col min="12035" max="12035" width="1.69140625" customWidth="1"/>
    <col min="12036" max="12036" width="16.3828125" customWidth="1"/>
    <col min="12037" max="12037" width="14.69140625" customWidth="1"/>
    <col min="12038" max="12038" width="14.3046875" customWidth="1"/>
    <col min="12039" max="12039" width="9.3046875" bestFit="1" customWidth="1"/>
    <col min="12289" max="12289" width="37.3046875" customWidth="1"/>
    <col min="12290" max="12290" width="16.15234375" customWidth="1"/>
    <col min="12291" max="12291" width="1.69140625" customWidth="1"/>
    <col min="12292" max="12292" width="16.3828125" customWidth="1"/>
    <col min="12293" max="12293" width="14.69140625" customWidth="1"/>
    <col min="12294" max="12294" width="14.3046875" customWidth="1"/>
    <col min="12295" max="12295" width="9.3046875" bestFit="1" customWidth="1"/>
    <col min="12545" max="12545" width="37.3046875" customWidth="1"/>
    <col min="12546" max="12546" width="16.15234375" customWidth="1"/>
    <col min="12547" max="12547" width="1.69140625" customWidth="1"/>
    <col min="12548" max="12548" width="16.3828125" customWidth="1"/>
    <col min="12549" max="12549" width="14.69140625" customWidth="1"/>
    <col min="12550" max="12550" width="14.3046875" customWidth="1"/>
    <col min="12551" max="12551" width="9.3046875" bestFit="1" customWidth="1"/>
    <col min="12801" max="12801" width="37.3046875" customWidth="1"/>
    <col min="12802" max="12802" width="16.15234375" customWidth="1"/>
    <col min="12803" max="12803" width="1.69140625" customWidth="1"/>
    <col min="12804" max="12804" width="16.3828125" customWidth="1"/>
    <col min="12805" max="12805" width="14.69140625" customWidth="1"/>
    <col min="12806" max="12806" width="14.3046875" customWidth="1"/>
    <col min="12807" max="12807" width="9.3046875" bestFit="1" customWidth="1"/>
    <col min="13057" max="13057" width="37.3046875" customWidth="1"/>
    <col min="13058" max="13058" width="16.15234375" customWidth="1"/>
    <col min="13059" max="13059" width="1.69140625" customWidth="1"/>
    <col min="13060" max="13060" width="16.3828125" customWidth="1"/>
    <col min="13061" max="13061" width="14.69140625" customWidth="1"/>
    <col min="13062" max="13062" width="14.3046875" customWidth="1"/>
    <col min="13063" max="13063" width="9.3046875" bestFit="1" customWidth="1"/>
    <col min="13313" max="13313" width="37.3046875" customWidth="1"/>
    <col min="13314" max="13314" width="16.15234375" customWidth="1"/>
    <col min="13315" max="13315" width="1.69140625" customWidth="1"/>
    <col min="13316" max="13316" width="16.3828125" customWidth="1"/>
    <col min="13317" max="13317" width="14.69140625" customWidth="1"/>
    <col min="13318" max="13318" width="14.3046875" customWidth="1"/>
    <col min="13319" max="13319" width="9.3046875" bestFit="1" customWidth="1"/>
    <col min="13569" max="13569" width="37.3046875" customWidth="1"/>
    <col min="13570" max="13570" width="16.15234375" customWidth="1"/>
    <col min="13571" max="13571" width="1.69140625" customWidth="1"/>
    <col min="13572" max="13572" width="16.3828125" customWidth="1"/>
    <col min="13573" max="13573" width="14.69140625" customWidth="1"/>
    <col min="13574" max="13574" width="14.3046875" customWidth="1"/>
    <col min="13575" max="13575" width="9.3046875" bestFit="1" customWidth="1"/>
    <col min="13825" max="13825" width="37.3046875" customWidth="1"/>
    <col min="13826" max="13826" width="16.15234375" customWidth="1"/>
    <col min="13827" max="13827" width="1.69140625" customWidth="1"/>
    <col min="13828" max="13828" width="16.3828125" customWidth="1"/>
    <col min="13829" max="13829" width="14.69140625" customWidth="1"/>
    <col min="13830" max="13830" width="14.3046875" customWidth="1"/>
    <col min="13831" max="13831" width="9.3046875" bestFit="1" customWidth="1"/>
    <col min="14081" max="14081" width="37.3046875" customWidth="1"/>
    <col min="14082" max="14082" width="16.15234375" customWidth="1"/>
    <col min="14083" max="14083" width="1.69140625" customWidth="1"/>
    <col min="14084" max="14084" width="16.3828125" customWidth="1"/>
    <col min="14085" max="14085" width="14.69140625" customWidth="1"/>
    <col min="14086" max="14086" width="14.3046875" customWidth="1"/>
    <col min="14087" max="14087" width="9.3046875" bestFit="1" customWidth="1"/>
    <col min="14337" max="14337" width="37.3046875" customWidth="1"/>
    <col min="14338" max="14338" width="16.15234375" customWidth="1"/>
    <col min="14339" max="14339" width="1.69140625" customWidth="1"/>
    <col min="14340" max="14340" width="16.3828125" customWidth="1"/>
    <col min="14341" max="14341" width="14.69140625" customWidth="1"/>
    <col min="14342" max="14342" width="14.3046875" customWidth="1"/>
    <col min="14343" max="14343" width="9.3046875" bestFit="1" customWidth="1"/>
    <col min="14593" max="14593" width="37.3046875" customWidth="1"/>
    <col min="14594" max="14594" width="16.15234375" customWidth="1"/>
    <col min="14595" max="14595" width="1.69140625" customWidth="1"/>
    <col min="14596" max="14596" width="16.3828125" customWidth="1"/>
    <col min="14597" max="14597" width="14.69140625" customWidth="1"/>
    <col min="14598" max="14598" width="14.3046875" customWidth="1"/>
    <col min="14599" max="14599" width="9.3046875" bestFit="1" customWidth="1"/>
    <col min="14849" max="14849" width="37.3046875" customWidth="1"/>
    <col min="14850" max="14850" width="16.15234375" customWidth="1"/>
    <col min="14851" max="14851" width="1.69140625" customWidth="1"/>
    <col min="14852" max="14852" width="16.3828125" customWidth="1"/>
    <col min="14853" max="14853" width="14.69140625" customWidth="1"/>
    <col min="14854" max="14854" width="14.3046875" customWidth="1"/>
    <col min="14855" max="14855" width="9.3046875" bestFit="1" customWidth="1"/>
    <col min="15105" max="15105" width="37.3046875" customWidth="1"/>
    <col min="15106" max="15106" width="16.15234375" customWidth="1"/>
    <col min="15107" max="15107" width="1.69140625" customWidth="1"/>
    <col min="15108" max="15108" width="16.3828125" customWidth="1"/>
    <col min="15109" max="15109" width="14.69140625" customWidth="1"/>
    <col min="15110" max="15110" width="14.3046875" customWidth="1"/>
    <col min="15111" max="15111" width="9.3046875" bestFit="1" customWidth="1"/>
    <col min="15361" max="15361" width="37.3046875" customWidth="1"/>
    <col min="15362" max="15362" width="16.15234375" customWidth="1"/>
    <col min="15363" max="15363" width="1.69140625" customWidth="1"/>
    <col min="15364" max="15364" width="16.3828125" customWidth="1"/>
    <col min="15365" max="15365" width="14.69140625" customWidth="1"/>
    <col min="15366" max="15366" width="14.3046875" customWidth="1"/>
    <col min="15367" max="15367" width="9.3046875" bestFit="1" customWidth="1"/>
    <col min="15617" max="15617" width="37.3046875" customWidth="1"/>
    <col min="15618" max="15618" width="16.15234375" customWidth="1"/>
    <col min="15619" max="15619" width="1.69140625" customWidth="1"/>
    <col min="15620" max="15620" width="16.3828125" customWidth="1"/>
    <col min="15621" max="15621" width="14.69140625" customWidth="1"/>
    <col min="15622" max="15622" width="14.3046875" customWidth="1"/>
    <col min="15623" max="15623" width="9.3046875" bestFit="1" customWidth="1"/>
    <col min="15873" max="15873" width="37.3046875" customWidth="1"/>
    <col min="15874" max="15874" width="16.15234375" customWidth="1"/>
    <col min="15875" max="15875" width="1.69140625" customWidth="1"/>
    <col min="15876" max="15876" width="16.3828125" customWidth="1"/>
    <col min="15877" max="15877" width="14.69140625" customWidth="1"/>
    <col min="15878" max="15878" width="14.3046875" customWidth="1"/>
    <col min="15879" max="15879" width="9.3046875" bestFit="1" customWidth="1"/>
    <col min="16129" max="16129" width="37.3046875" customWidth="1"/>
    <col min="16130" max="16130" width="16.15234375" customWidth="1"/>
    <col min="16131" max="16131" width="1.69140625" customWidth="1"/>
    <col min="16132" max="16132" width="16.3828125" customWidth="1"/>
    <col min="16133" max="16133" width="14.69140625" customWidth="1"/>
    <col min="16134" max="16134" width="14.3046875" customWidth="1"/>
    <col min="16135" max="16135" width="9.3046875" bestFit="1" customWidth="1"/>
  </cols>
  <sheetData>
    <row r="1" spans="1:6" ht="18.45">
      <c r="A1" s="14" t="s">
        <v>6</v>
      </c>
    </row>
    <row r="2" spans="1:6">
      <c r="A2" s="15" t="s">
        <v>7</v>
      </c>
      <c r="B2" s="18"/>
      <c r="C2" s="18"/>
      <c r="D2" s="18"/>
      <c r="E2" s="18"/>
      <c r="F2" s="18"/>
    </row>
    <row r="3" spans="1:6">
      <c r="A3" s="15"/>
      <c r="B3" s="18"/>
      <c r="C3" s="18"/>
      <c r="D3" s="18"/>
      <c r="E3" s="18"/>
      <c r="F3" s="18"/>
    </row>
    <row r="4" spans="1:6">
      <c r="A4" s="16" t="s">
        <v>8</v>
      </c>
      <c r="B4" s="18"/>
      <c r="C4" s="18"/>
      <c r="D4" s="18"/>
      <c r="E4" s="18"/>
      <c r="F4" s="18"/>
    </row>
    <row r="5" spans="1:6">
      <c r="A5" s="46" t="s">
        <v>45</v>
      </c>
      <c r="B5" s="18"/>
      <c r="C5" s="18"/>
      <c r="D5" s="18"/>
      <c r="E5" s="18"/>
      <c r="F5" s="18"/>
    </row>
    <row r="6" spans="1:6">
      <c r="A6" s="47"/>
      <c r="B6" s="48"/>
      <c r="C6" s="49"/>
      <c r="D6" s="50" t="s">
        <v>0</v>
      </c>
      <c r="E6" s="48" t="s">
        <v>1</v>
      </c>
      <c r="F6" s="29"/>
    </row>
    <row r="7" spans="1:6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6">
      <c r="A8" s="31"/>
      <c r="B8" s="31"/>
      <c r="C8" s="31"/>
      <c r="D8" s="55"/>
      <c r="E8" s="56"/>
      <c r="F8" s="32"/>
    </row>
    <row r="9" spans="1:6">
      <c r="A9" s="57" t="s">
        <v>47</v>
      </c>
      <c r="B9" s="33"/>
      <c r="C9" s="33"/>
      <c r="D9" s="55"/>
      <c r="E9" s="56"/>
      <c r="F9" s="32"/>
    </row>
    <row r="10" spans="1:6">
      <c r="A10" s="58" t="s">
        <v>4</v>
      </c>
      <c r="B10" s="34"/>
      <c r="C10" s="34"/>
      <c r="D10" s="59">
        <f>+'ye 07-ABP 2008'!E27</f>
        <v>0.44400000000000001</v>
      </c>
      <c r="E10" s="60">
        <f>+'ye 07-ABP 2008'!E29</f>
        <v>0.55599999999999994</v>
      </c>
      <c r="F10" s="80">
        <f>+D10+E10</f>
        <v>1</v>
      </c>
    </row>
    <row r="11" spans="1:6">
      <c r="A11" s="61" t="s">
        <v>38</v>
      </c>
      <c r="B11" s="34">
        <v>43680.11</v>
      </c>
      <c r="C11" s="34"/>
      <c r="D11" s="62">
        <f>+B11*D10</f>
        <v>19393.968840000001</v>
      </c>
      <c r="E11" s="63">
        <f>+B11*E10</f>
        <v>24286.141159999999</v>
      </c>
      <c r="F11" s="35">
        <f>+D11+E11</f>
        <v>43680.11</v>
      </c>
    </row>
    <row r="12" spans="1:6">
      <c r="A12" s="61"/>
      <c r="B12" s="34"/>
      <c r="C12" s="34"/>
      <c r="D12" s="62"/>
      <c r="E12" s="63"/>
      <c r="F12" s="32"/>
    </row>
    <row r="13" spans="1:6">
      <c r="A13" s="36"/>
      <c r="B13" s="37"/>
      <c r="C13" s="34"/>
      <c r="D13" s="64"/>
      <c r="E13" s="65"/>
      <c r="F13" s="38"/>
    </row>
    <row r="14" spans="1:6">
      <c r="A14" s="57" t="s">
        <v>5</v>
      </c>
      <c r="B14" s="34"/>
      <c r="C14" s="34"/>
      <c r="D14" s="66"/>
      <c r="E14" s="67"/>
      <c r="F14" s="32"/>
    </row>
    <row r="15" spans="1:6">
      <c r="A15" s="68" t="s">
        <v>96</v>
      </c>
      <c r="B15" s="34">
        <v>66225.88</v>
      </c>
      <c r="C15" s="34"/>
      <c r="D15" s="69">
        <v>0</v>
      </c>
      <c r="E15" s="70">
        <f>+B15</f>
        <v>66225.88</v>
      </c>
      <c r="F15" s="35">
        <f>+D15+E15</f>
        <v>66225.88</v>
      </c>
    </row>
    <row r="16" spans="1:6">
      <c r="A16" s="68" t="s">
        <v>75</v>
      </c>
      <c r="B16" s="34">
        <v>0</v>
      </c>
      <c r="C16" s="34"/>
      <c r="D16" s="71">
        <f>+B16</f>
        <v>0</v>
      </c>
      <c r="E16" s="72">
        <v>0</v>
      </c>
      <c r="F16" s="35">
        <f>+D16+E16</f>
        <v>0</v>
      </c>
    </row>
    <row r="17" spans="1:6">
      <c r="A17" s="82" t="s">
        <v>38</v>
      </c>
      <c r="B17" s="39">
        <f>SUM(B15:B16)</f>
        <v>66225.88</v>
      </c>
      <c r="C17" s="34"/>
      <c r="D17" s="40">
        <f>SUM(D15:D16)</f>
        <v>0</v>
      </c>
      <c r="E17" s="41">
        <f>SUM(E15:E16)</f>
        <v>66225.88</v>
      </c>
      <c r="F17" s="41">
        <f>SUM(F15:F16)</f>
        <v>66225.88</v>
      </c>
    </row>
    <row r="18" spans="1:6">
      <c r="A18" s="42"/>
      <c r="B18" s="43"/>
      <c r="C18" s="44"/>
      <c r="D18" s="45"/>
      <c r="E18" s="43"/>
      <c r="F18" s="32"/>
    </row>
    <row r="19" spans="1:6">
      <c r="A19" s="88" t="s">
        <v>46</v>
      </c>
      <c r="B19" s="73">
        <f>+B11+B17</f>
        <v>109905.99</v>
      </c>
      <c r="C19" s="73"/>
      <c r="D19" s="74">
        <f>+D11+D17</f>
        <v>19393.968840000001</v>
      </c>
      <c r="E19" s="75">
        <f>+E11+E17</f>
        <v>90512.021160000004</v>
      </c>
      <c r="F19" s="76">
        <f>+D19+E19</f>
        <v>109905.99</v>
      </c>
    </row>
    <row r="20" spans="1:6" ht="15" thickBot="1">
      <c r="A20" s="77" t="s">
        <v>39</v>
      </c>
      <c r="B20" s="78">
        <f>+E20+D20</f>
        <v>1</v>
      </c>
      <c r="C20" s="67"/>
      <c r="D20" s="79">
        <f>ROUND(D19/F19,4)</f>
        <v>0.17649999999999999</v>
      </c>
      <c r="E20" s="78">
        <f>ROUND(E19/F19,4)</f>
        <v>0.82350000000000001</v>
      </c>
      <c r="F20" s="81">
        <f>+D20+E20</f>
        <v>1</v>
      </c>
    </row>
    <row r="21" spans="1:6" ht="15" thickTop="1"/>
  </sheetData>
  <pageMargins left="0.23" right="0.1968503937007874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16" sqref="A16"/>
    </sheetView>
  </sheetViews>
  <sheetFormatPr defaultRowHeight="14.6"/>
  <cols>
    <col min="1" max="1" width="39.3828125" customWidth="1"/>
    <col min="2" max="2" width="13.3046875" customWidth="1"/>
    <col min="3" max="3" width="1.69140625" customWidth="1"/>
    <col min="4" max="4" width="16.3828125" customWidth="1"/>
    <col min="5" max="5" width="14.69140625" customWidth="1"/>
    <col min="6" max="6" width="14.3046875" customWidth="1"/>
    <col min="7" max="7" width="9.3046875" bestFit="1" customWidth="1"/>
    <col min="257" max="257" width="37.3046875" customWidth="1"/>
    <col min="258" max="258" width="16.15234375" customWidth="1"/>
    <col min="259" max="259" width="1.69140625" customWidth="1"/>
    <col min="260" max="260" width="16.3828125" customWidth="1"/>
    <col min="261" max="261" width="14.69140625" customWidth="1"/>
    <col min="262" max="262" width="14.3046875" customWidth="1"/>
    <col min="263" max="263" width="9.3046875" bestFit="1" customWidth="1"/>
    <col min="513" max="513" width="37.3046875" customWidth="1"/>
    <col min="514" max="514" width="16.15234375" customWidth="1"/>
    <col min="515" max="515" width="1.69140625" customWidth="1"/>
    <col min="516" max="516" width="16.3828125" customWidth="1"/>
    <col min="517" max="517" width="14.69140625" customWidth="1"/>
    <col min="518" max="518" width="14.3046875" customWidth="1"/>
    <col min="519" max="519" width="9.3046875" bestFit="1" customWidth="1"/>
    <col min="769" max="769" width="37.3046875" customWidth="1"/>
    <col min="770" max="770" width="16.15234375" customWidth="1"/>
    <col min="771" max="771" width="1.69140625" customWidth="1"/>
    <col min="772" max="772" width="16.3828125" customWidth="1"/>
    <col min="773" max="773" width="14.69140625" customWidth="1"/>
    <col min="774" max="774" width="14.3046875" customWidth="1"/>
    <col min="775" max="775" width="9.3046875" bestFit="1" customWidth="1"/>
    <col min="1025" max="1025" width="37.3046875" customWidth="1"/>
    <col min="1026" max="1026" width="16.15234375" customWidth="1"/>
    <col min="1027" max="1027" width="1.69140625" customWidth="1"/>
    <col min="1028" max="1028" width="16.3828125" customWidth="1"/>
    <col min="1029" max="1029" width="14.69140625" customWidth="1"/>
    <col min="1030" max="1030" width="14.3046875" customWidth="1"/>
    <col min="1031" max="1031" width="9.3046875" bestFit="1" customWidth="1"/>
    <col min="1281" max="1281" width="37.3046875" customWidth="1"/>
    <col min="1282" max="1282" width="16.15234375" customWidth="1"/>
    <col min="1283" max="1283" width="1.69140625" customWidth="1"/>
    <col min="1284" max="1284" width="16.3828125" customWidth="1"/>
    <col min="1285" max="1285" width="14.69140625" customWidth="1"/>
    <col min="1286" max="1286" width="14.3046875" customWidth="1"/>
    <col min="1287" max="1287" width="9.3046875" bestFit="1" customWidth="1"/>
    <col min="1537" max="1537" width="37.3046875" customWidth="1"/>
    <col min="1538" max="1538" width="16.15234375" customWidth="1"/>
    <col min="1539" max="1539" width="1.69140625" customWidth="1"/>
    <col min="1540" max="1540" width="16.3828125" customWidth="1"/>
    <col min="1541" max="1541" width="14.69140625" customWidth="1"/>
    <col min="1542" max="1542" width="14.3046875" customWidth="1"/>
    <col min="1543" max="1543" width="9.3046875" bestFit="1" customWidth="1"/>
    <col min="1793" max="1793" width="37.3046875" customWidth="1"/>
    <col min="1794" max="1794" width="16.15234375" customWidth="1"/>
    <col min="1795" max="1795" width="1.69140625" customWidth="1"/>
    <col min="1796" max="1796" width="16.3828125" customWidth="1"/>
    <col min="1797" max="1797" width="14.69140625" customWidth="1"/>
    <col min="1798" max="1798" width="14.3046875" customWidth="1"/>
    <col min="1799" max="1799" width="9.3046875" bestFit="1" customWidth="1"/>
    <col min="2049" max="2049" width="37.3046875" customWidth="1"/>
    <col min="2050" max="2050" width="16.15234375" customWidth="1"/>
    <col min="2051" max="2051" width="1.69140625" customWidth="1"/>
    <col min="2052" max="2052" width="16.3828125" customWidth="1"/>
    <col min="2053" max="2053" width="14.69140625" customWidth="1"/>
    <col min="2054" max="2054" width="14.3046875" customWidth="1"/>
    <col min="2055" max="2055" width="9.3046875" bestFit="1" customWidth="1"/>
    <col min="2305" max="2305" width="37.3046875" customWidth="1"/>
    <col min="2306" max="2306" width="16.15234375" customWidth="1"/>
    <col min="2307" max="2307" width="1.69140625" customWidth="1"/>
    <col min="2308" max="2308" width="16.3828125" customWidth="1"/>
    <col min="2309" max="2309" width="14.69140625" customWidth="1"/>
    <col min="2310" max="2310" width="14.3046875" customWidth="1"/>
    <col min="2311" max="2311" width="9.3046875" bestFit="1" customWidth="1"/>
    <col min="2561" max="2561" width="37.3046875" customWidth="1"/>
    <col min="2562" max="2562" width="16.15234375" customWidth="1"/>
    <col min="2563" max="2563" width="1.69140625" customWidth="1"/>
    <col min="2564" max="2564" width="16.3828125" customWidth="1"/>
    <col min="2565" max="2565" width="14.69140625" customWidth="1"/>
    <col min="2566" max="2566" width="14.3046875" customWidth="1"/>
    <col min="2567" max="2567" width="9.3046875" bestFit="1" customWidth="1"/>
    <col min="2817" max="2817" width="37.3046875" customWidth="1"/>
    <col min="2818" max="2818" width="16.15234375" customWidth="1"/>
    <col min="2819" max="2819" width="1.69140625" customWidth="1"/>
    <col min="2820" max="2820" width="16.3828125" customWidth="1"/>
    <col min="2821" max="2821" width="14.69140625" customWidth="1"/>
    <col min="2822" max="2822" width="14.3046875" customWidth="1"/>
    <col min="2823" max="2823" width="9.3046875" bestFit="1" customWidth="1"/>
    <col min="3073" max="3073" width="37.3046875" customWidth="1"/>
    <col min="3074" max="3074" width="16.15234375" customWidth="1"/>
    <col min="3075" max="3075" width="1.69140625" customWidth="1"/>
    <col min="3076" max="3076" width="16.3828125" customWidth="1"/>
    <col min="3077" max="3077" width="14.69140625" customWidth="1"/>
    <col min="3078" max="3078" width="14.3046875" customWidth="1"/>
    <col min="3079" max="3079" width="9.3046875" bestFit="1" customWidth="1"/>
    <col min="3329" max="3329" width="37.3046875" customWidth="1"/>
    <col min="3330" max="3330" width="16.15234375" customWidth="1"/>
    <col min="3331" max="3331" width="1.69140625" customWidth="1"/>
    <col min="3332" max="3332" width="16.3828125" customWidth="1"/>
    <col min="3333" max="3333" width="14.69140625" customWidth="1"/>
    <col min="3334" max="3334" width="14.3046875" customWidth="1"/>
    <col min="3335" max="3335" width="9.3046875" bestFit="1" customWidth="1"/>
    <col min="3585" max="3585" width="37.3046875" customWidth="1"/>
    <col min="3586" max="3586" width="16.15234375" customWidth="1"/>
    <col min="3587" max="3587" width="1.69140625" customWidth="1"/>
    <col min="3588" max="3588" width="16.3828125" customWidth="1"/>
    <col min="3589" max="3589" width="14.69140625" customWidth="1"/>
    <col min="3590" max="3590" width="14.3046875" customWidth="1"/>
    <col min="3591" max="3591" width="9.3046875" bestFit="1" customWidth="1"/>
    <col min="3841" max="3841" width="37.3046875" customWidth="1"/>
    <col min="3842" max="3842" width="16.15234375" customWidth="1"/>
    <col min="3843" max="3843" width="1.69140625" customWidth="1"/>
    <col min="3844" max="3844" width="16.3828125" customWidth="1"/>
    <col min="3845" max="3845" width="14.69140625" customWidth="1"/>
    <col min="3846" max="3846" width="14.3046875" customWidth="1"/>
    <col min="3847" max="3847" width="9.3046875" bestFit="1" customWidth="1"/>
    <col min="4097" max="4097" width="37.3046875" customWidth="1"/>
    <col min="4098" max="4098" width="16.15234375" customWidth="1"/>
    <col min="4099" max="4099" width="1.69140625" customWidth="1"/>
    <col min="4100" max="4100" width="16.3828125" customWidth="1"/>
    <col min="4101" max="4101" width="14.69140625" customWidth="1"/>
    <col min="4102" max="4102" width="14.3046875" customWidth="1"/>
    <col min="4103" max="4103" width="9.3046875" bestFit="1" customWidth="1"/>
    <col min="4353" max="4353" width="37.3046875" customWidth="1"/>
    <col min="4354" max="4354" width="16.15234375" customWidth="1"/>
    <col min="4355" max="4355" width="1.69140625" customWidth="1"/>
    <col min="4356" max="4356" width="16.3828125" customWidth="1"/>
    <col min="4357" max="4357" width="14.69140625" customWidth="1"/>
    <col min="4358" max="4358" width="14.3046875" customWidth="1"/>
    <col min="4359" max="4359" width="9.3046875" bestFit="1" customWidth="1"/>
    <col min="4609" max="4609" width="37.3046875" customWidth="1"/>
    <col min="4610" max="4610" width="16.15234375" customWidth="1"/>
    <col min="4611" max="4611" width="1.69140625" customWidth="1"/>
    <col min="4612" max="4612" width="16.3828125" customWidth="1"/>
    <col min="4613" max="4613" width="14.69140625" customWidth="1"/>
    <col min="4614" max="4614" width="14.3046875" customWidth="1"/>
    <col min="4615" max="4615" width="9.3046875" bestFit="1" customWidth="1"/>
    <col min="4865" max="4865" width="37.3046875" customWidth="1"/>
    <col min="4866" max="4866" width="16.15234375" customWidth="1"/>
    <col min="4867" max="4867" width="1.69140625" customWidth="1"/>
    <col min="4868" max="4868" width="16.3828125" customWidth="1"/>
    <col min="4869" max="4869" width="14.69140625" customWidth="1"/>
    <col min="4870" max="4870" width="14.3046875" customWidth="1"/>
    <col min="4871" max="4871" width="9.3046875" bestFit="1" customWidth="1"/>
    <col min="5121" max="5121" width="37.3046875" customWidth="1"/>
    <col min="5122" max="5122" width="16.15234375" customWidth="1"/>
    <col min="5123" max="5123" width="1.69140625" customWidth="1"/>
    <col min="5124" max="5124" width="16.3828125" customWidth="1"/>
    <col min="5125" max="5125" width="14.69140625" customWidth="1"/>
    <col min="5126" max="5126" width="14.3046875" customWidth="1"/>
    <col min="5127" max="5127" width="9.3046875" bestFit="1" customWidth="1"/>
    <col min="5377" max="5377" width="37.3046875" customWidth="1"/>
    <col min="5378" max="5378" width="16.15234375" customWidth="1"/>
    <col min="5379" max="5379" width="1.69140625" customWidth="1"/>
    <col min="5380" max="5380" width="16.3828125" customWidth="1"/>
    <col min="5381" max="5381" width="14.69140625" customWidth="1"/>
    <col min="5382" max="5382" width="14.3046875" customWidth="1"/>
    <col min="5383" max="5383" width="9.3046875" bestFit="1" customWidth="1"/>
    <col min="5633" max="5633" width="37.3046875" customWidth="1"/>
    <col min="5634" max="5634" width="16.15234375" customWidth="1"/>
    <col min="5635" max="5635" width="1.69140625" customWidth="1"/>
    <col min="5636" max="5636" width="16.3828125" customWidth="1"/>
    <col min="5637" max="5637" width="14.69140625" customWidth="1"/>
    <col min="5638" max="5638" width="14.3046875" customWidth="1"/>
    <col min="5639" max="5639" width="9.3046875" bestFit="1" customWidth="1"/>
    <col min="5889" max="5889" width="37.3046875" customWidth="1"/>
    <col min="5890" max="5890" width="16.15234375" customWidth="1"/>
    <col min="5891" max="5891" width="1.69140625" customWidth="1"/>
    <col min="5892" max="5892" width="16.3828125" customWidth="1"/>
    <col min="5893" max="5893" width="14.69140625" customWidth="1"/>
    <col min="5894" max="5894" width="14.3046875" customWidth="1"/>
    <col min="5895" max="5895" width="9.3046875" bestFit="1" customWidth="1"/>
    <col min="6145" max="6145" width="37.3046875" customWidth="1"/>
    <col min="6146" max="6146" width="16.15234375" customWidth="1"/>
    <col min="6147" max="6147" width="1.69140625" customWidth="1"/>
    <col min="6148" max="6148" width="16.3828125" customWidth="1"/>
    <col min="6149" max="6149" width="14.69140625" customWidth="1"/>
    <col min="6150" max="6150" width="14.3046875" customWidth="1"/>
    <col min="6151" max="6151" width="9.3046875" bestFit="1" customWidth="1"/>
    <col min="6401" max="6401" width="37.3046875" customWidth="1"/>
    <col min="6402" max="6402" width="16.15234375" customWidth="1"/>
    <col min="6403" max="6403" width="1.69140625" customWidth="1"/>
    <col min="6404" max="6404" width="16.3828125" customWidth="1"/>
    <col min="6405" max="6405" width="14.69140625" customWidth="1"/>
    <col min="6406" max="6406" width="14.3046875" customWidth="1"/>
    <col min="6407" max="6407" width="9.3046875" bestFit="1" customWidth="1"/>
    <col min="6657" max="6657" width="37.3046875" customWidth="1"/>
    <col min="6658" max="6658" width="16.15234375" customWidth="1"/>
    <col min="6659" max="6659" width="1.69140625" customWidth="1"/>
    <col min="6660" max="6660" width="16.3828125" customWidth="1"/>
    <col min="6661" max="6661" width="14.69140625" customWidth="1"/>
    <col min="6662" max="6662" width="14.3046875" customWidth="1"/>
    <col min="6663" max="6663" width="9.3046875" bestFit="1" customWidth="1"/>
    <col min="6913" max="6913" width="37.3046875" customWidth="1"/>
    <col min="6914" max="6914" width="16.15234375" customWidth="1"/>
    <col min="6915" max="6915" width="1.69140625" customWidth="1"/>
    <col min="6916" max="6916" width="16.3828125" customWidth="1"/>
    <col min="6917" max="6917" width="14.69140625" customWidth="1"/>
    <col min="6918" max="6918" width="14.3046875" customWidth="1"/>
    <col min="6919" max="6919" width="9.3046875" bestFit="1" customWidth="1"/>
    <col min="7169" max="7169" width="37.3046875" customWidth="1"/>
    <col min="7170" max="7170" width="16.15234375" customWidth="1"/>
    <col min="7171" max="7171" width="1.69140625" customWidth="1"/>
    <col min="7172" max="7172" width="16.3828125" customWidth="1"/>
    <col min="7173" max="7173" width="14.69140625" customWidth="1"/>
    <col min="7174" max="7174" width="14.3046875" customWidth="1"/>
    <col min="7175" max="7175" width="9.3046875" bestFit="1" customWidth="1"/>
    <col min="7425" max="7425" width="37.3046875" customWidth="1"/>
    <col min="7426" max="7426" width="16.15234375" customWidth="1"/>
    <col min="7427" max="7427" width="1.69140625" customWidth="1"/>
    <col min="7428" max="7428" width="16.3828125" customWidth="1"/>
    <col min="7429" max="7429" width="14.69140625" customWidth="1"/>
    <col min="7430" max="7430" width="14.3046875" customWidth="1"/>
    <col min="7431" max="7431" width="9.3046875" bestFit="1" customWidth="1"/>
    <col min="7681" max="7681" width="37.3046875" customWidth="1"/>
    <col min="7682" max="7682" width="16.15234375" customWidth="1"/>
    <col min="7683" max="7683" width="1.69140625" customWidth="1"/>
    <col min="7684" max="7684" width="16.3828125" customWidth="1"/>
    <col min="7685" max="7685" width="14.69140625" customWidth="1"/>
    <col min="7686" max="7686" width="14.3046875" customWidth="1"/>
    <col min="7687" max="7687" width="9.3046875" bestFit="1" customWidth="1"/>
    <col min="7937" max="7937" width="37.3046875" customWidth="1"/>
    <col min="7938" max="7938" width="16.15234375" customWidth="1"/>
    <col min="7939" max="7939" width="1.69140625" customWidth="1"/>
    <col min="7940" max="7940" width="16.3828125" customWidth="1"/>
    <col min="7941" max="7941" width="14.69140625" customWidth="1"/>
    <col min="7942" max="7942" width="14.3046875" customWidth="1"/>
    <col min="7943" max="7943" width="9.3046875" bestFit="1" customWidth="1"/>
    <col min="8193" max="8193" width="37.3046875" customWidth="1"/>
    <col min="8194" max="8194" width="16.15234375" customWidth="1"/>
    <col min="8195" max="8195" width="1.69140625" customWidth="1"/>
    <col min="8196" max="8196" width="16.3828125" customWidth="1"/>
    <col min="8197" max="8197" width="14.69140625" customWidth="1"/>
    <col min="8198" max="8198" width="14.3046875" customWidth="1"/>
    <col min="8199" max="8199" width="9.3046875" bestFit="1" customWidth="1"/>
    <col min="8449" max="8449" width="37.3046875" customWidth="1"/>
    <col min="8450" max="8450" width="16.15234375" customWidth="1"/>
    <col min="8451" max="8451" width="1.69140625" customWidth="1"/>
    <col min="8452" max="8452" width="16.3828125" customWidth="1"/>
    <col min="8453" max="8453" width="14.69140625" customWidth="1"/>
    <col min="8454" max="8454" width="14.3046875" customWidth="1"/>
    <col min="8455" max="8455" width="9.3046875" bestFit="1" customWidth="1"/>
    <col min="8705" max="8705" width="37.3046875" customWidth="1"/>
    <col min="8706" max="8706" width="16.15234375" customWidth="1"/>
    <col min="8707" max="8707" width="1.69140625" customWidth="1"/>
    <col min="8708" max="8708" width="16.3828125" customWidth="1"/>
    <col min="8709" max="8709" width="14.69140625" customWidth="1"/>
    <col min="8710" max="8710" width="14.3046875" customWidth="1"/>
    <col min="8711" max="8711" width="9.3046875" bestFit="1" customWidth="1"/>
    <col min="8961" max="8961" width="37.3046875" customWidth="1"/>
    <col min="8962" max="8962" width="16.15234375" customWidth="1"/>
    <col min="8963" max="8963" width="1.69140625" customWidth="1"/>
    <col min="8964" max="8964" width="16.3828125" customWidth="1"/>
    <col min="8965" max="8965" width="14.69140625" customWidth="1"/>
    <col min="8966" max="8966" width="14.3046875" customWidth="1"/>
    <col min="8967" max="8967" width="9.3046875" bestFit="1" customWidth="1"/>
    <col min="9217" max="9217" width="37.3046875" customWidth="1"/>
    <col min="9218" max="9218" width="16.15234375" customWidth="1"/>
    <col min="9219" max="9219" width="1.69140625" customWidth="1"/>
    <col min="9220" max="9220" width="16.3828125" customWidth="1"/>
    <col min="9221" max="9221" width="14.69140625" customWidth="1"/>
    <col min="9222" max="9222" width="14.3046875" customWidth="1"/>
    <col min="9223" max="9223" width="9.3046875" bestFit="1" customWidth="1"/>
    <col min="9473" max="9473" width="37.3046875" customWidth="1"/>
    <col min="9474" max="9474" width="16.15234375" customWidth="1"/>
    <col min="9475" max="9475" width="1.69140625" customWidth="1"/>
    <col min="9476" max="9476" width="16.3828125" customWidth="1"/>
    <col min="9477" max="9477" width="14.69140625" customWidth="1"/>
    <col min="9478" max="9478" width="14.3046875" customWidth="1"/>
    <col min="9479" max="9479" width="9.3046875" bestFit="1" customWidth="1"/>
    <col min="9729" max="9729" width="37.3046875" customWidth="1"/>
    <col min="9730" max="9730" width="16.15234375" customWidth="1"/>
    <col min="9731" max="9731" width="1.69140625" customWidth="1"/>
    <col min="9732" max="9732" width="16.3828125" customWidth="1"/>
    <col min="9733" max="9733" width="14.69140625" customWidth="1"/>
    <col min="9734" max="9734" width="14.3046875" customWidth="1"/>
    <col min="9735" max="9735" width="9.3046875" bestFit="1" customWidth="1"/>
    <col min="9985" max="9985" width="37.3046875" customWidth="1"/>
    <col min="9986" max="9986" width="16.15234375" customWidth="1"/>
    <col min="9987" max="9987" width="1.69140625" customWidth="1"/>
    <col min="9988" max="9988" width="16.3828125" customWidth="1"/>
    <col min="9989" max="9989" width="14.69140625" customWidth="1"/>
    <col min="9990" max="9990" width="14.3046875" customWidth="1"/>
    <col min="9991" max="9991" width="9.3046875" bestFit="1" customWidth="1"/>
    <col min="10241" max="10241" width="37.3046875" customWidth="1"/>
    <col min="10242" max="10242" width="16.15234375" customWidth="1"/>
    <col min="10243" max="10243" width="1.69140625" customWidth="1"/>
    <col min="10244" max="10244" width="16.3828125" customWidth="1"/>
    <col min="10245" max="10245" width="14.69140625" customWidth="1"/>
    <col min="10246" max="10246" width="14.3046875" customWidth="1"/>
    <col min="10247" max="10247" width="9.3046875" bestFit="1" customWidth="1"/>
    <col min="10497" max="10497" width="37.3046875" customWidth="1"/>
    <col min="10498" max="10498" width="16.15234375" customWidth="1"/>
    <col min="10499" max="10499" width="1.69140625" customWidth="1"/>
    <col min="10500" max="10500" width="16.3828125" customWidth="1"/>
    <col min="10501" max="10501" width="14.69140625" customWidth="1"/>
    <col min="10502" max="10502" width="14.3046875" customWidth="1"/>
    <col min="10503" max="10503" width="9.3046875" bestFit="1" customWidth="1"/>
    <col min="10753" max="10753" width="37.3046875" customWidth="1"/>
    <col min="10754" max="10754" width="16.15234375" customWidth="1"/>
    <col min="10755" max="10755" width="1.69140625" customWidth="1"/>
    <col min="10756" max="10756" width="16.3828125" customWidth="1"/>
    <col min="10757" max="10757" width="14.69140625" customWidth="1"/>
    <col min="10758" max="10758" width="14.3046875" customWidth="1"/>
    <col min="10759" max="10759" width="9.3046875" bestFit="1" customWidth="1"/>
    <col min="11009" max="11009" width="37.3046875" customWidth="1"/>
    <col min="11010" max="11010" width="16.15234375" customWidth="1"/>
    <col min="11011" max="11011" width="1.69140625" customWidth="1"/>
    <col min="11012" max="11012" width="16.3828125" customWidth="1"/>
    <col min="11013" max="11013" width="14.69140625" customWidth="1"/>
    <col min="11014" max="11014" width="14.3046875" customWidth="1"/>
    <col min="11015" max="11015" width="9.3046875" bestFit="1" customWidth="1"/>
    <col min="11265" max="11265" width="37.3046875" customWidth="1"/>
    <col min="11266" max="11266" width="16.15234375" customWidth="1"/>
    <col min="11267" max="11267" width="1.69140625" customWidth="1"/>
    <col min="11268" max="11268" width="16.3828125" customWidth="1"/>
    <col min="11269" max="11269" width="14.69140625" customWidth="1"/>
    <col min="11270" max="11270" width="14.3046875" customWidth="1"/>
    <col min="11271" max="11271" width="9.3046875" bestFit="1" customWidth="1"/>
    <col min="11521" max="11521" width="37.3046875" customWidth="1"/>
    <col min="11522" max="11522" width="16.15234375" customWidth="1"/>
    <col min="11523" max="11523" width="1.69140625" customWidth="1"/>
    <col min="11524" max="11524" width="16.3828125" customWidth="1"/>
    <col min="11525" max="11525" width="14.69140625" customWidth="1"/>
    <col min="11526" max="11526" width="14.3046875" customWidth="1"/>
    <col min="11527" max="11527" width="9.3046875" bestFit="1" customWidth="1"/>
    <col min="11777" max="11777" width="37.3046875" customWidth="1"/>
    <col min="11778" max="11778" width="16.15234375" customWidth="1"/>
    <col min="11779" max="11779" width="1.69140625" customWidth="1"/>
    <col min="11780" max="11780" width="16.3828125" customWidth="1"/>
    <col min="11781" max="11781" width="14.69140625" customWidth="1"/>
    <col min="11782" max="11782" width="14.3046875" customWidth="1"/>
    <col min="11783" max="11783" width="9.3046875" bestFit="1" customWidth="1"/>
    <col min="12033" max="12033" width="37.3046875" customWidth="1"/>
    <col min="12034" max="12034" width="16.15234375" customWidth="1"/>
    <col min="12035" max="12035" width="1.69140625" customWidth="1"/>
    <col min="12036" max="12036" width="16.3828125" customWidth="1"/>
    <col min="12037" max="12037" width="14.69140625" customWidth="1"/>
    <col min="12038" max="12038" width="14.3046875" customWidth="1"/>
    <col min="12039" max="12039" width="9.3046875" bestFit="1" customWidth="1"/>
    <col min="12289" max="12289" width="37.3046875" customWidth="1"/>
    <col min="12290" max="12290" width="16.15234375" customWidth="1"/>
    <col min="12291" max="12291" width="1.69140625" customWidth="1"/>
    <col min="12292" max="12292" width="16.3828125" customWidth="1"/>
    <col min="12293" max="12293" width="14.69140625" customWidth="1"/>
    <col min="12294" max="12294" width="14.3046875" customWidth="1"/>
    <col min="12295" max="12295" width="9.3046875" bestFit="1" customWidth="1"/>
    <col min="12545" max="12545" width="37.3046875" customWidth="1"/>
    <col min="12546" max="12546" width="16.15234375" customWidth="1"/>
    <col min="12547" max="12547" width="1.69140625" customWidth="1"/>
    <col min="12548" max="12548" width="16.3828125" customWidth="1"/>
    <col min="12549" max="12549" width="14.69140625" customWidth="1"/>
    <col min="12550" max="12550" width="14.3046875" customWidth="1"/>
    <col min="12551" max="12551" width="9.3046875" bestFit="1" customWidth="1"/>
    <col min="12801" max="12801" width="37.3046875" customWidth="1"/>
    <col min="12802" max="12802" width="16.15234375" customWidth="1"/>
    <col min="12803" max="12803" width="1.69140625" customWidth="1"/>
    <col min="12804" max="12804" width="16.3828125" customWidth="1"/>
    <col min="12805" max="12805" width="14.69140625" customWidth="1"/>
    <col min="12806" max="12806" width="14.3046875" customWidth="1"/>
    <col min="12807" max="12807" width="9.3046875" bestFit="1" customWidth="1"/>
    <col min="13057" max="13057" width="37.3046875" customWidth="1"/>
    <col min="13058" max="13058" width="16.15234375" customWidth="1"/>
    <col min="13059" max="13059" width="1.69140625" customWidth="1"/>
    <col min="13060" max="13060" width="16.3828125" customWidth="1"/>
    <col min="13061" max="13061" width="14.69140625" customWidth="1"/>
    <col min="13062" max="13062" width="14.3046875" customWidth="1"/>
    <col min="13063" max="13063" width="9.3046875" bestFit="1" customWidth="1"/>
    <col min="13313" max="13313" width="37.3046875" customWidth="1"/>
    <col min="13314" max="13314" width="16.15234375" customWidth="1"/>
    <col min="13315" max="13315" width="1.69140625" customWidth="1"/>
    <col min="13316" max="13316" width="16.3828125" customWidth="1"/>
    <col min="13317" max="13317" width="14.69140625" customWidth="1"/>
    <col min="13318" max="13318" width="14.3046875" customWidth="1"/>
    <col min="13319" max="13319" width="9.3046875" bestFit="1" customWidth="1"/>
    <col min="13569" max="13569" width="37.3046875" customWidth="1"/>
    <col min="13570" max="13570" width="16.15234375" customWidth="1"/>
    <col min="13571" max="13571" width="1.69140625" customWidth="1"/>
    <col min="13572" max="13572" width="16.3828125" customWidth="1"/>
    <col min="13573" max="13573" width="14.69140625" customWidth="1"/>
    <col min="13574" max="13574" width="14.3046875" customWidth="1"/>
    <col min="13575" max="13575" width="9.3046875" bestFit="1" customWidth="1"/>
    <col min="13825" max="13825" width="37.3046875" customWidth="1"/>
    <col min="13826" max="13826" width="16.15234375" customWidth="1"/>
    <col min="13827" max="13827" width="1.69140625" customWidth="1"/>
    <col min="13828" max="13828" width="16.3828125" customWidth="1"/>
    <col min="13829" max="13829" width="14.69140625" customWidth="1"/>
    <col min="13830" max="13830" width="14.3046875" customWidth="1"/>
    <col min="13831" max="13831" width="9.3046875" bestFit="1" customWidth="1"/>
    <col min="14081" max="14081" width="37.3046875" customWidth="1"/>
    <col min="14082" max="14082" width="16.15234375" customWidth="1"/>
    <col min="14083" max="14083" width="1.69140625" customWidth="1"/>
    <col min="14084" max="14084" width="16.3828125" customWidth="1"/>
    <col min="14085" max="14085" width="14.69140625" customWidth="1"/>
    <col min="14086" max="14086" width="14.3046875" customWidth="1"/>
    <col min="14087" max="14087" width="9.3046875" bestFit="1" customWidth="1"/>
    <col min="14337" max="14337" width="37.3046875" customWidth="1"/>
    <col min="14338" max="14338" width="16.15234375" customWidth="1"/>
    <col min="14339" max="14339" width="1.69140625" customWidth="1"/>
    <col min="14340" max="14340" width="16.3828125" customWidth="1"/>
    <col min="14341" max="14341" width="14.69140625" customWidth="1"/>
    <col min="14342" max="14342" width="14.3046875" customWidth="1"/>
    <col min="14343" max="14343" width="9.3046875" bestFit="1" customWidth="1"/>
    <col min="14593" max="14593" width="37.3046875" customWidth="1"/>
    <col min="14594" max="14594" width="16.15234375" customWidth="1"/>
    <col min="14595" max="14595" width="1.69140625" customWidth="1"/>
    <col min="14596" max="14596" width="16.3828125" customWidth="1"/>
    <col min="14597" max="14597" width="14.69140625" customWidth="1"/>
    <col min="14598" max="14598" width="14.3046875" customWidth="1"/>
    <col min="14599" max="14599" width="9.3046875" bestFit="1" customWidth="1"/>
    <col min="14849" max="14849" width="37.3046875" customWidth="1"/>
    <col min="14850" max="14850" width="16.15234375" customWidth="1"/>
    <col min="14851" max="14851" width="1.69140625" customWidth="1"/>
    <col min="14852" max="14852" width="16.3828125" customWidth="1"/>
    <col min="14853" max="14853" width="14.69140625" customWidth="1"/>
    <col min="14854" max="14854" width="14.3046875" customWidth="1"/>
    <col min="14855" max="14855" width="9.3046875" bestFit="1" customWidth="1"/>
    <col min="15105" max="15105" width="37.3046875" customWidth="1"/>
    <col min="15106" max="15106" width="16.15234375" customWidth="1"/>
    <col min="15107" max="15107" width="1.69140625" customWidth="1"/>
    <col min="15108" max="15108" width="16.3828125" customWidth="1"/>
    <col min="15109" max="15109" width="14.69140625" customWidth="1"/>
    <col min="15110" max="15110" width="14.3046875" customWidth="1"/>
    <col min="15111" max="15111" width="9.3046875" bestFit="1" customWidth="1"/>
    <col min="15361" max="15361" width="37.3046875" customWidth="1"/>
    <col min="15362" max="15362" width="16.15234375" customWidth="1"/>
    <col min="15363" max="15363" width="1.69140625" customWidth="1"/>
    <col min="15364" max="15364" width="16.3828125" customWidth="1"/>
    <col min="15365" max="15365" width="14.69140625" customWidth="1"/>
    <col min="15366" max="15366" width="14.3046875" customWidth="1"/>
    <col min="15367" max="15367" width="9.3046875" bestFit="1" customWidth="1"/>
    <col min="15617" max="15617" width="37.3046875" customWidth="1"/>
    <col min="15618" max="15618" width="16.15234375" customWidth="1"/>
    <col min="15619" max="15619" width="1.69140625" customWidth="1"/>
    <col min="15620" max="15620" width="16.3828125" customWidth="1"/>
    <col min="15621" max="15621" width="14.69140625" customWidth="1"/>
    <col min="15622" max="15622" width="14.3046875" customWidth="1"/>
    <col min="15623" max="15623" width="9.3046875" bestFit="1" customWidth="1"/>
    <col min="15873" max="15873" width="37.3046875" customWidth="1"/>
    <col min="15874" max="15874" width="16.15234375" customWidth="1"/>
    <col min="15875" max="15875" width="1.69140625" customWidth="1"/>
    <col min="15876" max="15876" width="16.3828125" customWidth="1"/>
    <col min="15877" max="15877" width="14.69140625" customWidth="1"/>
    <col min="15878" max="15878" width="14.3046875" customWidth="1"/>
    <col min="15879" max="15879" width="9.3046875" bestFit="1" customWidth="1"/>
    <col min="16129" max="16129" width="37.3046875" customWidth="1"/>
    <col min="16130" max="16130" width="16.15234375" customWidth="1"/>
    <col min="16131" max="16131" width="1.69140625" customWidth="1"/>
    <col min="16132" max="16132" width="16.3828125" customWidth="1"/>
    <col min="16133" max="16133" width="14.69140625" customWidth="1"/>
    <col min="16134" max="16134" width="14.3046875" customWidth="1"/>
    <col min="16135" max="16135" width="9.3046875" bestFit="1" customWidth="1"/>
  </cols>
  <sheetData>
    <row r="1" spans="1:6" ht="18.45">
      <c r="A1" s="14" t="s">
        <v>6</v>
      </c>
    </row>
    <row r="2" spans="1:6">
      <c r="A2" s="15" t="s">
        <v>7</v>
      </c>
      <c r="B2" s="18"/>
      <c r="C2" s="18"/>
      <c r="D2" s="18"/>
      <c r="E2" s="18"/>
      <c r="F2" s="18"/>
    </row>
    <row r="3" spans="1:6">
      <c r="A3" s="15"/>
      <c r="B3" s="18"/>
      <c r="C3" s="18"/>
      <c r="D3" s="18"/>
      <c r="E3" s="18"/>
      <c r="F3" s="18"/>
    </row>
    <row r="4" spans="1:6">
      <c r="A4" s="16" t="s">
        <v>8</v>
      </c>
      <c r="B4" s="18"/>
      <c r="C4" s="18"/>
      <c r="D4" s="18"/>
      <c r="E4" s="18"/>
      <c r="F4" s="18"/>
    </row>
    <row r="5" spans="1:6">
      <c r="A5" s="46" t="s">
        <v>48</v>
      </c>
      <c r="B5" s="18"/>
      <c r="C5" s="18"/>
      <c r="D5" s="18"/>
      <c r="E5" s="18"/>
      <c r="F5" s="18"/>
    </row>
    <row r="6" spans="1:6">
      <c r="A6" s="47"/>
      <c r="B6" s="48"/>
      <c r="C6" s="49"/>
      <c r="D6" s="50" t="s">
        <v>0</v>
      </c>
      <c r="E6" s="48" t="s">
        <v>1</v>
      </c>
      <c r="F6" s="29"/>
    </row>
    <row r="7" spans="1:6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6">
      <c r="A8" s="31"/>
      <c r="B8" s="31"/>
      <c r="C8" s="31"/>
      <c r="D8" s="55"/>
      <c r="E8" s="56"/>
      <c r="F8" s="32"/>
    </row>
    <row r="9" spans="1:6">
      <c r="A9" s="57" t="s">
        <v>49</v>
      </c>
      <c r="B9" s="33"/>
      <c r="C9" s="33"/>
      <c r="D9" s="55"/>
      <c r="E9" s="56"/>
      <c r="F9" s="32"/>
    </row>
    <row r="10" spans="1:6">
      <c r="A10" s="58" t="s">
        <v>4</v>
      </c>
      <c r="B10" s="34"/>
      <c r="C10" s="34"/>
      <c r="D10" s="59">
        <f>+'ye 08-ABP 2009'!D20</f>
        <v>0.17649999999999999</v>
      </c>
      <c r="E10" s="60">
        <f>+'ye 08-ABP 2009'!E20</f>
        <v>0.82350000000000001</v>
      </c>
      <c r="F10" s="80">
        <f>+D10+E10</f>
        <v>1</v>
      </c>
    </row>
    <row r="11" spans="1:6">
      <c r="A11" s="61" t="s">
        <v>40</v>
      </c>
      <c r="B11" s="34">
        <v>34313.870000000003</v>
      </c>
      <c r="C11" s="34"/>
      <c r="D11" s="62">
        <f>+B11*D10</f>
        <v>6056.3980550000006</v>
      </c>
      <c r="E11" s="63">
        <f>+B11*E10</f>
        <v>28257.471945000001</v>
      </c>
      <c r="F11" s="35">
        <f>+D11+E11</f>
        <v>34313.870000000003</v>
      </c>
    </row>
    <row r="12" spans="1:6">
      <c r="A12" s="61"/>
      <c r="B12" s="34"/>
      <c r="C12" s="34"/>
      <c r="D12" s="62"/>
      <c r="E12" s="63"/>
      <c r="F12" s="32"/>
    </row>
    <row r="13" spans="1:6">
      <c r="A13" s="36"/>
      <c r="B13" s="37"/>
      <c r="C13" s="34"/>
      <c r="D13" s="64"/>
      <c r="E13" s="65"/>
      <c r="F13" s="38"/>
    </row>
    <row r="14" spans="1:6">
      <c r="A14" s="57" t="s">
        <v>5</v>
      </c>
      <c r="B14" s="34"/>
      <c r="C14" s="34"/>
      <c r="D14" s="66"/>
      <c r="E14" s="67"/>
      <c r="F14" s="32"/>
    </row>
    <row r="15" spans="1:6">
      <c r="A15" s="68" t="s">
        <v>97</v>
      </c>
      <c r="B15" s="34">
        <v>48518.11</v>
      </c>
      <c r="C15" s="34"/>
      <c r="D15" s="69">
        <v>0</v>
      </c>
      <c r="E15" s="70">
        <f>+B15</f>
        <v>48518.11</v>
      </c>
      <c r="F15" s="35">
        <f>+D15+E15</f>
        <v>48518.11</v>
      </c>
    </row>
    <row r="16" spans="1:6">
      <c r="A16" s="68" t="s">
        <v>44</v>
      </c>
      <c r="B16" s="34">
        <v>0</v>
      </c>
      <c r="C16" s="34"/>
      <c r="D16" s="71">
        <f>+B16</f>
        <v>0</v>
      </c>
      <c r="E16" s="72">
        <v>0</v>
      </c>
      <c r="F16" s="35">
        <f>+D16+E16</f>
        <v>0</v>
      </c>
    </row>
    <row r="17" spans="1:6">
      <c r="A17" s="82" t="s">
        <v>40</v>
      </c>
      <c r="B17" s="39">
        <f>SUM(B15:B16)</f>
        <v>48518.11</v>
      </c>
      <c r="C17" s="34"/>
      <c r="D17" s="40">
        <f>SUM(D15:D16)</f>
        <v>0</v>
      </c>
      <c r="E17" s="41">
        <f>SUM(E15:E16)</f>
        <v>48518.11</v>
      </c>
      <c r="F17" s="41">
        <f>SUM(F15:F16)</f>
        <v>48518.11</v>
      </c>
    </row>
    <row r="18" spans="1:6">
      <c r="A18" s="42"/>
      <c r="B18" s="43"/>
      <c r="C18" s="44"/>
      <c r="D18" s="45"/>
      <c r="E18" s="43"/>
      <c r="F18" s="32"/>
    </row>
    <row r="19" spans="1:6">
      <c r="A19" s="88" t="s">
        <v>50</v>
      </c>
      <c r="B19" s="73">
        <f>+B11+B17</f>
        <v>82831.98000000001</v>
      </c>
      <c r="C19" s="73"/>
      <c r="D19" s="74">
        <f>+D11+D17</f>
        <v>6056.3980550000006</v>
      </c>
      <c r="E19" s="75">
        <f>+E11+E17</f>
        <v>76775.581944999998</v>
      </c>
      <c r="F19" s="76">
        <f>+D19+E19</f>
        <v>82831.98</v>
      </c>
    </row>
    <row r="20" spans="1:6" ht="15" thickBot="1">
      <c r="A20" s="77" t="s">
        <v>39</v>
      </c>
      <c r="B20" s="78">
        <f>+E20+D20</f>
        <v>1</v>
      </c>
      <c r="C20" s="67"/>
      <c r="D20" s="79">
        <f>ROUND(D19/F19,4)</f>
        <v>7.3099999999999998E-2</v>
      </c>
      <c r="E20" s="78">
        <f>ROUND(E19/F19,4)</f>
        <v>0.92689999999999995</v>
      </c>
      <c r="F20" s="81">
        <f>+D20+E20</f>
        <v>1</v>
      </c>
    </row>
    <row r="21" spans="1:6" ht="15" thickTop="1"/>
  </sheetData>
  <pageMargins left="0.19" right="0.1574803149606299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15" sqref="A15"/>
    </sheetView>
  </sheetViews>
  <sheetFormatPr defaultRowHeight="14.6"/>
  <cols>
    <col min="1" max="1" width="39.3828125" customWidth="1"/>
    <col min="2" max="2" width="12.84375" customWidth="1"/>
    <col min="3" max="3" width="1.69140625" customWidth="1"/>
    <col min="4" max="4" width="16.3828125" customWidth="1"/>
    <col min="5" max="5" width="14.69140625" customWidth="1"/>
    <col min="6" max="6" width="14.3046875" customWidth="1"/>
    <col min="7" max="7" width="9.3046875" bestFit="1" customWidth="1"/>
    <col min="257" max="257" width="37.3046875" customWidth="1"/>
    <col min="258" max="258" width="16.15234375" customWidth="1"/>
    <col min="259" max="259" width="1.69140625" customWidth="1"/>
    <col min="260" max="260" width="16.3828125" customWidth="1"/>
    <col min="261" max="261" width="14.69140625" customWidth="1"/>
    <col min="262" max="262" width="14.3046875" customWidth="1"/>
    <col min="263" max="263" width="9.3046875" bestFit="1" customWidth="1"/>
    <col min="513" max="513" width="37.3046875" customWidth="1"/>
    <col min="514" max="514" width="16.15234375" customWidth="1"/>
    <col min="515" max="515" width="1.69140625" customWidth="1"/>
    <col min="516" max="516" width="16.3828125" customWidth="1"/>
    <col min="517" max="517" width="14.69140625" customWidth="1"/>
    <col min="518" max="518" width="14.3046875" customWidth="1"/>
    <col min="519" max="519" width="9.3046875" bestFit="1" customWidth="1"/>
    <col min="769" max="769" width="37.3046875" customWidth="1"/>
    <col min="770" max="770" width="16.15234375" customWidth="1"/>
    <col min="771" max="771" width="1.69140625" customWidth="1"/>
    <col min="772" max="772" width="16.3828125" customWidth="1"/>
    <col min="773" max="773" width="14.69140625" customWidth="1"/>
    <col min="774" max="774" width="14.3046875" customWidth="1"/>
    <col min="775" max="775" width="9.3046875" bestFit="1" customWidth="1"/>
    <col min="1025" max="1025" width="37.3046875" customWidth="1"/>
    <col min="1026" max="1026" width="16.15234375" customWidth="1"/>
    <col min="1027" max="1027" width="1.69140625" customWidth="1"/>
    <col min="1028" max="1028" width="16.3828125" customWidth="1"/>
    <col min="1029" max="1029" width="14.69140625" customWidth="1"/>
    <col min="1030" max="1030" width="14.3046875" customWidth="1"/>
    <col min="1031" max="1031" width="9.3046875" bestFit="1" customWidth="1"/>
    <col min="1281" max="1281" width="37.3046875" customWidth="1"/>
    <col min="1282" max="1282" width="16.15234375" customWidth="1"/>
    <col min="1283" max="1283" width="1.69140625" customWidth="1"/>
    <col min="1284" max="1284" width="16.3828125" customWidth="1"/>
    <col min="1285" max="1285" width="14.69140625" customWidth="1"/>
    <col min="1286" max="1286" width="14.3046875" customWidth="1"/>
    <col min="1287" max="1287" width="9.3046875" bestFit="1" customWidth="1"/>
    <col min="1537" max="1537" width="37.3046875" customWidth="1"/>
    <col min="1538" max="1538" width="16.15234375" customWidth="1"/>
    <col min="1539" max="1539" width="1.69140625" customWidth="1"/>
    <col min="1540" max="1540" width="16.3828125" customWidth="1"/>
    <col min="1541" max="1541" width="14.69140625" customWidth="1"/>
    <col min="1542" max="1542" width="14.3046875" customWidth="1"/>
    <col min="1543" max="1543" width="9.3046875" bestFit="1" customWidth="1"/>
    <col min="1793" max="1793" width="37.3046875" customWidth="1"/>
    <col min="1794" max="1794" width="16.15234375" customWidth="1"/>
    <col min="1795" max="1795" width="1.69140625" customWidth="1"/>
    <col min="1796" max="1796" width="16.3828125" customWidth="1"/>
    <col min="1797" max="1797" width="14.69140625" customWidth="1"/>
    <col min="1798" max="1798" width="14.3046875" customWidth="1"/>
    <col min="1799" max="1799" width="9.3046875" bestFit="1" customWidth="1"/>
    <col min="2049" max="2049" width="37.3046875" customWidth="1"/>
    <col min="2050" max="2050" width="16.15234375" customWidth="1"/>
    <col min="2051" max="2051" width="1.69140625" customWidth="1"/>
    <col min="2052" max="2052" width="16.3828125" customWidth="1"/>
    <col min="2053" max="2053" width="14.69140625" customWidth="1"/>
    <col min="2054" max="2054" width="14.3046875" customWidth="1"/>
    <col min="2055" max="2055" width="9.3046875" bestFit="1" customWidth="1"/>
    <col min="2305" max="2305" width="37.3046875" customWidth="1"/>
    <col min="2306" max="2306" width="16.15234375" customWidth="1"/>
    <col min="2307" max="2307" width="1.69140625" customWidth="1"/>
    <col min="2308" max="2308" width="16.3828125" customWidth="1"/>
    <col min="2309" max="2309" width="14.69140625" customWidth="1"/>
    <col min="2310" max="2310" width="14.3046875" customWidth="1"/>
    <col min="2311" max="2311" width="9.3046875" bestFit="1" customWidth="1"/>
    <col min="2561" max="2561" width="37.3046875" customWidth="1"/>
    <col min="2562" max="2562" width="16.15234375" customWidth="1"/>
    <col min="2563" max="2563" width="1.69140625" customWidth="1"/>
    <col min="2564" max="2564" width="16.3828125" customWidth="1"/>
    <col min="2565" max="2565" width="14.69140625" customWidth="1"/>
    <col min="2566" max="2566" width="14.3046875" customWidth="1"/>
    <col min="2567" max="2567" width="9.3046875" bestFit="1" customWidth="1"/>
    <col min="2817" max="2817" width="37.3046875" customWidth="1"/>
    <col min="2818" max="2818" width="16.15234375" customWidth="1"/>
    <col min="2819" max="2819" width="1.69140625" customWidth="1"/>
    <col min="2820" max="2820" width="16.3828125" customWidth="1"/>
    <col min="2821" max="2821" width="14.69140625" customWidth="1"/>
    <col min="2822" max="2822" width="14.3046875" customWidth="1"/>
    <col min="2823" max="2823" width="9.3046875" bestFit="1" customWidth="1"/>
    <col min="3073" max="3073" width="37.3046875" customWidth="1"/>
    <col min="3074" max="3074" width="16.15234375" customWidth="1"/>
    <col min="3075" max="3075" width="1.69140625" customWidth="1"/>
    <col min="3076" max="3076" width="16.3828125" customWidth="1"/>
    <col min="3077" max="3077" width="14.69140625" customWidth="1"/>
    <col min="3078" max="3078" width="14.3046875" customWidth="1"/>
    <col min="3079" max="3079" width="9.3046875" bestFit="1" customWidth="1"/>
    <col min="3329" max="3329" width="37.3046875" customWidth="1"/>
    <col min="3330" max="3330" width="16.15234375" customWidth="1"/>
    <col min="3331" max="3331" width="1.69140625" customWidth="1"/>
    <col min="3332" max="3332" width="16.3828125" customWidth="1"/>
    <col min="3333" max="3333" width="14.69140625" customWidth="1"/>
    <col min="3334" max="3334" width="14.3046875" customWidth="1"/>
    <col min="3335" max="3335" width="9.3046875" bestFit="1" customWidth="1"/>
    <col min="3585" max="3585" width="37.3046875" customWidth="1"/>
    <col min="3586" max="3586" width="16.15234375" customWidth="1"/>
    <col min="3587" max="3587" width="1.69140625" customWidth="1"/>
    <col min="3588" max="3588" width="16.3828125" customWidth="1"/>
    <col min="3589" max="3589" width="14.69140625" customWidth="1"/>
    <col min="3590" max="3590" width="14.3046875" customWidth="1"/>
    <col min="3591" max="3591" width="9.3046875" bestFit="1" customWidth="1"/>
    <col min="3841" max="3841" width="37.3046875" customWidth="1"/>
    <col min="3842" max="3842" width="16.15234375" customWidth="1"/>
    <col min="3843" max="3843" width="1.69140625" customWidth="1"/>
    <col min="3844" max="3844" width="16.3828125" customWidth="1"/>
    <col min="3845" max="3845" width="14.69140625" customWidth="1"/>
    <col min="3846" max="3846" width="14.3046875" customWidth="1"/>
    <col min="3847" max="3847" width="9.3046875" bestFit="1" customWidth="1"/>
    <col min="4097" max="4097" width="37.3046875" customWidth="1"/>
    <col min="4098" max="4098" width="16.15234375" customWidth="1"/>
    <col min="4099" max="4099" width="1.69140625" customWidth="1"/>
    <col min="4100" max="4100" width="16.3828125" customWidth="1"/>
    <col min="4101" max="4101" width="14.69140625" customWidth="1"/>
    <col min="4102" max="4102" width="14.3046875" customWidth="1"/>
    <col min="4103" max="4103" width="9.3046875" bestFit="1" customWidth="1"/>
    <col min="4353" max="4353" width="37.3046875" customWidth="1"/>
    <col min="4354" max="4354" width="16.15234375" customWidth="1"/>
    <col min="4355" max="4355" width="1.69140625" customWidth="1"/>
    <col min="4356" max="4356" width="16.3828125" customWidth="1"/>
    <col min="4357" max="4357" width="14.69140625" customWidth="1"/>
    <col min="4358" max="4358" width="14.3046875" customWidth="1"/>
    <col min="4359" max="4359" width="9.3046875" bestFit="1" customWidth="1"/>
    <col min="4609" max="4609" width="37.3046875" customWidth="1"/>
    <col min="4610" max="4610" width="16.15234375" customWidth="1"/>
    <col min="4611" max="4611" width="1.69140625" customWidth="1"/>
    <col min="4612" max="4612" width="16.3828125" customWidth="1"/>
    <col min="4613" max="4613" width="14.69140625" customWidth="1"/>
    <col min="4614" max="4614" width="14.3046875" customWidth="1"/>
    <col min="4615" max="4615" width="9.3046875" bestFit="1" customWidth="1"/>
    <col min="4865" max="4865" width="37.3046875" customWidth="1"/>
    <col min="4866" max="4866" width="16.15234375" customWidth="1"/>
    <col min="4867" max="4867" width="1.69140625" customWidth="1"/>
    <col min="4868" max="4868" width="16.3828125" customWidth="1"/>
    <col min="4869" max="4869" width="14.69140625" customWidth="1"/>
    <col min="4870" max="4870" width="14.3046875" customWidth="1"/>
    <col min="4871" max="4871" width="9.3046875" bestFit="1" customWidth="1"/>
    <col min="5121" max="5121" width="37.3046875" customWidth="1"/>
    <col min="5122" max="5122" width="16.15234375" customWidth="1"/>
    <col min="5123" max="5123" width="1.69140625" customWidth="1"/>
    <col min="5124" max="5124" width="16.3828125" customWidth="1"/>
    <col min="5125" max="5125" width="14.69140625" customWidth="1"/>
    <col min="5126" max="5126" width="14.3046875" customWidth="1"/>
    <col min="5127" max="5127" width="9.3046875" bestFit="1" customWidth="1"/>
    <col min="5377" max="5377" width="37.3046875" customWidth="1"/>
    <col min="5378" max="5378" width="16.15234375" customWidth="1"/>
    <col min="5379" max="5379" width="1.69140625" customWidth="1"/>
    <col min="5380" max="5380" width="16.3828125" customWidth="1"/>
    <col min="5381" max="5381" width="14.69140625" customWidth="1"/>
    <col min="5382" max="5382" width="14.3046875" customWidth="1"/>
    <col min="5383" max="5383" width="9.3046875" bestFit="1" customWidth="1"/>
    <col min="5633" max="5633" width="37.3046875" customWidth="1"/>
    <col min="5634" max="5634" width="16.15234375" customWidth="1"/>
    <col min="5635" max="5635" width="1.69140625" customWidth="1"/>
    <col min="5636" max="5636" width="16.3828125" customWidth="1"/>
    <col min="5637" max="5637" width="14.69140625" customWidth="1"/>
    <col min="5638" max="5638" width="14.3046875" customWidth="1"/>
    <col min="5639" max="5639" width="9.3046875" bestFit="1" customWidth="1"/>
    <col min="5889" max="5889" width="37.3046875" customWidth="1"/>
    <col min="5890" max="5890" width="16.15234375" customWidth="1"/>
    <col min="5891" max="5891" width="1.69140625" customWidth="1"/>
    <col min="5892" max="5892" width="16.3828125" customWidth="1"/>
    <col min="5893" max="5893" width="14.69140625" customWidth="1"/>
    <col min="5894" max="5894" width="14.3046875" customWidth="1"/>
    <col min="5895" max="5895" width="9.3046875" bestFit="1" customWidth="1"/>
    <col min="6145" max="6145" width="37.3046875" customWidth="1"/>
    <col min="6146" max="6146" width="16.15234375" customWidth="1"/>
    <col min="6147" max="6147" width="1.69140625" customWidth="1"/>
    <col min="6148" max="6148" width="16.3828125" customWidth="1"/>
    <col min="6149" max="6149" width="14.69140625" customWidth="1"/>
    <col min="6150" max="6150" width="14.3046875" customWidth="1"/>
    <col min="6151" max="6151" width="9.3046875" bestFit="1" customWidth="1"/>
    <col min="6401" max="6401" width="37.3046875" customWidth="1"/>
    <col min="6402" max="6402" width="16.15234375" customWidth="1"/>
    <col min="6403" max="6403" width="1.69140625" customWidth="1"/>
    <col min="6404" max="6404" width="16.3828125" customWidth="1"/>
    <col min="6405" max="6405" width="14.69140625" customWidth="1"/>
    <col min="6406" max="6406" width="14.3046875" customWidth="1"/>
    <col min="6407" max="6407" width="9.3046875" bestFit="1" customWidth="1"/>
    <col min="6657" max="6657" width="37.3046875" customWidth="1"/>
    <col min="6658" max="6658" width="16.15234375" customWidth="1"/>
    <col min="6659" max="6659" width="1.69140625" customWidth="1"/>
    <col min="6660" max="6660" width="16.3828125" customWidth="1"/>
    <col min="6661" max="6661" width="14.69140625" customWidth="1"/>
    <col min="6662" max="6662" width="14.3046875" customWidth="1"/>
    <col min="6663" max="6663" width="9.3046875" bestFit="1" customWidth="1"/>
    <col min="6913" max="6913" width="37.3046875" customWidth="1"/>
    <col min="6914" max="6914" width="16.15234375" customWidth="1"/>
    <col min="6915" max="6915" width="1.69140625" customWidth="1"/>
    <col min="6916" max="6916" width="16.3828125" customWidth="1"/>
    <col min="6917" max="6917" width="14.69140625" customWidth="1"/>
    <col min="6918" max="6918" width="14.3046875" customWidth="1"/>
    <col min="6919" max="6919" width="9.3046875" bestFit="1" customWidth="1"/>
    <col min="7169" max="7169" width="37.3046875" customWidth="1"/>
    <col min="7170" max="7170" width="16.15234375" customWidth="1"/>
    <col min="7171" max="7171" width="1.69140625" customWidth="1"/>
    <col min="7172" max="7172" width="16.3828125" customWidth="1"/>
    <col min="7173" max="7173" width="14.69140625" customWidth="1"/>
    <col min="7174" max="7174" width="14.3046875" customWidth="1"/>
    <col min="7175" max="7175" width="9.3046875" bestFit="1" customWidth="1"/>
    <col min="7425" max="7425" width="37.3046875" customWidth="1"/>
    <col min="7426" max="7426" width="16.15234375" customWidth="1"/>
    <col min="7427" max="7427" width="1.69140625" customWidth="1"/>
    <col min="7428" max="7428" width="16.3828125" customWidth="1"/>
    <col min="7429" max="7429" width="14.69140625" customWidth="1"/>
    <col min="7430" max="7430" width="14.3046875" customWidth="1"/>
    <col min="7431" max="7431" width="9.3046875" bestFit="1" customWidth="1"/>
    <col min="7681" max="7681" width="37.3046875" customWidth="1"/>
    <col min="7682" max="7682" width="16.15234375" customWidth="1"/>
    <col min="7683" max="7683" width="1.69140625" customWidth="1"/>
    <col min="7684" max="7684" width="16.3828125" customWidth="1"/>
    <col min="7685" max="7685" width="14.69140625" customWidth="1"/>
    <col min="7686" max="7686" width="14.3046875" customWidth="1"/>
    <col min="7687" max="7687" width="9.3046875" bestFit="1" customWidth="1"/>
    <col min="7937" max="7937" width="37.3046875" customWidth="1"/>
    <col min="7938" max="7938" width="16.15234375" customWidth="1"/>
    <col min="7939" max="7939" width="1.69140625" customWidth="1"/>
    <col min="7940" max="7940" width="16.3828125" customWidth="1"/>
    <col min="7941" max="7941" width="14.69140625" customWidth="1"/>
    <col min="7942" max="7942" width="14.3046875" customWidth="1"/>
    <col min="7943" max="7943" width="9.3046875" bestFit="1" customWidth="1"/>
    <col min="8193" max="8193" width="37.3046875" customWidth="1"/>
    <col min="8194" max="8194" width="16.15234375" customWidth="1"/>
    <col min="8195" max="8195" width="1.69140625" customWidth="1"/>
    <col min="8196" max="8196" width="16.3828125" customWidth="1"/>
    <col min="8197" max="8197" width="14.69140625" customWidth="1"/>
    <col min="8198" max="8198" width="14.3046875" customWidth="1"/>
    <col min="8199" max="8199" width="9.3046875" bestFit="1" customWidth="1"/>
    <col min="8449" max="8449" width="37.3046875" customWidth="1"/>
    <col min="8450" max="8450" width="16.15234375" customWidth="1"/>
    <col min="8451" max="8451" width="1.69140625" customWidth="1"/>
    <col min="8452" max="8452" width="16.3828125" customWidth="1"/>
    <col min="8453" max="8453" width="14.69140625" customWidth="1"/>
    <col min="8454" max="8454" width="14.3046875" customWidth="1"/>
    <col min="8455" max="8455" width="9.3046875" bestFit="1" customWidth="1"/>
    <col min="8705" max="8705" width="37.3046875" customWidth="1"/>
    <col min="8706" max="8706" width="16.15234375" customWidth="1"/>
    <col min="8707" max="8707" width="1.69140625" customWidth="1"/>
    <col min="8708" max="8708" width="16.3828125" customWidth="1"/>
    <col min="8709" max="8709" width="14.69140625" customWidth="1"/>
    <col min="8710" max="8710" width="14.3046875" customWidth="1"/>
    <col min="8711" max="8711" width="9.3046875" bestFit="1" customWidth="1"/>
    <col min="8961" max="8961" width="37.3046875" customWidth="1"/>
    <col min="8962" max="8962" width="16.15234375" customWidth="1"/>
    <col min="8963" max="8963" width="1.69140625" customWidth="1"/>
    <col min="8964" max="8964" width="16.3828125" customWidth="1"/>
    <col min="8965" max="8965" width="14.69140625" customWidth="1"/>
    <col min="8966" max="8966" width="14.3046875" customWidth="1"/>
    <col min="8967" max="8967" width="9.3046875" bestFit="1" customWidth="1"/>
    <col min="9217" max="9217" width="37.3046875" customWidth="1"/>
    <col min="9218" max="9218" width="16.15234375" customWidth="1"/>
    <col min="9219" max="9219" width="1.69140625" customWidth="1"/>
    <col min="9220" max="9220" width="16.3828125" customWidth="1"/>
    <col min="9221" max="9221" width="14.69140625" customWidth="1"/>
    <col min="9222" max="9222" width="14.3046875" customWidth="1"/>
    <col min="9223" max="9223" width="9.3046875" bestFit="1" customWidth="1"/>
    <col min="9473" max="9473" width="37.3046875" customWidth="1"/>
    <col min="9474" max="9474" width="16.15234375" customWidth="1"/>
    <col min="9475" max="9475" width="1.69140625" customWidth="1"/>
    <col min="9476" max="9476" width="16.3828125" customWidth="1"/>
    <col min="9477" max="9477" width="14.69140625" customWidth="1"/>
    <col min="9478" max="9478" width="14.3046875" customWidth="1"/>
    <col min="9479" max="9479" width="9.3046875" bestFit="1" customWidth="1"/>
    <col min="9729" max="9729" width="37.3046875" customWidth="1"/>
    <col min="9730" max="9730" width="16.15234375" customWidth="1"/>
    <col min="9731" max="9731" width="1.69140625" customWidth="1"/>
    <col min="9732" max="9732" width="16.3828125" customWidth="1"/>
    <col min="9733" max="9733" width="14.69140625" customWidth="1"/>
    <col min="9734" max="9734" width="14.3046875" customWidth="1"/>
    <col min="9735" max="9735" width="9.3046875" bestFit="1" customWidth="1"/>
    <col min="9985" max="9985" width="37.3046875" customWidth="1"/>
    <col min="9986" max="9986" width="16.15234375" customWidth="1"/>
    <col min="9987" max="9987" width="1.69140625" customWidth="1"/>
    <col min="9988" max="9988" width="16.3828125" customWidth="1"/>
    <col min="9989" max="9989" width="14.69140625" customWidth="1"/>
    <col min="9990" max="9990" width="14.3046875" customWidth="1"/>
    <col min="9991" max="9991" width="9.3046875" bestFit="1" customWidth="1"/>
    <col min="10241" max="10241" width="37.3046875" customWidth="1"/>
    <col min="10242" max="10242" width="16.15234375" customWidth="1"/>
    <col min="10243" max="10243" width="1.69140625" customWidth="1"/>
    <col min="10244" max="10244" width="16.3828125" customWidth="1"/>
    <col min="10245" max="10245" width="14.69140625" customWidth="1"/>
    <col min="10246" max="10246" width="14.3046875" customWidth="1"/>
    <col min="10247" max="10247" width="9.3046875" bestFit="1" customWidth="1"/>
    <col min="10497" max="10497" width="37.3046875" customWidth="1"/>
    <col min="10498" max="10498" width="16.15234375" customWidth="1"/>
    <col min="10499" max="10499" width="1.69140625" customWidth="1"/>
    <col min="10500" max="10500" width="16.3828125" customWidth="1"/>
    <col min="10501" max="10501" width="14.69140625" customWidth="1"/>
    <col min="10502" max="10502" width="14.3046875" customWidth="1"/>
    <col min="10503" max="10503" width="9.3046875" bestFit="1" customWidth="1"/>
    <col min="10753" max="10753" width="37.3046875" customWidth="1"/>
    <col min="10754" max="10754" width="16.15234375" customWidth="1"/>
    <col min="10755" max="10755" width="1.69140625" customWidth="1"/>
    <col min="10756" max="10756" width="16.3828125" customWidth="1"/>
    <col min="10757" max="10757" width="14.69140625" customWidth="1"/>
    <col min="10758" max="10758" width="14.3046875" customWidth="1"/>
    <col min="10759" max="10759" width="9.3046875" bestFit="1" customWidth="1"/>
    <col min="11009" max="11009" width="37.3046875" customWidth="1"/>
    <col min="11010" max="11010" width="16.15234375" customWidth="1"/>
    <col min="11011" max="11011" width="1.69140625" customWidth="1"/>
    <col min="11012" max="11012" width="16.3828125" customWidth="1"/>
    <col min="11013" max="11013" width="14.69140625" customWidth="1"/>
    <col min="11014" max="11014" width="14.3046875" customWidth="1"/>
    <col min="11015" max="11015" width="9.3046875" bestFit="1" customWidth="1"/>
    <col min="11265" max="11265" width="37.3046875" customWidth="1"/>
    <col min="11266" max="11266" width="16.15234375" customWidth="1"/>
    <col min="11267" max="11267" width="1.69140625" customWidth="1"/>
    <col min="11268" max="11268" width="16.3828125" customWidth="1"/>
    <col min="11269" max="11269" width="14.69140625" customWidth="1"/>
    <col min="11270" max="11270" width="14.3046875" customWidth="1"/>
    <col min="11271" max="11271" width="9.3046875" bestFit="1" customWidth="1"/>
    <col min="11521" max="11521" width="37.3046875" customWidth="1"/>
    <col min="11522" max="11522" width="16.15234375" customWidth="1"/>
    <col min="11523" max="11523" width="1.69140625" customWidth="1"/>
    <col min="11524" max="11524" width="16.3828125" customWidth="1"/>
    <col min="11525" max="11525" width="14.69140625" customWidth="1"/>
    <col min="11526" max="11526" width="14.3046875" customWidth="1"/>
    <col min="11527" max="11527" width="9.3046875" bestFit="1" customWidth="1"/>
    <col min="11777" max="11777" width="37.3046875" customWidth="1"/>
    <col min="11778" max="11778" width="16.15234375" customWidth="1"/>
    <col min="11779" max="11779" width="1.69140625" customWidth="1"/>
    <col min="11780" max="11780" width="16.3828125" customWidth="1"/>
    <col min="11781" max="11781" width="14.69140625" customWidth="1"/>
    <col min="11782" max="11782" width="14.3046875" customWidth="1"/>
    <col min="11783" max="11783" width="9.3046875" bestFit="1" customWidth="1"/>
    <col min="12033" max="12033" width="37.3046875" customWidth="1"/>
    <col min="12034" max="12034" width="16.15234375" customWidth="1"/>
    <col min="12035" max="12035" width="1.69140625" customWidth="1"/>
    <col min="12036" max="12036" width="16.3828125" customWidth="1"/>
    <col min="12037" max="12037" width="14.69140625" customWidth="1"/>
    <col min="12038" max="12038" width="14.3046875" customWidth="1"/>
    <col min="12039" max="12039" width="9.3046875" bestFit="1" customWidth="1"/>
    <col min="12289" max="12289" width="37.3046875" customWidth="1"/>
    <col min="12290" max="12290" width="16.15234375" customWidth="1"/>
    <col min="12291" max="12291" width="1.69140625" customWidth="1"/>
    <col min="12292" max="12292" width="16.3828125" customWidth="1"/>
    <col min="12293" max="12293" width="14.69140625" customWidth="1"/>
    <col min="12294" max="12294" width="14.3046875" customWidth="1"/>
    <col min="12295" max="12295" width="9.3046875" bestFit="1" customWidth="1"/>
    <col min="12545" max="12545" width="37.3046875" customWidth="1"/>
    <col min="12546" max="12546" width="16.15234375" customWidth="1"/>
    <col min="12547" max="12547" width="1.69140625" customWidth="1"/>
    <col min="12548" max="12548" width="16.3828125" customWidth="1"/>
    <col min="12549" max="12549" width="14.69140625" customWidth="1"/>
    <col min="12550" max="12550" width="14.3046875" customWidth="1"/>
    <col min="12551" max="12551" width="9.3046875" bestFit="1" customWidth="1"/>
    <col min="12801" max="12801" width="37.3046875" customWidth="1"/>
    <col min="12802" max="12802" width="16.15234375" customWidth="1"/>
    <col min="12803" max="12803" width="1.69140625" customWidth="1"/>
    <col min="12804" max="12804" width="16.3828125" customWidth="1"/>
    <col min="12805" max="12805" width="14.69140625" customWidth="1"/>
    <col min="12806" max="12806" width="14.3046875" customWidth="1"/>
    <col min="12807" max="12807" width="9.3046875" bestFit="1" customWidth="1"/>
    <col min="13057" max="13057" width="37.3046875" customWidth="1"/>
    <col min="13058" max="13058" width="16.15234375" customWidth="1"/>
    <col min="13059" max="13059" width="1.69140625" customWidth="1"/>
    <col min="13060" max="13060" width="16.3828125" customWidth="1"/>
    <col min="13061" max="13061" width="14.69140625" customWidth="1"/>
    <col min="13062" max="13062" width="14.3046875" customWidth="1"/>
    <col min="13063" max="13063" width="9.3046875" bestFit="1" customWidth="1"/>
    <col min="13313" max="13313" width="37.3046875" customWidth="1"/>
    <col min="13314" max="13314" width="16.15234375" customWidth="1"/>
    <col min="13315" max="13315" width="1.69140625" customWidth="1"/>
    <col min="13316" max="13316" width="16.3828125" customWidth="1"/>
    <col min="13317" max="13317" width="14.69140625" customWidth="1"/>
    <col min="13318" max="13318" width="14.3046875" customWidth="1"/>
    <col min="13319" max="13319" width="9.3046875" bestFit="1" customWidth="1"/>
    <col min="13569" max="13569" width="37.3046875" customWidth="1"/>
    <col min="13570" max="13570" width="16.15234375" customWidth="1"/>
    <col min="13571" max="13571" width="1.69140625" customWidth="1"/>
    <col min="13572" max="13572" width="16.3828125" customWidth="1"/>
    <col min="13573" max="13573" width="14.69140625" customWidth="1"/>
    <col min="13574" max="13574" width="14.3046875" customWidth="1"/>
    <col min="13575" max="13575" width="9.3046875" bestFit="1" customWidth="1"/>
    <col min="13825" max="13825" width="37.3046875" customWidth="1"/>
    <col min="13826" max="13826" width="16.15234375" customWidth="1"/>
    <col min="13827" max="13827" width="1.69140625" customWidth="1"/>
    <col min="13828" max="13828" width="16.3828125" customWidth="1"/>
    <col min="13829" max="13829" width="14.69140625" customWidth="1"/>
    <col min="13830" max="13830" width="14.3046875" customWidth="1"/>
    <col min="13831" max="13831" width="9.3046875" bestFit="1" customWidth="1"/>
    <col min="14081" max="14081" width="37.3046875" customWidth="1"/>
    <col min="14082" max="14082" width="16.15234375" customWidth="1"/>
    <col min="14083" max="14083" width="1.69140625" customWidth="1"/>
    <col min="14084" max="14084" width="16.3828125" customWidth="1"/>
    <col min="14085" max="14085" width="14.69140625" customWidth="1"/>
    <col min="14086" max="14086" width="14.3046875" customWidth="1"/>
    <col min="14087" max="14087" width="9.3046875" bestFit="1" customWidth="1"/>
    <col min="14337" max="14337" width="37.3046875" customWidth="1"/>
    <col min="14338" max="14338" width="16.15234375" customWidth="1"/>
    <col min="14339" max="14339" width="1.69140625" customWidth="1"/>
    <col min="14340" max="14340" width="16.3828125" customWidth="1"/>
    <col min="14341" max="14341" width="14.69140625" customWidth="1"/>
    <col min="14342" max="14342" width="14.3046875" customWidth="1"/>
    <col min="14343" max="14343" width="9.3046875" bestFit="1" customWidth="1"/>
    <col min="14593" max="14593" width="37.3046875" customWidth="1"/>
    <col min="14594" max="14594" width="16.15234375" customWidth="1"/>
    <col min="14595" max="14595" width="1.69140625" customWidth="1"/>
    <col min="14596" max="14596" width="16.3828125" customWidth="1"/>
    <col min="14597" max="14597" width="14.69140625" customWidth="1"/>
    <col min="14598" max="14598" width="14.3046875" customWidth="1"/>
    <col min="14599" max="14599" width="9.3046875" bestFit="1" customWidth="1"/>
    <col min="14849" max="14849" width="37.3046875" customWidth="1"/>
    <col min="14850" max="14850" width="16.15234375" customWidth="1"/>
    <col min="14851" max="14851" width="1.69140625" customWidth="1"/>
    <col min="14852" max="14852" width="16.3828125" customWidth="1"/>
    <col min="14853" max="14853" width="14.69140625" customWidth="1"/>
    <col min="14854" max="14854" width="14.3046875" customWidth="1"/>
    <col min="14855" max="14855" width="9.3046875" bestFit="1" customWidth="1"/>
    <col min="15105" max="15105" width="37.3046875" customWidth="1"/>
    <col min="15106" max="15106" width="16.15234375" customWidth="1"/>
    <col min="15107" max="15107" width="1.69140625" customWidth="1"/>
    <col min="15108" max="15108" width="16.3828125" customWidth="1"/>
    <col min="15109" max="15109" width="14.69140625" customWidth="1"/>
    <col min="15110" max="15110" width="14.3046875" customWidth="1"/>
    <col min="15111" max="15111" width="9.3046875" bestFit="1" customWidth="1"/>
    <col min="15361" max="15361" width="37.3046875" customWidth="1"/>
    <col min="15362" max="15362" width="16.15234375" customWidth="1"/>
    <col min="15363" max="15363" width="1.69140625" customWidth="1"/>
    <col min="15364" max="15364" width="16.3828125" customWidth="1"/>
    <col min="15365" max="15365" width="14.69140625" customWidth="1"/>
    <col min="15366" max="15366" width="14.3046875" customWidth="1"/>
    <col min="15367" max="15367" width="9.3046875" bestFit="1" customWidth="1"/>
    <col min="15617" max="15617" width="37.3046875" customWidth="1"/>
    <col min="15618" max="15618" width="16.15234375" customWidth="1"/>
    <col min="15619" max="15619" width="1.69140625" customWidth="1"/>
    <col min="15620" max="15620" width="16.3828125" customWidth="1"/>
    <col min="15621" max="15621" width="14.69140625" customWidth="1"/>
    <col min="15622" max="15622" width="14.3046875" customWidth="1"/>
    <col min="15623" max="15623" width="9.3046875" bestFit="1" customWidth="1"/>
    <col min="15873" max="15873" width="37.3046875" customWidth="1"/>
    <col min="15874" max="15874" width="16.15234375" customWidth="1"/>
    <col min="15875" max="15875" width="1.69140625" customWidth="1"/>
    <col min="15876" max="15876" width="16.3828125" customWidth="1"/>
    <col min="15877" max="15877" width="14.69140625" customWidth="1"/>
    <col min="15878" max="15878" width="14.3046875" customWidth="1"/>
    <col min="15879" max="15879" width="9.3046875" bestFit="1" customWidth="1"/>
    <col min="16129" max="16129" width="37.3046875" customWidth="1"/>
    <col min="16130" max="16130" width="16.15234375" customWidth="1"/>
    <col min="16131" max="16131" width="1.69140625" customWidth="1"/>
    <col min="16132" max="16132" width="16.3828125" customWidth="1"/>
    <col min="16133" max="16133" width="14.69140625" customWidth="1"/>
    <col min="16134" max="16134" width="14.3046875" customWidth="1"/>
    <col min="16135" max="16135" width="9.3046875" bestFit="1" customWidth="1"/>
  </cols>
  <sheetData>
    <row r="1" spans="1:6" ht="18.45">
      <c r="A1" s="14" t="s">
        <v>6</v>
      </c>
    </row>
    <row r="2" spans="1:6">
      <c r="A2" s="15" t="s">
        <v>7</v>
      </c>
      <c r="B2" s="18"/>
      <c r="C2" s="18"/>
      <c r="D2" s="18"/>
      <c r="E2" s="18"/>
      <c r="F2" s="18"/>
    </row>
    <row r="3" spans="1:6">
      <c r="A3" s="15"/>
      <c r="B3" s="18"/>
      <c r="C3" s="18"/>
      <c r="D3" s="18"/>
      <c r="E3" s="18"/>
      <c r="F3" s="18"/>
    </row>
    <row r="4" spans="1:6">
      <c r="A4" s="16" t="s">
        <v>8</v>
      </c>
      <c r="B4" s="18"/>
      <c r="C4" s="18"/>
      <c r="D4" s="18"/>
      <c r="E4" s="18"/>
      <c r="F4" s="18"/>
    </row>
    <row r="5" spans="1:6">
      <c r="A5" s="46" t="s">
        <v>51</v>
      </c>
      <c r="B5" s="18"/>
      <c r="C5" s="18"/>
      <c r="D5" s="18"/>
      <c r="E5" s="18"/>
      <c r="F5" s="18"/>
    </row>
    <row r="6" spans="1:6">
      <c r="A6" s="47"/>
      <c r="B6" s="48"/>
      <c r="C6" s="49"/>
      <c r="D6" s="50" t="s">
        <v>0</v>
      </c>
      <c r="E6" s="48" t="s">
        <v>1</v>
      </c>
      <c r="F6" s="29"/>
    </row>
    <row r="7" spans="1:6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6">
      <c r="A8" s="31"/>
      <c r="B8" s="31"/>
      <c r="C8" s="31"/>
      <c r="D8" s="55"/>
      <c r="E8" s="56"/>
      <c r="F8" s="32"/>
    </row>
    <row r="9" spans="1:6">
      <c r="A9" s="57" t="s">
        <v>52</v>
      </c>
      <c r="B9" s="33"/>
      <c r="C9" s="33"/>
      <c r="D9" s="55"/>
      <c r="E9" s="56"/>
      <c r="F9" s="32"/>
    </row>
    <row r="10" spans="1:6">
      <c r="A10" s="58" t="s">
        <v>4</v>
      </c>
      <c r="B10" s="34"/>
      <c r="C10" s="34"/>
      <c r="D10" s="59">
        <f>+'ye 09-ABP 2010'!D20</f>
        <v>7.3099999999999998E-2</v>
      </c>
      <c r="E10" s="60">
        <f>+'ye 09-ABP 2010'!E20</f>
        <v>0.92689999999999995</v>
      </c>
      <c r="F10" s="80">
        <f>+D10+E10</f>
        <v>1</v>
      </c>
    </row>
    <row r="11" spans="1:6">
      <c r="A11" s="61" t="s">
        <v>43</v>
      </c>
      <c r="B11" s="34">
        <v>78884.759999999995</v>
      </c>
      <c r="C11" s="34"/>
      <c r="D11" s="62">
        <f>+B11*D10</f>
        <v>5766.4759559999993</v>
      </c>
      <c r="E11" s="63">
        <f>+B11*E10</f>
        <v>73118.284043999985</v>
      </c>
      <c r="F11" s="35">
        <f>+D11+E11</f>
        <v>78884.75999999998</v>
      </c>
    </row>
    <row r="12" spans="1:6">
      <c r="A12" s="61"/>
      <c r="B12" s="34"/>
      <c r="C12" s="34"/>
      <c r="D12" s="62"/>
      <c r="E12" s="63"/>
      <c r="F12" s="32"/>
    </row>
    <row r="13" spans="1:6">
      <c r="A13" s="36"/>
      <c r="B13" s="37"/>
      <c r="C13" s="34"/>
      <c r="D13" s="64"/>
      <c r="E13" s="65"/>
      <c r="F13" s="38"/>
    </row>
    <row r="14" spans="1:6">
      <c r="A14" s="57" t="s">
        <v>5</v>
      </c>
      <c r="B14" s="34"/>
      <c r="C14" s="34"/>
      <c r="D14" s="66"/>
      <c r="E14" s="67"/>
      <c r="F14" s="32"/>
    </row>
    <row r="15" spans="1:6">
      <c r="A15" s="68" t="s">
        <v>98</v>
      </c>
      <c r="B15" s="34">
        <v>10668.06</v>
      </c>
      <c r="C15" s="34"/>
      <c r="D15" s="69">
        <v>0</v>
      </c>
      <c r="E15" s="70">
        <f>+B15</f>
        <v>10668.06</v>
      </c>
      <c r="F15" s="35">
        <f>+D15+E15</f>
        <v>10668.06</v>
      </c>
    </row>
    <row r="16" spans="1:6">
      <c r="A16" s="68" t="s">
        <v>42</v>
      </c>
      <c r="B16" s="34">
        <v>0</v>
      </c>
      <c r="C16" s="34"/>
      <c r="D16" s="71">
        <f>+B16</f>
        <v>0</v>
      </c>
      <c r="E16" s="72">
        <v>0</v>
      </c>
      <c r="F16" s="35">
        <f>+D16+E16</f>
        <v>0</v>
      </c>
    </row>
    <row r="17" spans="1:6">
      <c r="A17" s="82" t="s">
        <v>43</v>
      </c>
      <c r="B17" s="39">
        <f>SUM(B15:B16)</f>
        <v>10668.06</v>
      </c>
      <c r="C17" s="34"/>
      <c r="D17" s="40">
        <f>SUM(D15:D16)</f>
        <v>0</v>
      </c>
      <c r="E17" s="41">
        <f>SUM(E15:E16)</f>
        <v>10668.06</v>
      </c>
      <c r="F17" s="41">
        <f>SUM(F15:F16)</f>
        <v>10668.06</v>
      </c>
    </row>
    <row r="18" spans="1:6">
      <c r="A18" s="42"/>
      <c r="B18" s="43"/>
      <c r="C18" s="44"/>
      <c r="D18" s="45"/>
      <c r="E18" s="43"/>
      <c r="F18" s="32"/>
    </row>
    <row r="19" spans="1:6">
      <c r="A19" s="88" t="s">
        <v>53</v>
      </c>
      <c r="B19" s="73">
        <f>+B11+B17</f>
        <v>89552.819999999992</v>
      </c>
      <c r="C19" s="73"/>
      <c r="D19" s="74">
        <f>+D11+D17</f>
        <v>5766.4759559999993</v>
      </c>
      <c r="E19" s="75">
        <f>+E11+E17</f>
        <v>83786.344043999983</v>
      </c>
      <c r="F19" s="76">
        <f>+D19+E19</f>
        <v>89552.819999999978</v>
      </c>
    </row>
    <row r="20" spans="1:6" ht="15" thickBot="1">
      <c r="A20" s="77" t="s">
        <v>39</v>
      </c>
      <c r="B20" s="78">
        <f>+E20+D20</f>
        <v>1</v>
      </c>
      <c r="C20" s="67"/>
      <c r="D20" s="79">
        <f>ROUND(D19/F19,4)</f>
        <v>6.4399999999999999E-2</v>
      </c>
      <c r="E20" s="78">
        <f>ROUND(E19/F19,4)</f>
        <v>0.93559999999999999</v>
      </c>
      <c r="F20" s="81">
        <f>+D20+E20</f>
        <v>1</v>
      </c>
    </row>
    <row r="21" spans="1:6" ht="15" thickTop="1"/>
  </sheetData>
  <pageMargins left="0.19685039370078741" right="0.27559055118110237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E28" sqref="E28"/>
    </sheetView>
  </sheetViews>
  <sheetFormatPr defaultRowHeight="14.6"/>
  <cols>
    <col min="1" max="1" width="39.3828125" customWidth="1"/>
    <col min="2" max="2" width="13" customWidth="1"/>
    <col min="3" max="3" width="2" customWidth="1"/>
    <col min="4" max="4" width="17.84375" customWidth="1"/>
    <col min="5" max="5" width="13.84375" customWidth="1"/>
    <col min="6" max="6" width="13.3828125" customWidth="1"/>
  </cols>
  <sheetData>
    <row r="1" spans="1:6" ht="18.45">
      <c r="A1" s="14" t="s">
        <v>6</v>
      </c>
    </row>
    <row r="2" spans="1:6">
      <c r="A2" s="15" t="s">
        <v>7</v>
      </c>
      <c r="B2" s="18"/>
      <c r="C2" s="18"/>
      <c r="D2" s="18"/>
      <c r="E2" s="18"/>
      <c r="F2" s="18"/>
    </row>
    <row r="3" spans="1:6">
      <c r="A3" s="15"/>
      <c r="B3" s="18"/>
      <c r="C3" s="18"/>
      <c r="D3" s="18"/>
      <c r="E3" s="18"/>
      <c r="F3" s="18"/>
    </row>
    <row r="4" spans="1:6">
      <c r="A4" s="16" t="s">
        <v>8</v>
      </c>
      <c r="B4" s="18"/>
      <c r="C4" s="18"/>
      <c r="D4" s="18"/>
      <c r="E4" s="18"/>
      <c r="F4" s="18"/>
    </row>
    <row r="5" spans="1:6">
      <c r="A5" s="46" t="s">
        <v>70</v>
      </c>
      <c r="B5" s="18"/>
      <c r="C5" s="18"/>
      <c r="D5" s="18"/>
      <c r="E5" s="18"/>
      <c r="F5" s="18"/>
    </row>
    <row r="6" spans="1:6">
      <c r="A6" s="47"/>
      <c r="B6" s="48"/>
      <c r="C6" s="49"/>
      <c r="D6" s="50" t="s">
        <v>0</v>
      </c>
      <c r="E6" s="48" t="s">
        <v>1</v>
      </c>
      <c r="F6" s="29"/>
    </row>
    <row r="7" spans="1:6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6">
      <c r="A8" s="31"/>
      <c r="B8" s="31"/>
      <c r="C8" s="31"/>
      <c r="D8" s="55"/>
      <c r="E8" s="56"/>
      <c r="F8" s="32"/>
    </row>
    <row r="9" spans="1:6">
      <c r="A9" s="57" t="s">
        <v>71</v>
      </c>
      <c r="B9" s="33"/>
      <c r="C9" s="33"/>
      <c r="D9" s="55"/>
      <c r="E9" s="56"/>
      <c r="F9" s="32"/>
    </row>
    <row r="10" spans="1:6">
      <c r="A10" s="58" t="s">
        <v>4</v>
      </c>
      <c r="B10" s="34"/>
      <c r="C10" s="34"/>
      <c r="D10" s="59">
        <f>+'ye 10-ABP 2011'!D20</f>
        <v>6.4399999999999999E-2</v>
      </c>
      <c r="E10" s="60">
        <f>+'ye 10-ABP 2011'!E20</f>
        <v>0.93559999999999999</v>
      </c>
      <c r="F10" s="80">
        <f>+D10+E10</f>
        <v>1</v>
      </c>
    </row>
    <row r="11" spans="1:6">
      <c r="A11" s="61" t="s">
        <v>72</v>
      </c>
      <c r="B11" s="34">
        <v>53159.97</v>
      </c>
      <c r="C11" s="34"/>
      <c r="D11" s="62">
        <f>+B11*D10</f>
        <v>3423.5020680000002</v>
      </c>
      <c r="E11" s="63">
        <f>+B11*E10</f>
        <v>49736.467932</v>
      </c>
      <c r="F11" s="35">
        <f>+D11+E11</f>
        <v>53159.97</v>
      </c>
    </row>
    <row r="12" spans="1:6">
      <c r="A12" s="61"/>
      <c r="B12" s="34"/>
      <c r="C12" s="34"/>
      <c r="D12" s="62"/>
      <c r="E12" s="63"/>
      <c r="F12" s="32"/>
    </row>
    <row r="13" spans="1:6">
      <c r="A13" s="36"/>
      <c r="B13" s="37"/>
      <c r="C13" s="34"/>
      <c r="D13" s="64"/>
      <c r="E13" s="65"/>
      <c r="F13" s="38"/>
    </row>
    <row r="14" spans="1:6">
      <c r="A14" s="57" t="s">
        <v>5</v>
      </c>
      <c r="B14" s="34"/>
      <c r="C14" s="34"/>
      <c r="D14" s="66"/>
      <c r="E14" s="67"/>
      <c r="F14" s="32"/>
    </row>
    <row r="15" spans="1:6">
      <c r="A15" s="68" t="s">
        <v>99</v>
      </c>
      <c r="B15" s="34">
        <v>26659.759999999998</v>
      </c>
      <c r="C15" s="34"/>
      <c r="D15" s="69">
        <v>0</v>
      </c>
      <c r="E15" s="70">
        <f>+B15</f>
        <v>26659.759999999998</v>
      </c>
      <c r="F15" s="35">
        <f>+D15+E15</f>
        <v>26659.759999999998</v>
      </c>
    </row>
    <row r="16" spans="1:6">
      <c r="A16" s="68" t="s">
        <v>41</v>
      </c>
      <c r="B16" s="34">
        <v>10000</v>
      </c>
      <c r="C16" s="34"/>
      <c r="D16" s="71">
        <f>+B16</f>
        <v>10000</v>
      </c>
      <c r="E16" s="72">
        <v>0</v>
      </c>
      <c r="F16" s="35">
        <f>+D16+E16</f>
        <v>10000</v>
      </c>
    </row>
    <row r="17" spans="1:6">
      <c r="A17" s="82" t="s">
        <v>72</v>
      </c>
      <c r="B17" s="39">
        <f>SUM(B15:B16)</f>
        <v>36659.759999999995</v>
      </c>
      <c r="C17" s="34"/>
      <c r="D17" s="40">
        <f>SUM(D15:D16)</f>
        <v>10000</v>
      </c>
      <c r="E17" s="41">
        <f>SUM(E15:E16)</f>
        <v>26659.759999999998</v>
      </c>
      <c r="F17" s="41">
        <f>SUM(F15:F16)</f>
        <v>36659.759999999995</v>
      </c>
    </row>
    <row r="18" spans="1:6">
      <c r="A18" s="42"/>
      <c r="B18" s="43"/>
      <c r="C18" s="44"/>
      <c r="D18" s="45"/>
      <c r="E18" s="43"/>
      <c r="F18" s="32"/>
    </row>
    <row r="19" spans="1:6">
      <c r="A19" s="88" t="s">
        <v>74</v>
      </c>
      <c r="B19" s="73">
        <f>+B11+B17</f>
        <v>89819.73</v>
      </c>
      <c r="C19" s="73"/>
      <c r="D19" s="74">
        <f>+D11+D17</f>
        <v>13423.502068</v>
      </c>
      <c r="E19" s="75">
        <f>+E11+E17</f>
        <v>76396.227931999994</v>
      </c>
      <c r="F19" s="76">
        <f>+D19+E19</f>
        <v>89819.73</v>
      </c>
    </row>
    <row r="20" spans="1:6" ht="15" thickBot="1">
      <c r="A20" s="77" t="s">
        <v>39</v>
      </c>
      <c r="B20" s="78">
        <f>+E20+D20</f>
        <v>1</v>
      </c>
      <c r="C20" s="67"/>
      <c r="D20" s="79">
        <f>ROUNDUP(D19/F19,4)</f>
        <v>0.14949999999999999</v>
      </c>
      <c r="E20" s="78">
        <f>ROUNDDOWN(E19/F19,4)</f>
        <v>0.85050000000000003</v>
      </c>
      <c r="F20" s="81">
        <f>+D20+E20</f>
        <v>1</v>
      </c>
    </row>
    <row r="21" spans="1:6" ht="15" thickTop="1"/>
  </sheetData>
  <pageMargins left="0.23" right="0.19685039370078741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16" sqref="A16"/>
    </sheetView>
  </sheetViews>
  <sheetFormatPr defaultRowHeight="14.6"/>
  <cols>
    <col min="1" max="1" width="40.15234375" customWidth="1"/>
    <col min="2" max="2" width="12.69140625" customWidth="1"/>
    <col min="3" max="3" width="1.69140625" customWidth="1"/>
    <col min="4" max="4" width="17.69140625" customWidth="1"/>
    <col min="5" max="5" width="12.69140625" customWidth="1"/>
    <col min="6" max="6" width="12" customWidth="1"/>
  </cols>
  <sheetData>
    <row r="1" spans="1:6" ht="18.45">
      <c r="A1" s="14" t="s">
        <v>6</v>
      </c>
    </row>
    <row r="2" spans="1:6">
      <c r="A2" s="15" t="s">
        <v>7</v>
      </c>
      <c r="B2" s="18"/>
      <c r="C2" s="18"/>
      <c r="D2" s="18"/>
      <c r="E2" s="18"/>
      <c r="F2" s="18"/>
    </row>
    <row r="3" spans="1:6">
      <c r="A3" s="15"/>
      <c r="B3" s="18"/>
      <c r="C3" s="18"/>
      <c r="D3" s="18"/>
      <c r="E3" s="18"/>
      <c r="F3" s="18"/>
    </row>
    <row r="4" spans="1:6">
      <c r="A4" s="16" t="s">
        <v>8</v>
      </c>
      <c r="B4" s="18"/>
      <c r="C4" s="18"/>
      <c r="D4" s="18"/>
      <c r="E4" s="18"/>
      <c r="F4" s="18"/>
    </row>
    <row r="5" spans="1:6">
      <c r="A5" s="46" t="s">
        <v>76</v>
      </c>
      <c r="B5" s="18"/>
      <c r="C5" s="18"/>
      <c r="D5" s="18"/>
      <c r="E5" s="18"/>
      <c r="F5" s="18"/>
    </row>
    <row r="6" spans="1:6">
      <c r="A6" s="47"/>
      <c r="B6" s="48"/>
      <c r="C6" s="49"/>
      <c r="D6" s="50" t="s">
        <v>0</v>
      </c>
      <c r="E6" s="48" t="s">
        <v>1</v>
      </c>
      <c r="F6" s="29"/>
    </row>
    <row r="7" spans="1:6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6">
      <c r="A8" s="31"/>
      <c r="B8" s="31"/>
      <c r="C8" s="31"/>
      <c r="D8" s="55"/>
      <c r="E8" s="56"/>
      <c r="F8" s="32"/>
    </row>
    <row r="9" spans="1:6">
      <c r="A9" s="57" t="s">
        <v>77</v>
      </c>
      <c r="B9" s="33"/>
      <c r="C9" s="33"/>
      <c r="D9" s="55"/>
      <c r="E9" s="56"/>
      <c r="F9" s="32"/>
    </row>
    <row r="10" spans="1:6">
      <c r="A10" s="58" t="s">
        <v>4</v>
      </c>
      <c r="B10" s="34"/>
      <c r="C10" s="34"/>
      <c r="D10" s="59">
        <f>+'ye 11-ABP 2012'!D20</f>
        <v>0.14949999999999999</v>
      </c>
      <c r="E10" s="60">
        <f>+'ye 11-ABP 2012'!E20</f>
        <v>0.85050000000000003</v>
      </c>
      <c r="F10" s="80">
        <f>+D10+E10</f>
        <v>1</v>
      </c>
    </row>
    <row r="11" spans="1:6">
      <c r="A11" s="61" t="s">
        <v>78</v>
      </c>
      <c r="B11" s="34">
        <v>40337.9</v>
      </c>
      <c r="C11" s="34"/>
      <c r="D11" s="62">
        <f>+B11*D10</f>
        <v>6030.5160500000002</v>
      </c>
      <c r="E11" s="63">
        <f>+B11*E10</f>
        <v>34307.383950000003</v>
      </c>
      <c r="F11" s="35">
        <f>+D11+E11</f>
        <v>40337.9</v>
      </c>
    </row>
    <row r="12" spans="1:6">
      <c r="A12" s="61"/>
      <c r="B12" s="34"/>
      <c r="C12" s="34"/>
      <c r="D12" s="62"/>
      <c r="E12" s="63"/>
      <c r="F12" s="32"/>
    </row>
    <row r="13" spans="1:6">
      <c r="A13" s="36"/>
      <c r="B13" s="37"/>
      <c r="C13" s="34"/>
      <c r="D13" s="64"/>
      <c r="E13" s="65"/>
      <c r="F13" s="38"/>
    </row>
    <row r="14" spans="1:6">
      <c r="A14" s="57" t="s">
        <v>5</v>
      </c>
      <c r="B14" s="34"/>
      <c r="C14" s="34"/>
      <c r="D14" s="66"/>
      <c r="E14" s="67"/>
      <c r="F14" s="32"/>
    </row>
    <row r="15" spans="1:6">
      <c r="A15" s="68" t="s">
        <v>100</v>
      </c>
      <c r="B15" s="34">
        <v>1091.79</v>
      </c>
      <c r="C15" s="34"/>
      <c r="D15" s="69">
        <v>0</v>
      </c>
      <c r="E15" s="70">
        <f>+B15</f>
        <v>1091.79</v>
      </c>
      <c r="F15" s="35">
        <f>+D15+E15</f>
        <v>1091.79</v>
      </c>
    </row>
    <row r="16" spans="1:6">
      <c r="A16" s="68" t="s">
        <v>73</v>
      </c>
      <c r="B16" s="34">
        <v>48000</v>
      </c>
      <c r="C16" s="34"/>
      <c r="D16" s="71">
        <f>+B16</f>
        <v>48000</v>
      </c>
      <c r="E16" s="72">
        <v>0</v>
      </c>
      <c r="F16" s="35">
        <f>+D16+E16</f>
        <v>48000</v>
      </c>
    </row>
    <row r="17" spans="1:6">
      <c r="A17" s="82" t="s">
        <v>78</v>
      </c>
      <c r="B17" s="39">
        <f>SUM(B15:B16)</f>
        <v>49091.79</v>
      </c>
      <c r="C17" s="34"/>
      <c r="D17" s="40">
        <f>SUM(D15:D16)</f>
        <v>48000</v>
      </c>
      <c r="E17" s="41">
        <f>SUM(E15:E16)</f>
        <v>1091.79</v>
      </c>
      <c r="F17" s="41">
        <f>SUM(F15:F16)</f>
        <v>49091.79</v>
      </c>
    </row>
    <row r="18" spans="1:6">
      <c r="A18" s="42"/>
      <c r="B18" s="43"/>
      <c r="C18" s="44"/>
      <c r="D18" s="45"/>
      <c r="E18" s="43"/>
      <c r="F18" s="32"/>
    </row>
    <row r="19" spans="1:6">
      <c r="A19" s="88" t="s">
        <v>80</v>
      </c>
      <c r="B19" s="73">
        <f>+B11+B17</f>
        <v>89429.69</v>
      </c>
      <c r="C19" s="73"/>
      <c r="D19" s="74">
        <f>+D11+D17</f>
        <v>54030.516049999998</v>
      </c>
      <c r="E19" s="75">
        <f>+E11+E17</f>
        <v>35399.173950000004</v>
      </c>
      <c r="F19" s="76">
        <f>+D19+E19</f>
        <v>89429.69</v>
      </c>
    </row>
    <row r="20" spans="1:6" ht="15" thickBot="1">
      <c r="A20" s="77" t="s">
        <v>39</v>
      </c>
      <c r="B20" s="78">
        <f>+E20+D20</f>
        <v>1</v>
      </c>
      <c r="C20" s="67"/>
      <c r="D20" s="79">
        <f>ROUND(D19/F19,4)</f>
        <v>0.60419999999999996</v>
      </c>
      <c r="E20" s="78">
        <f>ROUND(E19/F19,4)</f>
        <v>0.39579999999999999</v>
      </c>
      <c r="F20" s="81">
        <f>+D20+E20</f>
        <v>1</v>
      </c>
    </row>
    <row r="21" spans="1:6" ht="15" thickTop="1"/>
  </sheetData>
  <pageMargins left="0.33" right="0.19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16" sqref="A16"/>
    </sheetView>
  </sheetViews>
  <sheetFormatPr defaultRowHeight="14.6"/>
  <cols>
    <col min="1" max="1" width="39.3828125" customWidth="1"/>
    <col min="2" max="2" width="13.3046875" customWidth="1"/>
    <col min="3" max="3" width="1.69140625" customWidth="1"/>
    <col min="4" max="4" width="16.69140625" customWidth="1"/>
    <col min="5" max="5" width="13.3828125" customWidth="1"/>
    <col min="6" max="6" width="12.15234375" customWidth="1"/>
  </cols>
  <sheetData>
    <row r="1" spans="1:6" ht="18.45">
      <c r="A1" s="14" t="s">
        <v>6</v>
      </c>
    </row>
    <row r="2" spans="1:6">
      <c r="A2" s="15" t="s">
        <v>7</v>
      </c>
      <c r="B2" s="18"/>
      <c r="C2" s="18"/>
      <c r="D2" s="18"/>
      <c r="E2" s="18"/>
      <c r="F2" s="18"/>
    </row>
    <row r="3" spans="1:6">
      <c r="A3" s="15"/>
      <c r="B3" s="18"/>
      <c r="C3" s="18"/>
      <c r="D3" s="18"/>
      <c r="E3" s="18"/>
      <c r="F3" s="18"/>
    </row>
    <row r="4" spans="1:6">
      <c r="A4" s="16" t="s">
        <v>8</v>
      </c>
      <c r="B4" s="18"/>
      <c r="C4" s="18"/>
      <c r="D4" s="18"/>
      <c r="E4" s="18"/>
      <c r="F4" s="18"/>
    </row>
    <row r="5" spans="1:6">
      <c r="A5" s="46" t="s">
        <v>81</v>
      </c>
      <c r="B5" s="18"/>
      <c r="C5" s="18"/>
      <c r="D5" s="18"/>
      <c r="E5" s="18"/>
      <c r="F5" s="18"/>
    </row>
    <row r="6" spans="1:6">
      <c r="A6" s="47"/>
      <c r="B6" s="48"/>
      <c r="C6" s="49"/>
      <c r="D6" s="50" t="s">
        <v>0</v>
      </c>
      <c r="E6" s="48" t="s">
        <v>1</v>
      </c>
      <c r="F6" s="29"/>
    </row>
    <row r="7" spans="1:6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6">
      <c r="A8" s="31"/>
      <c r="B8" s="31"/>
      <c r="C8" s="31"/>
      <c r="D8" s="55"/>
      <c r="E8" s="56"/>
      <c r="F8" s="32"/>
    </row>
    <row r="9" spans="1:6">
      <c r="A9" s="57" t="s">
        <v>82</v>
      </c>
      <c r="B9" s="33"/>
      <c r="C9" s="33"/>
      <c r="D9" s="55"/>
      <c r="E9" s="56"/>
      <c r="F9" s="32"/>
    </row>
    <row r="10" spans="1:6">
      <c r="A10" s="58" t="s">
        <v>4</v>
      </c>
      <c r="B10" s="34"/>
      <c r="C10" s="34"/>
      <c r="D10" s="59">
        <f>+'ye 12-ABP 2013'!D20</f>
        <v>0.60419999999999996</v>
      </c>
      <c r="E10" s="60">
        <f>+'ye 12-ABP 2013'!E20</f>
        <v>0.39579999999999999</v>
      </c>
      <c r="F10" s="80">
        <f>+D10+E10</f>
        <v>1</v>
      </c>
    </row>
    <row r="11" spans="1:6">
      <c r="A11" s="61" t="s">
        <v>83</v>
      </c>
      <c r="B11" s="34">
        <v>53464.56</v>
      </c>
      <c r="C11" s="34"/>
      <c r="D11" s="62">
        <f>+B11*D10</f>
        <v>32303.287151999997</v>
      </c>
      <c r="E11" s="63">
        <f>+B11*E10</f>
        <v>21161.272847999997</v>
      </c>
      <c r="F11" s="35">
        <f>+D11+E11</f>
        <v>53464.56</v>
      </c>
    </row>
    <row r="12" spans="1:6">
      <c r="A12" s="61"/>
      <c r="B12" s="34"/>
      <c r="C12" s="34"/>
      <c r="D12" s="62"/>
      <c r="E12" s="63"/>
      <c r="F12" s="32"/>
    </row>
    <row r="13" spans="1:6">
      <c r="A13" s="36"/>
      <c r="B13" s="37"/>
      <c r="C13" s="34"/>
      <c r="D13" s="64"/>
      <c r="E13" s="65"/>
      <c r="F13" s="38"/>
    </row>
    <row r="14" spans="1:6">
      <c r="A14" s="57" t="s">
        <v>5</v>
      </c>
      <c r="B14" s="34"/>
      <c r="C14" s="34"/>
      <c r="D14" s="66"/>
      <c r="E14" s="67"/>
      <c r="F14" s="32"/>
    </row>
    <row r="15" spans="1:6">
      <c r="A15" s="68" t="s">
        <v>101</v>
      </c>
      <c r="B15" s="34">
        <v>22721.23</v>
      </c>
      <c r="C15" s="34"/>
      <c r="D15" s="69">
        <v>0</v>
      </c>
      <c r="E15" s="70">
        <f>+B15</f>
        <v>22721.23</v>
      </c>
      <c r="F15" s="35">
        <f>+D15+E15</f>
        <v>22721.23</v>
      </c>
    </row>
    <row r="16" spans="1:6">
      <c r="A16" s="68" t="s">
        <v>84</v>
      </c>
      <c r="B16" s="34">
        <v>0</v>
      </c>
      <c r="C16" s="34"/>
      <c r="D16" s="71">
        <f>+B16</f>
        <v>0</v>
      </c>
      <c r="E16" s="72">
        <v>0</v>
      </c>
      <c r="F16" s="35">
        <f>+D16+E16</f>
        <v>0</v>
      </c>
    </row>
    <row r="17" spans="1:6">
      <c r="A17" s="82" t="s">
        <v>83</v>
      </c>
      <c r="B17" s="39">
        <f>SUM(B15:B16)</f>
        <v>22721.23</v>
      </c>
      <c r="C17" s="34"/>
      <c r="D17" s="40">
        <f>SUM(D15:D16)</f>
        <v>0</v>
      </c>
      <c r="E17" s="41">
        <f>SUM(E15:E16)</f>
        <v>22721.23</v>
      </c>
      <c r="F17" s="41">
        <f>SUM(F15:F16)</f>
        <v>22721.23</v>
      </c>
    </row>
    <row r="18" spans="1:6">
      <c r="A18" s="42"/>
      <c r="B18" s="43"/>
      <c r="C18" s="44"/>
      <c r="D18" s="45"/>
      <c r="E18" s="43"/>
      <c r="F18" s="32"/>
    </row>
    <row r="19" spans="1:6">
      <c r="A19" s="88" t="s">
        <v>79</v>
      </c>
      <c r="B19" s="73">
        <f>+B11+B17</f>
        <v>76185.789999999994</v>
      </c>
      <c r="C19" s="73"/>
      <c r="D19" s="74">
        <f>+D11+D17</f>
        <v>32303.287151999997</v>
      </c>
      <c r="E19" s="75">
        <f>+E11+E17</f>
        <v>43882.502847999996</v>
      </c>
      <c r="F19" s="76">
        <f>+D19+E19</f>
        <v>76185.789999999994</v>
      </c>
    </row>
    <row r="20" spans="1:6" ht="15" thickBot="1">
      <c r="A20" s="77" t="s">
        <v>39</v>
      </c>
      <c r="B20" s="78">
        <f>+E20+D20</f>
        <v>1</v>
      </c>
      <c r="C20" s="67"/>
      <c r="D20" s="79">
        <f>ROUND(D19/F19,4)</f>
        <v>0.42399999999999999</v>
      </c>
      <c r="E20" s="78">
        <f>ROUND(E19/F19,4)</f>
        <v>0.57599999999999996</v>
      </c>
      <c r="F20" s="81">
        <f>+D20+E20</f>
        <v>1</v>
      </c>
    </row>
    <row r="21" spans="1:6" ht="15" thickTop="1"/>
  </sheetData>
  <pageMargins left="0.37" right="0.17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8"/>
  <sheetViews>
    <sheetView workbookViewId="0">
      <selection activeCell="D26" sqref="D26"/>
    </sheetView>
  </sheetViews>
  <sheetFormatPr defaultRowHeight="14.6"/>
  <cols>
    <col min="1" max="1" width="40.15234375" customWidth="1"/>
    <col min="2" max="2" width="12.53515625" customWidth="1"/>
    <col min="3" max="3" width="1.69140625" customWidth="1"/>
    <col min="4" max="4" width="17" customWidth="1"/>
    <col min="5" max="5" width="13.3828125" customWidth="1"/>
    <col min="6" max="6" width="12.3828125" customWidth="1"/>
  </cols>
  <sheetData>
    <row r="1" spans="1:6" ht="18.45">
      <c r="A1" s="14" t="s">
        <v>6</v>
      </c>
    </row>
    <row r="2" spans="1:6">
      <c r="A2" s="15" t="s">
        <v>7</v>
      </c>
      <c r="B2" s="18"/>
      <c r="C2" s="18"/>
      <c r="D2" s="18"/>
      <c r="E2" s="18"/>
      <c r="F2" s="18"/>
    </row>
    <row r="3" spans="1:6">
      <c r="A3" s="15"/>
      <c r="B3" s="18"/>
      <c r="C3" s="18"/>
      <c r="D3" s="18"/>
      <c r="E3" s="18"/>
      <c r="F3" s="18"/>
    </row>
    <row r="4" spans="1:6">
      <c r="A4" s="16" t="s">
        <v>8</v>
      </c>
      <c r="B4" s="18"/>
      <c r="C4" s="18"/>
      <c r="D4" s="18"/>
      <c r="E4" s="18"/>
      <c r="F4" s="18"/>
    </row>
    <row r="5" spans="1:6">
      <c r="A5" s="46" t="s">
        <v>86</v>
      </c>
      <c r="B5" s="18"/>
      <c r="C5" s="18"/>
      <c r="D5" s="18"/>
      <c r="E5" s="18"/>
      <c r="F5" s="18"/>
    </row>
    <row r="6" spans="1:6">
      <c r="A6" s="47"/>
      <c r="B6" s="48"/>
      <c r="C6" s="49"/>
      <c r="D6" s="50" t="s">
        <v>0</v>
      </c>
      <c r="E6" s="48" t="s">
        <v>1</v>
      </c>
      <c r="F6" s="29"/>
    </row>
    <row r="7" spans="1:6">
      <c r="A7" s="30"/>
      <c r="B7" s="51" t="s">
        <v>85</v>
      </c>
      <c r="C7" s="49"/>
      <c r="D7" s="52" t="s">
        <v>2</v>
      </c>
      <c r="E7" s="53" t="s">
        <v>2</v>
      </c>
      <c r="F7" s="54" t="s">
        <v>3</v>
      </c>
    </row>
    <row r="8" spans="1:6">
      <c r="A8" s="31"/>
      <c r="B8" s="31"/>
      <c r="C8" s="31"/>
      <c r="D8" s="55"/>
      <c r="E8" s="56"/>
      <c r="F8" s="32"/>
    </row>
    <row r="9" spans="1:6">
      <c r="A9" s="57" t="s">
        <v>91</v>
      </c>
      <c r="B9" s="33"/>
      <c r="C9" s="33"/>
      <c r="D9" s="55"/>
      <c r="E9" s="56"/>
      <c r="F9" s="32"/>
    </row>
    <row r="10" spans="1:6">
      <c r="A10" s="58" t="s">
        <v>4</v>
      </c>
      <c r="B10" s="34"/>
      <c r="C10" s="34"/>
      <c r="D10" s="59">
        <f>+'ye 13-ABP 2014'!D20</f>
        <v>0.42399999999999999</v>
      </c>
      <c r="E10" s="60">
        <f>+'ye 13-ABP 2014'!E20</f>
        <v>0.57599999999999996</v>
      </c>
      <c r="F10" s="80">
        <f>+D10+E10</f>
        <v>1</v>
      </c>
    </row>
    <row r="11" spans="1:6">
      <c r="A11" s="61" t="s">
        <v>87</v>
      </c>
      <c r="B11" s="34">
        <v>73226.83</v>
      </c>
      <c r="C11" s="34"/>
      <c r="D11" s="62">
        <f>+B11*D10</f>
        <v>31048.175920000001</v>
      </c>
      <c r="E11" s="63">
        <f>+B11*E10</f>
        <v>42178.65408</v>
      </c>
      <c r="F11" s="35">
        <f>+D11+E11</f>
        <v>73226.83</v>
      </c>
    </row>
    <row r="12" spans="1:6">
      <c r="A12" s="61"/>
      <c r="B12" s="34"/>
      <c r="C12" s="34"/>
      <c r="D12" s="62"/>
      <c r="E12" s="63"/>
      <c r="F12" s="32"/>
    </row>
    <row r="13" spans="1:6">
      <c r="A13" s="36"/>
      <c r="B13" s="37"/>
      <c r="C13" s="34"/>
      <c r="D13" s="106"/>
      <c r="E13" s="107"/>
      <c r="F13" s="108"/>
    </row>
    <row r="14" spans="1:6">
      <c r="A14" s="105" t="s">
        <v>92</v>
      </c>
      <c r="B14" s="34"/>
      <c r="C14" s="34"/>
      <c r="D14" s="74"/>
      <c r="E14" s="75"/>
      <c r="F14" s="35"/>
    </row>
    <row r="15" spans="1:6">
      <c r="A15" s="105" t="s">
        <v>93</v>
      </c>
      <c r="B15" s="34"/>
      <c r="C15" s="34"/>
      <c r="D15" s="74"/>
      <c r="E15" s="75"/>
      <c r="F15" s="35"/>
    </row>
    <row r="16" spans="1:6">
      <c r="A16" s="104" t="s">
        <v>94</v>
      </c>
      <c r="B16" s="34">
        <v>73519.210000000006</v>
      </c>
      <c r="C16" s="34"/>
      <c r="D16" s="69">
        <f>+B16</f>
        <v>73519.210000000006</v>
      </c>
      <c r="E16" s="70">
        <v>0</v>
      </c>
      <c r="F16" s="35">
        <f>+D16+E16</f>
        <v>73519.210000000006</v>
      </c>
    </row>
    <row r="17" spans="1:6">
      <c r="A17" s="104" t="s">
        <v>95</v>
      </c>
      <c r="B17" s="110">
        <f>-8110+4947.71</f>
        <v>-3162.29</v>
      </c>
      <c r="C17" s="34"/>
      <c r="D17" s="111">
        <f>+B17</f>
        <v>-3162.29</v>
      </c>
      <c r="E17" s="70">
        <v>0</v>
      </c>
      <c r="F17" s="112">
        <f>+D17+E17</f>
        <v>-3162.29</v>
      </c>
    </row>
    <row r="18" spans="1:6">
      <c r="A18" s="109" t="s">
        <v>87</v>
      </c>
      <c r="B18" s="39">
        <f>SUM(B16:B17)</f>
        <v>70356.920000000013</v>
      </c>
      <c r="C18" s="34"/>
      <c r="D18" s="39">
        <f t="shared" ref="D18:F18" si="0">SUM(D16:D17)</f>
        <v>70356.920000000013</v>
      </c>
      <c r="E18" s="39">
        <f t="shared" si="0"/>
        <v>0</v>
      </c>
      <c r="F18" s="39">
        <f t="shared" si="0"/>
        <v>70356.920000000013</v>
      </c>
    </row>
    <row r="19" spans="1:6">
      <c r="A19" s="31"/>
      <c r="B19" s="34"/>
      <c r="C19" s="34"/>
      <c r="D19" s="74"/>
      <c r="E19" s="75"/>
      <c r="F19" s="35"/>
    </row>
    <row r="20" spans="1:6">
      <c r="A20" s="57" t="s">
        <v>5</v>
      </c>
      <c r="B20" s="34"/>
      <c r="C20" s="34"/>
      <c r="D20" s="74"/>
      <c r="E20" s="75"/>
      <c r="F20" s="35"/>
    </row>
    <row r="21" spans="1:6">
      <c r="A21" s="68" t="s">
        <v>88</v>
      </c>
      <c r="B21" s="34">
        <v>12515.99</v>
      </c>
      <c r="C21" s="34"/>
      <c r="D21" s="69">
        <v>0</v>
      </c>
      <c r="E21" s="70">
        <f>+B21</f>
        <v>12515.99</v>
      </c>
      <c r="F21" s="35">
        <f>+D21+E21</f>
        <v>12515.99</v>
      </c>
    </row>
    <row r="22" spans="1:6">
      <c r="A22" s="68" t="s">
        <v>89</v>
      </c>
      <c r="B22" s="34">
        <v>65000</v>
      </c>
      <c r="C22" s="34"/>
      <c r="D22" s="71">
        <f>+B22</f>
        <v>65000</v>
      </c>
      <c r="E22" s="72">
        <v>0</v>
      </c>
      <c r="F22" s="35">
        <f>+D22+E22</f>
        <v>65000</v>
      </c>
    </row>
    <row r="23" spans="1:6">
      <c r="A23" s="82" t="s">
        <v>87</v>
      </c>
      <c r="B23" s="39">
        <f>SUM(B21:B22)</f>
        <v>77515.990000000005</v>
      </c>
      <c r="C23" s="34"/>
      <c r="D23" s="40">
        <f>SUM(D21:D22)</f>
        <v>65000</v>
      </c>
      <c r="E23" s="41">
        <f>SUM(E21:E22)</f>
        <v>12515.99</v>
      </c>
      <c r="F23" s="41">
        <f>SUM(F21:F22)</f>
        <v>77515.990000000005</v>
      </c>
    </row>
    <row r="24" spans="1:6">
      <c r="A24" s="42"/>
      <c r="B24" s="43"/>
      <c r="C24" s="44"/>
      <c r="D24" s="45"/>
      <c r="E24" s="43"/>
      <c r="F24" s="32"/>
    </row>
    <row r="25" spans="1:6">
      <c r="A25" s="113" t="s">
        <v>90</v>
      </c>
      <c r="B25" s="114">
        <f>+B11+B18+B23</f>
        <v>221099.74</v>
      </c>
      <c r="C25" s="114"/>
      <c r="D25" s="115">
        <f>+D11+D18+D23</f>
        <v>166405.09592000002</v>
      </c>
      <c r="E25" s="116">
        <f>+E11+E18+E23</f>
        <v>54694.644079999998</v>
      </c>
      <c r="F25" s="117">
        <f>+D25+E25</f>
        <v>221099.74000000002</v>
      </c>
    </row>
    <row r="26" spans="1:6" ht="15" thickBot="1">
      <c r="A26" s="77" t="s">
        <v>39</v>
      </c>
      <c r="B26" s="78">
        <f>+E26+D26</f>
        <v>1</v>
      </c>
      <c r="C26" s="67"/>
      <c r="D26" s="118">
        <f>ROUND(D25/F25,4)</f>
        <v>0.75260000000000005</v>
      </c>
      <c r="E26" s="119">
        <f>ROUND(E25/F25,4)</f>
        <v>0.24740000000000001</v>
      </c>
      <c r="F26" s="81">
        <f>+D26+E26</f>
        <v>1</v>
      </c>
    </row>
    <row r="27" spans="1:6" ht="15" thickTop="1"/>
    <row r="28" spans="1:6">
      <c r="D28" s="5"/>
      <c r="E28" s="5"/>
    </row>
  </sheetData>
  <pageMargins left="0.34" right="0.27559055118110237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Unded.Cont.</vt:lpstr>
      <vt:lpstr>ye 07-ABP 2008</vt:lpstr>
      <vt:lpstr>ye 08-ABP 2009</vt:lpstr>
      <vt:lpstr>ye 09-ABP 2010</vt:lpstr>
      <vt:lpstr>ye 10-ABP 2011</vt:lpstr>
      <vt:lpstr>ye 11-ABP 2012</vt:lpstr>
      <vt:lpstr>ye 12-ABP 2013</vt:lpstr>
      <vt:lpstr>ye 13-ABP 2014</vt:lpstr>
      <vt:lpstr>ye 14-ABP 2015</vt:lpstr>
      <vt:lpstr>ye 15-ABP 2016</vt:lpstr>
      <vt:lpstr>ye 16-ABP 2017</vt:lpstr>
      <vt:lpstr>ye 17-ABP 2018</vt:lpstr>
      <vt:lpstr>ye 18-ABP 2019</vt:lpstr>
      <vt:lpstr>ye 19-ABP 2020</vt:lpstr>
      <vt:lpstr>ye 20-ABP 2021</vt:lpstr>
      <vt:lpstr>EOY Tax Component</vt:lpstr>
      <vt:lpstr>'EOY Tax Component'!Print_Area</vt:lpstr>
    </vt:vector>
  </TitlesOfParts>
  <Company>Courtney &amp; 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cherie deacon</cp:lastModifiedBy>
  <cp:lastPrinted>2023-12-05T05:42:46Z</cp:lastPrinted>
  <dcterms:created xsi:type="dcterms:W3CDTF">2015-07-30T04:44:11Z</dcterms:created>
  <dcterms:modified xsi:type="dcterms:W3CDTF">2023-12-06T05:21:08Z</dcterms:modified>
</cp:coreProperties>
</file>