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V/VENM/2022/Workpapers/"/>
    </mc:Choice>
  </mc:AlternateContent>
  <xr:revisionPtr revIDLastSave="1004" documentId="8_{7DABB9F9-DAC7-48AF-95BF-A766060AAE59}" xr6:coauthVersionLast="47" xr6:coauthVersionMax="47" xr10:uidLastSave="{53F2345A-C516-4B36-9140-B90C7804048D}"/>
  <bookViews>
    <workbookView xWindow="22450" yWindow="-110" windowWidth="38620" windowHeight="21220" tabRatio="781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r:id="rId9"/>
    <sheet name="Debtors" sheetId="13" state="hidden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r:id="rId15"/>
    <sheet name="Acc fees" sheetId="6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0" l="1"/>
  <c r="J21" i="10"/>
  <c r="I26" i="10" l="1"/>
  <c r="I51" i="10"/>
  <c r="D19" i="10"/>
  <c r="D18" i="10"/>
  <c r="D17" i="10"/>
  <c r="D16" i="10"/>
  <c r="D20" i="10"/>
  <c r="C19" i="10"/>
  <c r="C18" i="10"/>
  <c r="C17" i="10"/>
  <c r="C16" i="10"/>
  <c r="H29" i="10"/>
  <c r="H30" i="10"/>
  <c r="H31" i="10"/>
  <c r="G28" i="6"/>
  <c r="I28" i="6" s="1"/>
  <c r="G27" i="6"/>
  <c r="E23" i="6"/>
  <c r="E22" i="6"/>
  <c r="E21" i="6"/>
  <c r="F20" i="6"/>
  <c r="I15" i="6"/>
  <c r="G15" i="6"/>
  <c r="G14" i="6"/>
  <c r="I13" i="6"/>
  <c r="I16" i="6" s="1"/>
  <c r="G12" i="6"/>
  <c r="G16" i="6" s="1"/>
  <c r="N15" i="6" s="1"/>
  <c r="N18" i="6" s="1"/>
  <c r="N17" i="6" s="1"/>
  <c r="G22" i="6" l="1"/>
  <c r="F23" i="6"/>
  <c r="G20" i="6"/>
  <c r="I20" i="6"/>
  <c r="F22" i="6"/>
  <c r="I22" i="6" s="1"/>
  <c r="E24" i="6"/>
  <c r="G29" i="6" s="1"/>
  <c r="F21" i="6"/>
  <c r="I21" i="6" s="1"/>
  <c r="I23" i="6" l="1"/>
  <c r="I24" i="6" s="1"/>
  <c r="G23" i="6"/>
  <c r="G21" i="6"/>
  <c r="F24" i="6"/>
  <c r="G30" i="6" s="1"/>
  <c r="I30" i="6" s="1"/>
  <c r="I31" i="6" s="1"/>
  <c r="G24" i="6"/>
  <c r="G31" i="6" l="1"/>
  <c r="G31" i="15"/>
  <c r="F31" i="15"/>
  <c r="E31" i="15"/>
  <c r="G27" i="15"/>
  <c r="F27" i="15"/>
  <c r="G29" i="15"/>
  <c r="F29" i="15"/>
  <c r="E23" i="15"/>
  <c r="E21" i="15"/>
  <c r="F21" i="15" s="1"/>
  <c r="E29" i="15" l="1"/>
  <c r="F23" i="15"/>
  <c r="G21" i="15"/>
  <c r="G23" i="15" s="1"/>
  <c r="G19" i="5" l="1"/>
  <c r="G18" i="5"/>
  <c r="G12" i="5"/>
  <c r="I15" i="8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5" i="12" l="1"/>
  <c r="H13" i="12"/>
  <c r="E13" i="12" s="1"/>
  <c r="E15" i="12" s="1"/>
  <c r="H15" i="12" l="1"/>
  <c r="F13" i="12"/>
  <c r="F15" i="12" s="1"/>
  <c r="F14" i="11" l="1"/>
  <c r="H40" i="10"/>
  <c r="H38" i="10"/>
  <c r="H37" i="10"/>
  <c r="H36" i="10"/>
  <c r="H35" i="10"/>
  <c r="H34" i="10"/>
  <c r="H33" i="10"/>
  <c r="H32" i="10"/>
  <c r="H28" i="10"/>
  <c r="H27" i="10"/>
  <c r="H20" i="10"/>
  <c r="G20" i="10"/>
  <c r="F20" i="10"/>
  <c r="E20" i="10"/>
  <c r="C20" i="10"/>
  <c r="I19" i="10"/>
  <c r="I18" i="10"/>
  <c r="I17" i="10"/>
  <c r="I16" i="10"/>
  <c r="H13" i="10"/>
  <c r="G13" i="10"/>
  <c r="F13" i="10"/>
  <c r="E13" i="10"/>
  <c r="D13" i="10"/>
  <c r="C13" i="10"/>
  <c r="I12" i="10"/>
  <c r="I11" i="10"/>
  <c r="I10" i="10"/>
  <c r="I9" i="10"/>
  <c r="H39" i="10" l="1"/>
  <c r="C22" i="10"/>
  <c r="H22" i="10"/>
  <c r="E22" i="10"/>
  <c r="F22" i="10"/>
  <c r="D22" i="10"/>
  <c r="G22" i="10"/>
  <c r="I13" i="10"/>
  <c r="C42" i="10" s="1"/>
  <c r="I20" i="10"/>
  <c r="C43" i="10" s="1"/>
  <c r="C45" i="10" l="1"/>
  <c r="C48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F19" i="4"/>
  <c r="G17" i="4"/>
  <c r="F17" i="4"/>
  <c r="H15" i="4"/>
  <c r="H14" i="4"/>
  <c r="H13" i="4"/>
  <c r="G34" i="4" l="1"/>
  <c r="G33" i="4"/>
  <c r="F30" i="4"/>
  <c r="F35" i="4" s="1"/>
  <c r="H17" i="4"/>
  <c r="G30" i="4"/>
  <c r="F33" i="4"/>
  <c r="F34" i="4"/>
  <c r="H34" i="4" l="1"/>
  <c r="H35" i="4"/>
  <c r="H33" i="4"/>
  <c r="F36" i="4"/>
  <c r="G38" i="4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<sst xmlns="http://schemas.openxmlformats.org/spreadsheetml/2006/main" count="649" uniqueCount="366">
  <si>
    <t>Client</t>
  </si>
  <si>
    <t>VENN CONSTRUCTIONS PTY LTD SUPERANNUATION FUND</t>
  </si>
  <si>
    <t>Initials</t>
  </si>
  <si>
    <t>Date</t>
  </si>
  <si>
    <t>Client Code</t>
  </si>
  <si>
    <t>9VENM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</si>
  <si>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</si>
  <si>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</si>
  <si>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</si>
  <si>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</si>
  <si>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</si>
  <si>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</si>
  <si>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</si>
  <si>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</si>
  <si>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</si>
  <si>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</si>
  <si>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</si>
  <si>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</si>
  <si>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</si>
  <si>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</si>
  <si>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</si>
  <si>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</si>
  <si>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</si>
  <si>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</si>
  <si>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</si>
  <si>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</si>
  <si>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</si>
  <si>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</si>
  <si>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</si>
  <si>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</si>
  <si>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</si>
  <si>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</si>
  <si>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</si>
  <si>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</si>
  <si>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</si>
  <si>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</si>
  <si>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</si>
  <si>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</si>
  <si>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</si>
  <si>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</si>
  <si>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</si>
  <si>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</si>
  <si>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</si>
  <si>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</si>
  <si>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</si>
  <si>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</si>
  <si>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</si>
  <si>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</si>
  <si>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</si>
  <si>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</si>
  <si>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</si>
  <si>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</si>
  <si>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</si>
  <si>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</si>
  <si>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</si>
  <si>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</si>
  <si>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</si>
  <si>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</si>
  <si>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</si>
  <si>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</si>
  <si>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</si>
  <si>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</si>
  <si>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</si>
  <si>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</si>
  <si>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</si>
  <si>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</si>
  <si>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</si>
  <si>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</si>
  <si>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</si>
  <si>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</si>
  <si>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</si>
  <si>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</si>
  <si>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</si>
  <si>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</si>
  <si>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</si>
  <si>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</si>
  <si>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</si>
  <si>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</si>
  <si>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</si>
  <si>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</si>
  <si>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</si>
  <si>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</si>
  <si>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</si>
  <si>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</si>
  <si>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</si>
  <si>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</si>
  <si>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</si>
  <si>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</si>
  <si>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</si>
  <si>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</si>
  <si>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</si>
  <si>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</si>
  <si>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</si>
  <si>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</si>
  <si>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</si>
  <si>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</si>
  <si>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</si>
  <si>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</si>
  <si>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</si>
  <si>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</si>
  <si>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</si>
  <si>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</si>
  <si>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</si>
  <si>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</si>
  <si>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</si>
  <si>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</si>
  <si>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</si>
  <si>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</si>
  <si>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</si>
  <si>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</si>
  <si>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</si>
  <si>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</si>
  <si>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</si>
  <si>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</si>
  <si>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</si>
  <si>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</si>
  <si>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</si>
  <si>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</si>
  <si>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</si>
  <si>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</si>
  <si>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</si>
  <si>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</si>
  <si>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</si>
  <si>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Not really relevant, client calculates PAYGI using instalment income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</si>
  <si>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</si>
  <si>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</si>
  <si>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</si>
  <si>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</si>
  <si>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</si>
  <si>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</si>
  <si>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</si>
  <si>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</si>
  <si>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</si>
  <si>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</si>
  <si>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</si>
  <si>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</si>
  <si>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</si>
  <si>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</si>
  <si>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</si>
  <si>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</si>
  <si>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</si>
  <si>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</si>
  <si>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</si>
  <si>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</si>
  <si>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</si>
  <si>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</si>
  <si>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HFB Fee</t>
  </si>
  <si>
    <t>HFB Fee - final adj</t>
  </si>
  <si>
    <t>Check:</t>
  </si>
  <si>
    <t>GST Instalments 2022</t>
  </si>
  <si>
    <t>Annual GST Report 2022</t>
  </si>
  <si>
    <t>Prior Year Adjustments</t>
  </si>
  <si>
    <t>Prior year adjustments represent:</t>
  </si>
  <si>
    <t>840 Balance</t>
  </si>
  <si>
    <t>2019FY</t>
  </si>
  <si>
    <t>Check</t>
  </si>
  <si>
    <t>Rounding</t>
  </si>
  <si>
    <t>2020FY</t>
  </si>
  <si>
    <t>June &amp; July 2019 rent not reported</t>
  </si>
  <si>
    <t>2021FY</t>
  </si>
  <si>
    <t>Bank Balance Confirm</t>
  </si>
  <si>
    <t>Notes or Comments</t>
  </si>
  <si>
    <t>Bank Accounts</t>
  </si>
  <si>
    <t>PER BGL</t>
  </si>
  <si>
    <t>PER SUPPORT DOC</t>
  </si>
  <si>
    <t>VARIANCE</t>
  </si>
  <si>
    <t>NAB551371270</t>
  </si>
  <si>
    <t>NAB Business Everyday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</si>
  <si>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</si>
  <si>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</si>
  <si>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</si>
  <si>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</si>
  <si>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</si>
  <si>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</si>
  <si>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</si>
  <si>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</si>
  <si>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</si>
  <si>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</si>
  <si>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</si>
  <si>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</si>
  <si>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</si>
  <si>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</si>
  <si>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</si>
  <si>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</si>
  <si>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</si>
  <si>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</si>
  <si>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</si>
  <si>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</si>
  <si>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</si>
  <si>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</si>
  <si>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</si>
  <si>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</si>
  <si>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</si>
  <si>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</si>
  <si>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</si>
  <si>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</si>
  <si>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</si>
  <si>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</si>
  <si>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</si>
  <si>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</si>
  <si>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</si>
  <si>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</si>
  <si>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</si>
  <si>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</si>
  <si>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</si>
  <si>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</si>
  <si>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</si>
  <si>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</si>
  <si>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</si>
  <si>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</si>
  <si>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</si>
  <si>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</si>
  <si>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</si>
  <si>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</si>
  <si>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</si>
  <si>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</si>
  <si>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</si>
  <si>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</si>
  <si>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</si>
  <si>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</si>
  <si>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</si>
  <si>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</si>
  <si>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</si>
  <si>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</si>
  <si>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</si>
  <si>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</si>
  <si>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</si>
  <si>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</si>
  <si>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</si>
  <si>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</si>
  <si>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</si>
  <si>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</si>
  <si>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</si>
  <si>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</si>
  <si>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</si>
  <si>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</si>
  <si>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</si>
  <si>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</si>
  <si>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</si>
  <si>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</si>
  <si>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</si>
  <si>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</si>
  <si>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</si>
  <si>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VENM0021</t>
  </si>
  <si>
    <t>2 / 176 Redland Bay Rd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</si>
  <si>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</si>
  <si>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</si>
  <si>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</si>
  <si>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</si>
  <si>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</si>
  <si>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</si>
  <si>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</si>
  <si>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</si>
  <si>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</si>
  <si>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</si>
  <si>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</si>
  <si>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June 2022 BAS</t>
  </si>
  <si>
    <t>June 2022 Amended BAS</t>
  </si>
  <si>
    <t>See shortfall on GST Rec tab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</si>
  <si>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</si>
  <si>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</si>
  <si>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</si>
  <si>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</si>
  <si>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</si>
  <si>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</si>
  <si>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</si>
  <si>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</si>
  <si>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</si>
  <si>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</si>
  <si>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</si>
  <si>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</si>
  <si>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</si>
  <si>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</si>
  <si>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</si>
  <si>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</si>
  <si>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</si>
  <si>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</si>
  <si>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</si>
  <si>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</si>
  <si>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</si>
  <si>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</si>
  <si>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</si>
  <si>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</si>
  <si>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</si>
  <si>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</si>
  <si>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</si>
  <si>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</si>
  <si>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</si>
  <si>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</si>
  <si>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</si>
  <si>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</si>
  <si>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</si>
  <si>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</si>
  <si>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</si>
  <si>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</si>
  <si>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</si>
  <si>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</si>
  <si>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</si>
  <si>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</si>
  <si>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</si>
  <si>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</si>
  <si>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</si>
  <si>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</si>
  <si>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</si>
  <si>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</si>
  <si>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</si>
  <si>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</si>
  <si>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</si>
  <si>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</si>
  <si>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</si>
  <si>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</si>
  <si>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</si>
  <si>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</si>
  <si>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</si>
  <si>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</si>
  <si>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</si>
  <si>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</si>
  <si>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</si>
  <si>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Gross</t>
  </si>
  <si>
    <t>Lease to Venn Constructions Pty Ltd (related party)</t>
  </si>
  <si>
    <t>Lease details:</t>
  </si>
  <si>
    <t>Lease period</t>
  </si>
  <si>
    <t>01/07/2020 to 30/06/2023 (3 yrs)</t>
  </si>
  <si>
    <t>$3,213 + GST ($2,711.70 rent plus $501.30 outgoings)</t>
  </si>
  <si>
    <t>Rent review/s</t>
  </si>
  <si>
    <t>Market revivew at the end of 2yr term - 01/07/2022</t>
  </si>
  <si>
    <t>Outgoings</t>
  </si>
  <si>
    <t xml:space="preserve">Included within the rent amount above </t>
  </si>
  <si>
    <t>Options to renew</t>
  </si>
  <si>
    <t>None</t>
  </si>
  <si>
    <t xml:space="preserve">Rent per lease agreement </t>
  </si>
  <si>
    <t>Monthly rent incl outgoings x 12</t>
  </si>
  <si>
    <t>Annual rent incl outgoings</t>
  </si>
  <si>
    <t>Rent received</t>
  </si>
  <si>
    <t>1/7/2021 to 30/06/2022</t>
  </si>
  <si>
    <t>TOTAL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</si>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</sst>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7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0" fillId="0" borderId="12" xfId="2" applyFont="1" applyBorder="1"/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 applyAlignment="1">
      <alignment horizontal="center" wrapText="1"/>
    </xf>
    <xf numFmtId="0" fontId="29" fillId="0" borderId="0" xfId="0" applyFont="1"/>
    <xf numFmtId="165" fontId="0" fillId="0" borderId="26" xfId="1" applyFont="1" applyBorder="1"/>
    <xf numFmtId="16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5" fontId="0" fillId="0" borderId="28" xfId="0" applyNumberFormat="1" applyBorder="1"/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vertical="center" wrapText="1"/>
    </xf>
    <xf numFmtId="0" fontId="32" fillId="0" borderId="65" xfId="5" quotePrefix="1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4" fontId="0" fillId="4" borderId="0" xfId="2" applyFont="1" applyFill="1" applyBorder="1"/>
    <xf numFmtId="164" fontId="0" fillId="4" borderId="31" xfId="2" applyFont="1" applyFill="1" applyBorder="1"/>
    <xf numFmtId="165" fontId="0" fillId="4" borderId="0" xfId="1" applyFont="1" applyFill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35" fillId="0" borderId="0" xfId="0" applyFont="1"/>
    <xf numFmtId="164" fontId="2" fillId="0" borderId="9" xfId="2" applyFont="1" applyBorder="1"/>
    <xf numFmtId="165" fontId="29" fillId="0" borderId="0" xfId="1" applyFont="1"/>
    <xf numFmtId="0" fontId="36" fillId="0" borderId="0" xfId="0" applyFont="1"/>
    <xf numFmtId="165" fontId="0" fillId="8" borderId="0" xfId="1" quotePrefix="1" applyFont="1" applyFill="1"/>
    <xf numFmtId="0" fontId="22" fillId="0" borderId="45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9" fillId="0" borderId="48" xfId="0" applyFont="1" applyBorder="1"/>
    <xf numFmtId="0" fontId="9" fillId="0" borderId="19" xfId="0" applyFont="1" applyBorder="1"/>
    <xf numFmtId="0" fontId="9" fillId="0" borderId="1" xfId="0" applyFont="1" applyBorder="1"/>
    <xf numFmtId="164" fontId="9" fillId="0" borderId="1" xfId="2" applyFont="1" applyBorder="1" applyAlignment="1"/>
    <xf numFmtId="164" fontId="9" fillId="0" borderId="1" xfId="2" applyFont="1" applyBorder="1"/>
    <xf numFmtId="164" fontId="9" fillId="0" borderId="10" xfId="0" applyNumberFormat="1" applyFont="1" applyBorder="1"/>
    <xf numFmtId="164" fontId="9" fillId="0" borderId="51" xfId="0" applyNumberFormat="1" applyFont="1" applyBorder="1"/>
    <xf numFmtId="164" fontId="22" fillId="11" borderId="69" xfId="0" applyNumberFormat="1" applyFont="1" applyFill="1" applyBorder="1"/>
    <xf numFmtId="164" fontId="9" fillId="0" borderId="19" xfId="2" applyFont="1" applyBorder="1" applyAlignment="1"/>
    <xf numFmtId="164" fontId="9" fillId="0" borderId="51" xfId="2" applyFont="1" applyBorder="1"/>
    <xf numFmtId="0" fontId="9" fillId="0" borderId="15" xfId="0" applyFont="1" applyBorder="1"/>
    <xf numFmtId="0" fontId="9" fillId="0" borderId="16" xfId="0" applyFont="1" applyBorder="1"/>
    <xf numFmtId="0" fontId="9" fillId="0" borderId="55" xfId="0" applyFont="1" applyBorder="1"/>
    <xf numFmtId="164" fontId="37" fillId="0" borderId="56" xfId="0" applyNumberFormat="1" applyFont="1" applyBorder="1"/>
    <xf numFmtId="14" fontId="0" fillId="4" borderId="0" xfId="1" applyNumberFormat="1" applyFont="1" applyFill="1"/>
    <xf numFmtId="164" fontId="33" fillId="0" borderId="0" xfId="2" applyFont="1" applyBorder="1" applyAlignment="1">
      <alignment horizontal="center"/>
    </xf>
    <xf numFmtId="165" fontId="2" fillId="0" borderId="0" xfId="1" applyFont="1"/>
    <xf numFmtId="0" fontId="38" fillId="0" borderId="0" xfId="0" applyFont="1"/>
    <xf numFmtId="3" fontId="38" fillId="0" borderId="0" xfId="0" applyNumberFormat="1" applyFont="1"/>
    <xf numFmtId="0" fontId="29" fillId="0" borderId="0" xfId="0" applyFont="1" applyAlignment="1">
      <alignment horizontal="left"/>
    </xf>
    <xf numFmtId="165" fontId="29" fillId="0" borderId="1" xfId="1" applyFont="1" applyBorder="1"/>
    <xf numFmtId="3" fontId="29" fillId="0" borderId="0" xfId="8" applyNumberFormat="1" applyFont="1"/>
    <xf numFmtId="43" fontId="29" fillId="0" borderId="31" xfId="8" applyNumberFormat="1" applyFont="1" applyBorder="1"/>
    <xf numFmtId="0" fontId="38" fillId="0" borderId="31" xfId="0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9" fillId="0" borderId="11" xfId="0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0" fontId="22" fillId="0" borderId="46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9" fillId="0" borderId="11" xfId="0" applyFont="1" applyBorder="1" applyAlignment="1"/>
    <xf numFmtId="0" fontId="9" fillId="0" borderId="12" xfId="0" applyFont="1" applyBorder="1" applyAlignment="1"/>
    <xf numFmtId="0" fontId="9" fillId="0" borderId="19" xfId="0" applyFont="1" applyBorder="1" applyAlignment="1"/>
    <xf numFmtId="0" fontId="22" fillId="0" borderId="11" xfId="0" applyFont="1" applyBorder="1" applyAlignment="1"/>
    <xf numFmtId="0" fontId="22" fillId="0" borderId="12" xfId="0" applyFont="1" applyBorder="1" applyAlignment="1"/>
    <xf numFmtId="0" fontId="22" fillId="0" borderId="19" xfId="0" applyFont="1" applyBorder="1" applyAlignment="1"/>
    <xf numFmtId="0" fontId="22" fillId="0" borderId="1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37" fillId="0" borderId="56" xfId="0" applyFont="1" applyBorder="1" applyAlignment="1"/>
    <xf numFmtId="0" fontId="9" fillId="0" borderId="61" xfId="0" applyFont="1" applyBorder="1" applyAlignment="1"/>
    <xf numFmtId="0" fontId="9" fillId="0" borderId="30" xfId="0" applyFont="1" applyBorder="1" applyAlignment="1"/>
    <xf numFmtId="0" fontId="9" fillId="0" borderId="70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52" workbookViewId="0">
      <selection activeCell="E66" sqref="E66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44985</v>
      </c>
    </row>
    <row r="3" spans="1:9" ht="18">
      <c r="A3" s="117" t="s">
        <v>8</v>
      </c>
      <c r="B3" s="121"/>
      <c r="C3" s="119">
        <v>44742</v>
      </c>
      <c r="D3" s="53"/>
      <c r="E3" s="53"/>
      <c r="F3" s="55"/>
      <c r="G3" s="59" t="s">
        <v>9</v>
      </c>
      <c r="H3" s="60" t="s">
        <v>10</v>
      </c>
      <c r="I3" s="61">
        <v>44986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87" t="s">
        <v>15</v>
      </c>
      <c r="G7" s="288"/>
      <c r="H7" s="289"/>
    </row>
    <row r="8" spans="1:9" ht="20.100000000000001" customHeight="1">
      <c r="A8" s="290" t="s">
        <v>16</v>
      </c>
      <c r="B8" s="291"/>
      <c r="C8" s="292"/>
      <c r="D8" s="217"/>
      <c r="E8" s="10" t="s">
        <v>17</v>
      </c>
      <c r="F8" s="284"/>
      <c r="G8" s="285"/>
      <c r="H8" s="286"/>
    </row>
    <row r="9" spans="1:9" ht="20.100000000000001" customHeight="1">
      <c r="A9" s="11"/>
      <c r="B9" s="12">
        <v>1</v>
      </c>
      <c r="C9" s="13" t="s">
        <v>18</v>
      </c>
      <c r="D9" s="217"/>
      <c r="E9" s="10" t="s">
        <v>17</v>
      </c>
      <c r="F9" s="284"/>
      <c r="G9" s="285"/>
      <c r="H9" s="286"/>
    </row>
    <row r="10" spans="1:9" ht="20.100000000000001" customHeight="1">
      <c r="A10" s="11"/>
      <c r="B10" s="12">
        <v>2</v>
      </c>
      <c r="C10" s="13" t="s">
        <v>19</v>
      </c>
      <c r="D10" s="217"/>
      <c r="E10" s="10" t="s">
        <v>17</v>
      </c>
      <c r="F10" s="284"/>
      <c r="G10" s="285"/>
      <c r="H10" s="286"/>
    </row>
    <row r="11" spans="1:9" ht="20.100000000000001" customHeight="1">
      <c r="A11" s="11"/>
      <c r="B11" s="12">
        <v>3</v>
      </c>
      <c r="C11" s="13" t="s">
        <v>20</v>
      </c>
      <c r="D11" s="217"/>
      <c r="E11" s="10" t="s">
        <v>17</v>
      </c>
      <c r="F11" s="284"/>
      <c r="G11" s="285"/>
      <c r="H11" s="286"/>
    </row>
    <row r="12" spans="1:9" ht="20.100000000000001" customHeight="1">
      <c r="A12" s="11"/>
      <c r="B12" s="12">
        <v>4</v>
      </c>
      <c r="C12" s="13" t="s">
        <v>21</v>
      </c>
      <c r="D12" s="217"/>
      <c r="E12" s="10" t="s">
        <v>17</v>
      </c>
      <c r="F12" s="284"/>
      <c r="G12" s="285"/>
      <c r="H12" s="286"/>
    </row>
    <row r="13" spans="1:9" ht="20.100000000000001" customHeight="1">
      <c r="A13" s="11"/>
      <c r="B13" s="12">
        <v>5</v>
      </c>
      <c r="C13" s="12" t="s">
        <v>22</v>
      </c>
      <c r="D13" s="217"/>
      <c r="E13" s="10" t="s">
        <v>17</v>
      </c>
      <c r="F13" s="284"/>
      <c r="G13" s="285"/>
      <c r="H13" s="286"/>
    </row>
    <row r="14" spans="1:9" ht="20.100000000000001" customHeight="1">
      <c r="A14" s="11"/>
      <c r="B14" s="12">
        <v>6</v>
      </c>
      <c r="C14" s="14" t="s">
        <v>23</v>
      </c>
      <c r="D14" s="217"/>
      <c r="E14" s="10" t="s">
        <v>17</v>
      </c>
      <c r="F14" s="284"/>
      <c r="G14" s="285"/>
      <c r="H14" s="286"/>
    </row>
    <row r="15" spans="1:9" ht="20.100000000000001" customHeight="1">
      <c r="A15" s="15"/>
      <c r="B15" s="16">
        <v>7</v>
      </c>
      <c r="C15" s="12" t="s">
        <v>24</v>
      </c>
      <c r="D15" s="217"/>
      <c r="E15" s="10" t="s">
        <v>17</v>
      </c>
      <c r="F15" s="284"/>
      <c r="G15" s="285"/>
      <c r="H15" s="286"/>
    </row>
    <row r="16" spans="1:9" ht="20.100000000000001" customHeight="1">
      <c r="A16" s="15"/>
      <c r="B16" s="16">
        <v>8</v>
      </c>
      <c r="C16" s="12" t="s">
        <v>25</v>
      </c>
      <c r="D16" s="217"/>
      <c r="E16" s="10"/>
      <c r="F16" s="284"/>
      <c r="G16" s="285"/>
      <c r="H16" s="286"/>
    </row>
    <row r="17" spans="1:10" ht="20.100000000000001" customHeight="1">
      <c r="A17" s="281" t="s">
        <v>26</v>
      </c>
      <c r="B17" s="282"/>
      <c r="C17" s="283"/>
      <c r="D17" s="217"/>
      <c r="E17" s="17"/>
      <c r="F17" s="284"/>
      <c r="G17" s="285"/>
      <c r="H17" s="286"/>
      <c r="J17" s="18"/>
    </row>
    <row r="18" spans="1:10" ht="20.100000000000001" customHeight="1">
      <c r="A18" s="19">
        <v>2</v>
      </c>
      <c r="B18" s="20" t="s">
        <v>27</v>
      </c>
      <c r="C18" s="21"/>
      <c r="D18" s="217"/>
      <c r="E18" s="17"/>
      <c r="F18" s="284"/>
      <c r="G18" s="285"/>
      <c r="H18" s="286"/>
    </row>
    <row r="19" spans="1:10" ht="20.100000000000001" customHeight="1">
      <c r="A19" s="22"/>
      <c r="B19" s="23"/>
      <c r="C19" s="24" t="s">
        <v>28</v>
      </c>
      <c r="D19" s="217"/>
      <c r="E19" s="10" t="s">
        <v>17</v>
      </c>
      <c r="F19" s="284"/>
      <c r="G19" s="285"/>
      <c r="H19" s="286"/>
    </row>
    <row r="20" spans="1:10" ht="20.100000000000001" customHeight="1">
      <c r="A20" s="22"/>
      <c r="B20" s="23"/>
      <c r="C20" s="24" t="s">
        <v>29</v>
      </c>
      <c r="D20" s="217"/>
      <c r="E20" s="10"/>
      <c r="F20" s="284"/>
      <c r="G20" s="285"/>
      <c r="H20" s="286"/>
    </row>
    <row r="21" spans="1:10" ht="20.100000000000001" customHeight="1">
      <c r="A21" s="11"/>
      <c r="B21" s="25"/>
      <c r="C21" s="14" t="s">
        <v>30</v>
      </c>
      <c r="D21" s="217"/>
      <c r="E21" s="10" t="s">
        <v>17</v>
      </c>
      <c r="F21" s="284"/>
      <c r="G21" s="285"/>
      <c r="H21" s="286"/>
    </row>
    <row r="22" spans="1:10" ht="20.100000000000001" customHeight="1">
      <c r="A22" s="11"/>
      <c r="B22" s="26"/>
      <c r="C22" s="14" t="s">
        <v>31</v>
      </c>
      <c r="D22" s="218" t="s">
        <v>32</v>
      </c>
      <c r="E22" s="10"/>
      <c r="F22" s="284"/>
      <c r="G22" s="285"/>
      <c r="H22" s="286"/>
    </row>
    <row r="23" spans="1:10" ht="20.100000000000001" customHeight="1">
      <c r="A23" s="19">
        <v>3</v>
      </c>
      <c r="B23" s="27" t="s">
        <v>33</v>
      </c>
      <c r="C23" s="21"/>
      <c r="D23" s="217"/>
      <c r="E23" s="17"/>
      <c r="F23" s="284"/>
      <c r="G23" s="285"/>
      <c r="H23" s="286"/>
    </row>
    <row r="24" spans="1:10" ht="20.100000000000001" customHeight="1">
      <c r="A24" s="11"/>
      <c r="B24" s="28"/>
      <c r="C24" s="14" t="s">
        <v>34</v>
      </c>
      <c r="D24" s="237" t="s">
        <v>32</v>
      </c>
      <c r="E24" s="10" t="s">
        <v>17</v>
      </c>
      <c r="F24" s="284"/>
      <c r="G24" s="285"/>
      <c r="H24" s="286"/>
    </row>
    <row r="25" spans="1:10" ht="20.100000000000001" customHeight="1">
      <c r="A25" s="19">
        <v>4</v>
      </c>
      <c r="B25" s="27" t="s">
        <v>35</v>
      </c>
      <c r="C25" s="27"/>
      <c r="D25" s="217"/>
      <c r="E25" s="10"/>
      <c r="F25" s="284"/>
      <c r="G25" s="285"/>
      <c r="H25" s="286"/>
    </row>
    <row r="26" spans="1:10" ht="20.100000000000001" customHeight="1">
      <c r="A26" s="22"/>
      <c r="B26" s="23"/>
      <c r="C26" s="24" t="s">
        <v>36</v>
      </c>
      <c r="D26" s="218" t="s">
        <v>32</v>
      </c>
      <c r="E26" s="10"/>
      <c r="F26" s="284"/>
      <c r="G26" s="285"/>
      <c r="H26" s="286"/>
    </row>
    <row r="27" spans="1:10" ht="20.100000000000001" customHeight="1">
      <c r="A27" s="11"/>
      <c r="B27" s="25"/>
      <c r="C27" s="14" t="s">
        <v>37</v>
      </c>
      <c r="D27" s="218" t="s">
        <v>32</v>
      </c>
      <c r="E27" s="10"/>
      <c r="F27" s="284"/>
      <c r="G27" s="285"/>
      <c r="H27" s="286"/>
    </row>
    <row r="28" spans="1:10" ht="20.100000000000001" customHeight="1">
      <c r="A28" s="11"/>
      <c r="B28" s="26"/>
      <c r="C28" s="14" t="s">
        <v>38</v>
      </c>
      <c r="D28" s="218" t="s">
        <v>32</v>
      </c>
      <c r="E28" s="10"/>
      <c r="F28" s="284"/>
      <c r="G28" s="285"/>
      <c r="H28" s="286"/>
    </row>
    <row r="29" spans="1:10" ht="20.100000000000001" customHeight="1">
      <c r="A29" s="11"/>
      <c r="B29" s="26"/>
      <c r="C29" s="14" t="s">
        <v>39</v>
      </c>
      <c r="D29" s="218" t="s">
        <v>32</v>
      </c>
      <c r="E29" s="10"/>
      <c r="F29" s="284"/>
      <c r="G29" s="285"/>
      <c r="H29" s="286"/>
    </row>
    <row r="30" spans="1:10" ht="20.100000000000001" customHeight="1">
      <c r="A30" s="11"/>
      <c r="B30" s="26"/>
      <c r="C30" s="14" t="s">
        <v>40</v>
      </c>
      <c r="D30" s="218" t="s">
        <v>32</v>
      </c>
      <c r="E30" s="10"/>
      <c r="F30" s="284"/>
      <c r="G30" s="285"/>
      <c r="H30" s="286"/>
    </row>
    <row r="31" spans="1:10" ht="20.100000000000001" customHeight="1">
      <c r="A31" s="19">
        <v>5</v>
      </c>
      <c r="B31" s="27" t="s">
        <v>41</v>
      </c>
      <c r="C31" s="27"/>
      <c r="D31" s="217"/>
      <c r="E31" s="10"/>
      <c r="F31" s="284"/>
      <c r="G31" s="285"/>
      <c r="H31" s="286"/>
    </row>
    <row r="32" spans="1:10" ht="20.100000000000001" customHeight="1">
      <c r="A32" s="22"/>
      <c r="B32" s="28"/>
      <c r="C32" s="14" t="s">
        <v>42</v>
      </c>
      <c r="D32" s="217"/>
      <c r="E32" s="10"/>
      <c r="F32" s="284"/>
      <c r="G32" s="285"/>
      <c r="H32" s="286"/>
    </row>
    <row r="33" spans="1:8" ht="20.100000000000001" customHeight="1">
      <c r="A33" s="11"/>
      <c r="B33" s="28"/>
      <c r="C33" s="14" t="s">
        <v>43</v>
      </c>
      <c r="D33" s="218" t="s">
        <v>32</v>
      </c>
      <c r="E33" s="10"/>
      <c r="F33" s="284"/>
      <c r="G33" s="285"/>
      <c r="H33" s="286"/>
    </row>
    <row r="34" spans="1:8" ht="20.100000000000001" customHeight="1">
      <c r="A34" s="11"/>
      <c r="B34" s="28"/>
      <c r="C34" s="14" t="s">
        <v>44</v>
      </c>
      <c r="D34" s="217"/>
      <c r="E34" s="17"/>
      <c r="F34" s="284"/>
      <c r="G34" s="285"/>
      <c r="H34" s="286"/>
    </row>
    <row r="35" spans="1:8" ht="20.100000000000001" customHeight="1">
      <c r="A35" s="11"/>
      <c r="B35" s="28"/>
      <c r="C35" s="14" t="s">
        <v>45</v>
      </c>
      <c r="D35" s="218" t="s">
        <v>32</v>
      </c>
      <c r="E35" s="10"/>
      <c r="F35" s="284"/>
      <c r="G35" s="285"/>
      <c r="H35" s="286"/>
    </row>
    <row r="36" spans="1:8" ht="20.100000000000001" customHeight="1">
      <c r="A36" s="11"/>
      <c r="B36" s="28"/>
      <c r="C36" s="14" t="s">
        <v>46</v>
      </c>
      <c r="D36" s="217"/>
      <c r="E36" s="10"/>
      <c r="F36" s="284"/>
      <c r="G36" s="285"/>
      <c r="H36" s="286"/>
    </row>
    <row r="37" spans="1:8" ht="20.100000000000001" customHeight="1">
      <c r="A37" s="11"/>
      <c r="B37" s="28"/>
      <c r="C37" s="14" t="s">
        <v>47</v>
      </c>
      <c r="D37" s="217"/>
      <c r="E37" s="17"/>
      <c r="F37" s="284"/>
      <c r="G37" s="285"/>
      <c r="H37" s="286"/>
    </row>
    <row r="38" spans="1:8" ht="20.100000000000001" customHeight="1">
      <c r="A38" s="11"/>
      <c r="B38" s="28"/>
      <c r="C38" s="14" t="s">
        <v>48</v>
      </c>
      <c r="D38" s="218" t="s">
        <v>32</v>
      </c>
      <c r="E38" s="10" t="s">
        <v>17</v>
      </c>
      <c r="F38" s="284"/>
      <c r="G38" s="285"/>
      <c r="H38" s="286"/>
    </row>
    <row r="39" spans="1:8" ht="20.100000000000001" customHeight="1">
      <c r="A39" s="19">
        <v>6</v>
      </c>
      <c r="B39" s="27" t="s">
        <v>49</v>
      </c>
      <c r="C39" s="27"/>
      <c r="D39" s="217"/>
      <c r="E39" s="10"/>
      <c r="F39" s="284"/>
      <c r="G39" s="285"/>
      <c r="H39" s="286"/>
    </row>
    <row r="40" spans="1:8" ht="20.100000000000001" customHeight="1">
      <c r="A40" s="11"/>
      <c r="B40" s="28"/>
      <c r="C40" s="14" t="s">
        <v>50</v>
      </c>
      <c r="D40" s="217"/>
      <c r="E40" s="10" t="s">
        <v>17</v>
      </c>
      <c r="F40" s="284"/>
      <c r="G40" s="285"/>
      <c r="H40" s="286"/>
    </row>
    <row r="41" spans="1:8" ht="20.100000000000001" customHeight="1">
      <c r="A41" s="11"/>
      <c r="B41" s="28"/>
      <c r="C41" s="14" t="s">
        <v>51</v>
      </c>
      <c r="D41" s="217"/>
      <c r="E41" s="17"/>
      <c r="F41" s="284"/>
      <c r="G41" s="285"/>
      <c r="H41" s="286"/>
    </row>
    <row r="42" spans="1:8" ht="20.100000000000001" customHeight="1">
      <c r="A42" s="11"/>
      <c r="B42" s="28"/>
      <c r="C42" s="14" t="s">
        <v>52</v>
      </c>
      <c r="D42" s="217"/>
      <c r="E42" s="17"/>
      <c r="F42" s="284"/>
      <c r="G42" s="285"/>
      <c r="H42" s="286"/>
    </row>
    <row r="43" spans="1:8" ht="20.100000000000001" customHeight="1">
      <c r="A43" s="11"/>
      <c r="B43" s="28"/>
      <c r="C43" s="14" t="s">
        <v>53</v>
      </c>
      <c r="D43" s="217"/>
      <c r="E43" s="17"/>
      <c r="F43" s="284"/>
      <c r="G43" s="285"/>
      <c r="H43" s="286"/>
    </row>
    <row r="44" spans="1:8" ht="20.100000000000001" customHeight="1">
      <c r="A44" s="11"/>
      <c r="B44" s="28"/>
      <c r="C44" s="14" t="s">
        <v>54</v>
      </c>
      <c r="D44" s="217"/>
      <c r="E44" s="17"/>
      <c r="F44" s="284"/>
      <c r="G44" s="285"/>
      <c r="H44" s="286"/>
    </row>
    <row r="45" spans="1:8" ht="20.100000000000001" customHeight="1">
      <c r="A45" s="11"/>
      <c r="B45" s="28"/>
      <c r="C45" s="14" t="s">
        <v>55</v>
      </c>
      <c r="D45" s="217"/>
      <c r="E45" s="10"/>
      <c r="F45" s="284"/>
      <c r="G45" s="285"/>
      <c r="H45" s="286"/>
    </row>
    <row r="46" spans="1:8" ht="20.100000000000001" customHeight="1">
      <c r="A46" s="19">
        <v>7</v>
      </c>
      <c r="B46" s="27" t="s">
        <v>56</v>
      </c>
      <c r="C46" s="27"/>
      <c r="D46" s="217"/>
      <c r="E46" s="17"/>
      <c r="F46" s="284"/>
      <c r="G46" s="285"/>
      <c r="H46" s="286"/>
    </row>
    <row r="47" spans="1:8" ht="20.100000000000001" customHeight="1">
      <c r="A47" s="11"/>
      <c r="B47" s="28"/>
      <c r="C47" s="14" t="s">
        <v>57</v>
      </c>
      <c r="D47" s="218" t="s">
        <v>32</v>
      </c>
      <c r="E47" s="10" t="s">
        <v>17</v>
      </c>
      <c r="F47" s="284"/>
      <c r="G47" s="285"/>
      <c r="H47" s="286"/>
    </row>
    <row r="48" spans="1:8" ht="20.100000000000001" customHeight="1">
      <c r="A48" s="11"/>
      <c r="B48" s="29"/>
      <c r="C48" s="14" t="s">
        <v>58</v>
      </c>
      <c r="D48" s="217"/>
      <c r="E48" s="17"/>
      <c r="F48" s="284"/>
      <c r="G48" s="285"/>
      <c r="H48" s="286"/>
    </row>
    <row r="49" spans="1:8" ht="20.100000000000001" customHeight="1">
      <c r="A49" s="19">
        <v>8</v>
      </c>
      <c r="B49" s="27" t="s">
        <v>59</v>
      </c>
      <c r="C49" s="27"/>
      <c r="D49" s="217"/>
      <c r="E49" s="17"/>
      <c r="F49" s="284"/>
      <c r="G49" s="285"/>
      <c r="H49" s="286"/>
    </row>
    <row r="50" spans="1:8" ht="20.100000000000001" customHeight="1">
      <c r="A50" s="11"/>
      <c r="B50" s="28"/>
      <c r="C50" s="24" t="s">
        <v>60</v>
      </c>
      <c r="D50" s="217"/>
      <c r="E50" s="10"/>
      <c r="F50" s="284"/>
      <c r="G50" s="285"/>
      <c r="H50" s="286"/>
    </row>
    <row r="51" spans="1:8" ht="20.100000000000001" customHeight="1">
      <c r="A51" s="11"/>
      <c r="B51" s="30"/>
      <c r="C51" s="14" t="s">
        <v>61</v>
      </c>
      <c r="D51" s="218" t="s">
        <v>32</v>
      </c>
      <c r="E51" s="10"/>
      <c r="F51" s="284"/>
      <c r="G51" s="285"/>
      <c r="H51" s="286"/>
    </row>
    <row r="52" spans="1:8" ht="20.100000000000001" customHeight="1">
      <c r="A52" s="11"/>
      <c r="B52" s="30"/>
      <c r="C52" s="24" t="s">
        <v>62</v>
      </c>
      <c r="D52" s="217"/>
      <c r="E52" s="10" t="s">
        <v>17</v>
      </c>
      <c r="F52" s="284"/>
      <c r="G52" s="285"/>
      <c r="H52" s="286"/>
    </row>
    <row r="53" spans="1:8" ht="20.100000000000001" customHeight="1">
      <c r="A53" s="11"/>
      <c r="B53" s="30"/>
      <c r="C53" s="24" t="s">
        <v>63</v>
      </c>
      <c r="D53" s="218" t="s">
        <v>32</v>
      </c>
      <c r="E53" s="10"/>
      <c r="F53" s="284"/>
      <c r="G53" s="285"/>
      <c r="H53" s="286"/>
    </row>
    <row r="54" spans="1:8" ht="20.100000000000001" customHeight="1">
      <c r="A54" s="11"/>
      <c r="B54" s="30"/>
      <c r="C54" s="24" t="s">
        <v>64</v>
      </c>
      <c r="D54" s="218" t="s">
        <v>32</v>
      </c>
      <c r="E54" s="10" t="s">
        <v>17</v>
      </c>
      <c r="F54" s="284"/>
      <c r="G54" s="285"/>
      <c r="H54" s="286"/>
    </row>
    <row r="55" spans="1:8" ht="20.100000000000001" customHeight="1">
      <c r="A55" s="11"/>
      <c r="B55" s="30"/>
      <c r="C55" s="24" t="s">
        <v>65</v>
      </c>
      <c r="D55" s="217"/>
      <c r="E55" s="10" t="s">
        <v>17</v>
      </c>
      <c r="F55" s="284"/>
      <c r="G55" s="285"/>
      <c r="H55" s="286"/>
    </row>
    <row r="56" spans="1:8" ht="20.100000000000001" customHeight="1">
      <c r="A56" s="11"/>
      <c r="B56" s="30"/>
      <c r="C56" s="24" t="s">
        <v>66</v>
      </c>
      <c r="D56" s="217"/>
      <c r="E56" s="10"/>
      <c r="F56" s="284"/>
      <c r="G56" s="285"/>
      <c r="H56" s="286"/>
    </row>
    <row r="57" spans="1:8" ht="20.100000000000001" customHeight="1">
      <c r="A57" s="11"/>
      <c r="B57" s="30"/>
      <c r="C57" s="24" t="s">
        <v>67</v>
      </c>
      <c r="D57" s="217"/>
      <c r="E57" s="10" t="s">
        <v>17</v>
      </c>
      <c r="F57" s="284"/>
      <c r="G57" s="285"/>
      <c r="H57" s="286"/>
    </row>
    <row r="58" spans="1:8" ht="20.100000000000001" customHeight="1">
      <c r="A58" s="19">
        <v>9</v>
      </c>
      <c r="B58" s="27" t="s">
        <v>68</v>
      </c>
      <c r="C58" s="27"/>
      <c r="D58" s="217"/>
      <c r="E58" s="17"/>
      <c r="F58" s="284"/>
      <c r="G58" s="285"/>
      <c r="H58" s="286"/>
    </row>
    <row r="59" spans="1:8" ht="20.100000000000001" customHeight="1">
      <c r="A59" s="31"/>
      <c r="B59" s="26"/>
      <c r="C59" s="14" t="s">
        <v>69</v>
      </c>
      <c r="D59" s="218" t="s">
        <v>32</v>
      </c>
      <c r="E59" s="10" t="s">
        <v>17</v>
      </c>
      <c r="F59" s="284"/>
      <c r="G59" s="285"/>
      <c r="H59" s="286"/>
    </row>
    <row r="60" spans="1:8" ht="20.100000000000001" customHeight="1">
      <c r="A60" s="11"/>
      <c r="B60" s="26"/>
      <c r="C60" s="14" t="s">
        <v>70</v>
      </c>
      <c r="D60" s="217"/>
      <c r="E60" s="10"/>
      <c r="F60" s="284"/>
      <c r="G60" s="285"/>
      <c r="H60" s="286"/>
    </row>
    <row r="61" spans="1:8" ht="20.100000000000001" customHeight="1">
      <c r="A61" s="11"/>
      <c r="B61" s="26"/>
      <c r="C61" s="14" t="s">
        <v>71</v>
      </c>
      <c r="D61" s="218" t="s">
        <v>32</v>
      </c>
      <c r="E61" s="10"/>
      <c r="F61" s="284"/>
      <c r="G61" s="285"/>
      <c r="H61" s="286"/>
    </row>
    <row r="62" spans="1:8" ht="20.100000000000001" customHeight="1">
      <c r="A62" s="11"/>
      <c r="B62" s="30"/>
      <c r="C62" s="24" t="s">
        <v>48</v>
      </c>
      <c r="D62" s="217"/>
      <c r="E62" s="10" t="s">
        <v>17</v>
      </c>
      <c r="F62" s="284"/>
      <c r="G62" s="285"/>
      <c r="H62" s="286"/>
    </row>
    <row r="63" spans="1:8" ht="20.100000000000001" customHeight="1">
      <c r="A63" s="19">
        <v>10</v>
      </c>
      <c r="B63" s="27" t="s">
        <v>72</v>
      </c>
      <c r="C63" s="27"/>
      <c r="D63" s="217"/>
      <c r="E63" s="17"/>
      <c r="F63" s="296"/>
      <c r="G63" s="297"/>
      <c r="H63" s="298"/>
    </row>
    <row r="64" spans="1:8" ht="20.100000000000001" customHeight="1">
      <c r="A64" s="11"/>
      <c r="B64" s="30"/>
      <c r="C64" s="24" t="s">
        <v>73</v>
      </c>
      <c r="D64" s="217"/>
      <c r="E64" s="10" t="s">
        <v>17</v>
      </c>
      <c r="F64" s="284" t="s">
        <v>74</v>
      </c>
      <c r="G64" s="285"/>
      <c r="H64" s="286"/>
    </row>
    <row r="65" spans="1:8" ht="20.100000000000001" customHeight="1">
      <c r="A65" s="19">
        <v>11</v>
      </c>
      <c r="B65" s="27" t="s">
        <v>75</v>
      </c>
      <c r="C65" s="27"/>
      <c r="D65" s="217"/>
      <c r="E65" s="17"/>
      <c r="F65" s="284"/>
      <c r="G65" s="285"/>
      <c r="H65" s="286"/>
    </row>
    <row r="66" spans="1:8" ht="20.100000000000001" customHeight="1">
      <c r="A66" s="31"/>
      <c r="B66" s="26"/>
      <c r="C66" s="14" t="s">
        <v>76</v>
      </c>
      <c r="D66" s="218" t="s">
        <v>32</v>
      </c>
      <c r="E66" s="10"/>
      <c r="F66" s="284"/>
      <c r="G66" s="285"/>
      <c r="H66" s="286"/>
    </row>
    <row r="67" spans="1:8" ht="20.100000000000001" customHeight="1">
      <c r="A67" s="219"/>
      <c r="B67" s="220"/>
      <c r="C67" s="221" t="s">
        <v>77</v>
      </c>
      <c r="D67" s="222" t="s">
        <v>32</v>
      </c>
      <c r="E67" s="223"/>
      <c r="F67" s="293"/>
      <c r="G67" s="294"/>
      <c r="H67" s="295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1"/>
  <sheetViews>
    <sheetView topLeftCell="A3" workbookViewId="0">
      <selection activeCell="O38" sqref="O38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245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303" t="s">
        <v>161</v>
      </c>
      <c r="H8" s="312"/>
      <c r="I8" s="313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s="114" t="s">
        <v>246</v>
      </c>
      <c r="E12" s="230"/>
    </row>
    <row r="13" spans="1:10">
      <c r="A13" s="71"/>
      <c r="B13" s="71"/>
      <c r="C13" s="114" t="s">
        <v>247</v>
      </c>
      <c r="E13" s="115">
        <f>F22</f>
        <v>0</v>
      </c>
      <c r="F13" s="58">
        <f>+E12-E13</f>
        <v>0</v>
      </c>
    </row>
    <row r="14" spans="1:10">
      <c r="A14" s="71"/>
      <c r="B14" s="71"/>
      <c r="C14" s="114" t="s">
        <v>248</v>
      </c>
      <c r="F14" s="58">
        <v>0</v>
      </c>
    </row>
    <row r="15" spans="1:10">
      <c r="A15" s="71"/>
      <c r="B15" s="71"/>
      <c r="C15" s="114" t="s">
        <v>249</v>
      </c>
      <c r="F15" s="58">
        <v>0</v>
      </c>
    </row>
    <row r="17" spans="1:7" ht="15" thickBot="1">
      <c r="F17" s="112">
        <f>SUM(F12:F16)</f>
        <v>0</v>
      </c>
      <c r="G17" t="s">
        <v>250</v>
      </c>
    </row>
    <row r="19" spans="1:7">
      <c r="A19" s="71"/>
      <c r="B19" s="71"/>
      <c r="C19" s="77" t="s">
        <v>251</v>
      </c>
    </row>
    <row r="20" spans="1:7">
      <c r="A20" s="71"/>
      <c r="B20" s="71"/>
      <c r="C20" s="77"/>
      <c r="D20" s="47" t="s">
        <v>252</v>
      </c>
      <c r="E20" s="47" t="s">
        <v>253</v>
      </c>
      <c r="F20" s="85" t="s">
        <v>184</v>
      </c>
    </row>
    <row r="21" spans="1:7">
      <c r="A21" s="71"/>
      <c r="B21" s="71"/>
      <c r="C21" t="s">
        <v>254</v>
      </c>
      <c r="D21" s="230"/>
      <c r="E21" s="230"/>
      <c r="F21" s="70">
        <f>+D21-E21</f>
        <v>0</v>
      </c>
    </row>
    <row r="22" spans="1:7" ht="15" thickBot="1">
      <c r="A22" s="71"/>
      <c r="B22" s="71"/>
      <c r="F22" s="116">
        <f>+SUM(F21:F21)</f>
        <v>0</v>
      </c>
    </row>
    <row r="23" spans="1:7" ht="15" thickTop="1">
      <c r="A23" s="71"/>
      <c r="B23" s="71"/>
      <c r="F23" s="70"/>
    </row>
    <row r="24" spans="1:7">
      <c r="A24" s="71"/>
      <c r="B24" s="71"/>
      <c r="F24" s="70"/>
    </row>
    <row r="25" spans="1:7">
      <c r="A25" s="77">
        <v>64500</v>
      </c>
      <c r="B25" s="77"/>
      <c r="C25" s="71" t="s">
        <v>39</v>
      </c>
    </row>
    <row r="26" spans="1:7">
      <c r="F26" s="58">
        <v>0</v>
      </c>
    </row>
    <row r="27" spans="1:7">
      <c r="F27" s="58">
        <v>0</v>
      </c>
    </row>
    <row r="29" spans="1:7" ht="15" thickBot="1">
      <c r="F29" s="112">
        <f>SUM(F26:F28)</f>
        <v>0</v>
      </c>
    </row>
    <row r="30" spans="1:7">
      <c r="F30" s="70"/>
    </row>
    <row r="31" spans="1:7">
      <c r="A31" s="71"/>
      <c r="B31" s="71"/>
      <c r="F31" s="70"/>
    </row>
    <row r="32" spans="1:7">
      <c r="A32" s="77">
        <v>68000</v>
      </c>
      <c r="B32" s="77"/>
      <c r="C32" s="71" t="s">
        <v>40</v>
      </c>
    </row>
    <row r="33" spans="3:6">
      <c r="F33" s="58">
        <v>0</v>
      </c>
    </row>
    <row r="34" spans="3:6">
      <c r="F34" s="58">
        <v>0</v>
      </c>
    </row>
    <row r="36" spans="3:6" ht="15" thickBot="1">
      <c r="F36" s="112">
        <f>SUM(F33:F35)</f>
        <v>0</v>
      </c>
    </row>
    <row r="39" spans="3:6">
      <c r="F39" s="80"/>
    </row>
    <row r="41" spans="3:6">
      <c r="C41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workbookViewId="0">
      <selection activeCell="G14" sqref="G1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255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303" t="s">
        <v>161</v>
      </c>
      <c r="H8" s="312"/>
      <c r="I8" s="313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256</v>
      </c>
      <c r="F12" s="58">
        <v>1467</v>
      </c>
    </row>
    <row r="13" spans="1:10">
      <c r="C13" t="s">
        <v>257</v>
      </c>
      <c r="F13" s="58">
        <v>208</v>
      </c>
      <c r="G13" t="s">
        <v>258</v>
      </c>
    </row>
    <row r="14" spans="1:10" ht="15" thickBot="1">
      <c r="F14" s="112">
        <f>SUM(F12:F13)</f>
        <v>1675</v>
      </c>
    </row>
    <row r="17" spans="3:6">
      <c r="F17" s="80"/>
    </row>
    <row r="18" spans="3:6">
      <c r="F18" s="79"/>
    </row>
    <row r="19" spans="3:6">
      <c r="F19" s="70"/>
    </row>
    <row r="24" spans="3:6">
      <c r="C2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6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259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29.1">
      <c r="A8" s="136" t="s">
        <v>102</v>
      </c>
      <c r="B8" s="303" t="s">
        <v>103</v>
      </c>
      <c r="C8" s="305"/>
      <c r="D8" s="137" t="s">
        <v>104</v>
      </c>
      <c r="E8" s="137"/>
      <c r="F8" s="137"/>
      <c r="G8" s="137"/>
      <c r="H8" s="137" t="s">
        <v>104</v>
      </c>
      <c r="I8" s="303" t="s">
        <v>161</v>
      </c>
      <c r="J8" s="312"/>
      <c r="K8" s="31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260</v>
      </c>
      <c r="E11" s="47" t="s">
        <v>260</v>
      </c>
      <c r="F11" s="47" t="s">
        <v>261</v>
      </c>
      <c r="G11" s="47" t="s">
        <v>262</v>
      </c>
      <c r="H11" s="72" t="s">
        <v>84</v>
      </c>
      <c r="J11" s="77"/>
    </row>
    <row r="12" spans="1:16">
      <c r="D12" s="47" t="s">
        <v>137</v>
      </c>
      <c r="E12" s="77" t="s">
        <v>263</v>
      </c>
      <c r="F12" s="47" t="s">
        <v>264</v>
      </c>
      <c r="G12" s="47"/>
      <c r="H12" s="58"/>
    </row>
    <row r="13" spans="1:16">
      <c r="H13" s="58"/>
      <c r="K13" s="47" t="s">
        <v>265</v>
      </c>
      <c r="L13" s="47" t="s">
        <v>266</v>
      </c>
      <c r="M13" s="47" t="s">
        <v>267</v>
      </c>
    </row>
    <row r="14" spans="1:16">
      <c r="C14" s="77" t="s">
        <v>268</v>
      </c>
      <c r="D14" s="93"/>
      <c r="E14" s="252"/>
      <c r="F14" s="93"/>
      <c r="G14" s="93"/>
      <c r="H14" s="93">
        <f t="shared" ref="H14:H27" si="0">SUM(D14:G14)</f>
        <v>0</v>
      </c>
      <c r="J14" t="s">
        <v>269</v>
      </c>
      <c r="K14" s="93">
        <f>+H40</f>
        <v>0</v>
      </c>
      <c r="L14" s="93"/>
      <c r="M14" s="93">
        <f>+K14-L14</f>
        <v>0</v>
      </c>
    </row>
    <row r="15" spans="1:16">
      <c r="C15" t="s">
        <v>270</v>
      </c>
      <c r="D15" s="93"/>
      <c r="E15" s="93"/>
      <c r="F15" s="93"/>
      <c r="G15" s="93"/>
      <c r="H15" s="93">
        <f t="shared" si="0"/>
        <v>0</v>
      </c>
      <c r="J15" t="s">
        <v>271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272</v>
      </c>
      <c r="D16" s="93"/>
      <c r="E16" s="93"/>
      <c r="F16" s="93"/>
      <c r="G16" s="93"/>
      <c r="H16" s="93">
        <f t="shared" si="0"/>
        <v>0</v>
      </c>
      <c r="J16" t="s">
        <v>273</v>
      </c>
      <c r="K16" s="93">
        <f>+H24+H25</f>
        <v>0</v>
      </c>
      <c r="L16" s="93"/>
      <c r="M16" s="93">
        <f t="shared" si="1"/>
        <v>0</v>
      </c>
    </row>
    <row r="17" spans="3:13">
      <c r="C17" s="138" t="s">
        <v>274</v>
      </c>
      <c r="D17" s="93"/>
      <c r="E17" s="93"/>
      <c r="F17" s="93"/>
      <c r="G17" s="93"/>
      <c r="H17" s="93">
        <f t="shared" si="0"/>
        <v>0</v>
      </c>
      <c r="J17" t="s">
        <v>275</v>
      </c>
      <c r="K17" s="93">
        <f>+H15+H28</f>
        <v>0</v>
      </c>
      <c r="L17" s="93"/>
      <c r="M17" s="93">
        <f t="shared" si="1"/>
        <v>0</v>
      </c>
    </row>
    <row r="18" spans="3:13">
      <c r="C18" s="138" t="s">
        <v>276</v>
      </c>
      <c r="D18" s="93"/>
      <c r="E18" s="93"/>
      <c r="F18" s="93"/>
      <c r="G18" s="93"/>
      <c r="H18" s="93">
        <f t="shared" si="0"/>
        <v>0</v>
      </c>
      <c r="J18" t="s">
        <v>277</v>
      </c>
      <c r="K18" s="93">
        <f>+H27</f>
        <v>0</v>
      </c>
      <c r="L18" s="93"/>
      <c r="M18" s="93">
        <f t="shared" si="1"/>
        <v>0</v>
      </c>
    </row>
    <row r="19" spans="3:13">
      <c r="C19" t="s">
        <v>278</v>
      </c>
      <c r="D19" s="93"/>
      <c r="E19" s="93"/>
      <c r="F19" s="93"/>
      <c r="G19" s="93"/>
      <c r="H19" s="93">
        <f t="shared" si="0"/>
        <v>0</v>
      </c>
      <c r="J19" t="s">
        <v>279</v>
      </c>
      <c r="K19" s="93">
        <f>+H20+H21-H36</f>
        <v>0</v>
      </c>
      <c r="L19" s="93"/>
      <c r="M19" s="93">
        <f t="shared" si="1"/>
        <v>0</v>
      </c>
    </row>
    <row r="20" spans="3:13">
      <c r="C20" s="138" t="s">
        <v>274</v>
      </c>
      <c r="D20" s="93"/>
      <c r="E20" s="93"/>
      <c r="F20" s="93"/>
      <c r="G20" s="93"/>
      <c r="H20" s="93">
        <f t="shared" si="0"/>
        <v>0</v>
      </c>
      <c r="J20" t="s">
        <v>280</v>
      </c>
      <c r="K20" s="93">
        <f>+H20+H21</f>
        <v>0</v>
      </c>
      <c r="L20" s="93"/>
      <c r="M20" s="93">
        <f t="shared" si="1"/>
        <v>0</v>
      </c>
    </row>
    <row r="21" spans="3:13">
      <c r="C21" s="138" t="s">
        <v>276</v>
      </c>
      <c r="D21" s="93"/>
      <c r="E21" s="93"/>
      <c r="F21" s="93"/>
      <c r="G21" s="93"/>
      <c r="H21" s="93">
        <f t="shared" si="0"/>
        <v>0</v>
      </c>
      <c r="J21" t="s">
        <v>281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282</v>
      </c>
      <c r="D22" s="93"/>
      <c r="E22" s="93"/>
      <c r="F22" s="93"/>
      <c r="G22" s="93"/>
      <c r="H22" s="93">
        <f t="shared" si="0"/>
        <v>0</v>
      </c>
      <c r="J22" t="s">
        <v>283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284</v>
      </c>
      <c r="D23" s="93"/>
      <c r="E23" s="93"/>
      <c r="F23" s="93"/>
      <c r="G23" s="93"/>
      <c r="H23" s="93">
        <f t="shared" si="0"/>
        <v>0</v>
      </c>
      <c r="J23" t="s">
        <v>285</v>
      </c>
      <c r="K23" s="93">
        <f>+H35+H36</f>
        <v>0</v>
      </c>
      <c r="L23" s="93"/>
      <c r="M23" s="93">
        <f t="shared" si="1"/>
        <v>0</v>
      </c>
    </row>
    <row r="24" spans="3:13">
      <c r="C24" s="138" t="s">
        <v>286</v>
      </c>
      <c r="D24" s="93"/>
      <c r="E24" s="93"/>
      <c r="F24" s="93"/>
      <c r="G24" s="93"/>
      <c r="H24" s="93">
        <f t="shared" si="0"/>
        <v>0</v>
      </c>
      <c r="J24" t="s">
        <v>287</v>
      </c>
      <c r="K24" s="93">
        <v>0</v>
      </c>
      <c r="L24" s="93"/>
      <c r="M24" s="93">
        <f t="shared" si="1"/>
        <v>0</v>
      </c>
    </row>
    <row r="25" spans="3:13">
      <c r="C25" s="138" t="s">
        <v>288</v>
      </c>
      <c r="D25" s="93"/>
      <c r="E25" s="93"/>
      <c r="F25" s="93"/>
      <c r="G25" s="93"/>
      <c r="H25" s="93">
        <f t="shared" si="0"/>
        <v>0</v>
      </c>
      <c r="J25" t="s">
        <v>289</v>
      </c>
      <c r="K25" s="93">
        <v>0</v>
      </c>
      <c r="L25" s="93"/>
      <c r="M25" s="93">
        <f t="shared" si="1"/>
        <v>0</v>
      </c>
    </row>
    <row r="26" spans="3:13">
      <c r="C26" s="138" t="s">
        <v>290</v>
      </c>
      <c r="D26" s="93"/>
      <c r="E26" s="252"/>
      <c r="F26" s="93"/>
      <c r="G26" s="93"/>
      <c r="H26" s="93">
        <f t="shared" si="0"/>
        <v>0</v>
      </c>
      <c r="J26" t="s">
        <v>291</v>
      </c>
      <c r="K26" s="93">
        <f>H31-H38</f>
        <v>0</v>
      </c>
      <c r="L26" s="93"/>
      <c r="M26" s="93">
        <f t="shared" si="1"/>
        <v>0</v>
      </c>
    </row>
    <row r="27" spans="3:13">
      <c r="C27" s="138" t="s">
        <v>292</v>
      </c>
      <c r="D27" s="93"/>
      <c r="E27" s="93"/>
      <c r="F27" s="93"/>
      <c r="G27" s="93"/>
      <c r="H27" s="93">
        <f t="shared" si="0"/>
        <v>0</v>
      </c>
      <c r="J27" t="s">
        <v>68</v>
      </c>
      <c r="K27" s="93">
        <f>+H33</f>
        <v>0</v>
      </c>
      <c r="L27" s="93"/>
      <c r="M27" s="93">
        <f t="shared" si="1"/>
        <v>0</v>
      </c>
    </row>
    <row r="28" spans="3:13">
      <c r="C28" t="s">
        <v>293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280</v>
      </c>
      <c r="D29" s="93"/>
      <c r="E29" s="93"/>
      <c r="F29" s="93"/>
      <c r="G29" s="93"/>
      <c r="H29" s="93">
        <f t="shared" si="2"/>
        <v>0</v>
      </c>
      <c r="J29" t="s">
        <v>294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289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295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287</v>
      </c>
      <c r="D32" s="93">
        <f>0+D38</f>
        <v>0</v>
      </c>
      <c r="E32" s="93"/>
      <c r="F32" s="93"/>
      <c r="G32" s="93"/>
      <c r="H32" s="93">
        <f t="shared" si="2"/>
        <v>0</v>
      </c>
      <c r="J32" s="139"/>
    </row>
    <row r="33" spans="3:10">
      <c r="C33" t="s">
        <v>68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285</v>
      </c>
      <c r="D35" s="93"/>
      <c r="E35" s="252"/>
      <c r="F35" s="93"/>
      <c r="G35" s="93"/>
      <c r="H35" s="93">
        <f>SUM(D35:G35)</f>
        <v>0</v>
      </c>
      <c r="J35" s="139"/>
    </row>
    <row r="36" spans="3:10">
      <c r="C36" t="s">
        <v>296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297</v>
      </c>
      <c r="D37" s="93"/>
      <c r="E37" s="93"/>
      <c r="F37" s="93"/>
      <c r="G37" s="93"/>
      <c r="H37" s="93">
        <f>SUM(D37:G37)</f>
        <v>0</v>
      </c>
    </row>
    <row r="38" spans="3:10">
      <c r="C38" t="s">
        <v>298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299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300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184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B11" sqref="B11"/>
    </sheetView>
  </sheetViews>
  <sheetFormatPr defaultColWidth="13.140625" defaultRowHeight="14.45"/>
  <cols>
    <col min="4" max="6" width="13.140625" style="93"/>
    <col min="7" max="7" width="14.42578125" customWidth="1"/>
  </cols>
  <sheetData>
    <row r="1" spans="1:9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9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9" ht="18">
      <c r="D4" s="53"/>
      <c r="E4" s="53"/>
      <c r="F4" s="64"/>
      <c r="G4" s="65"/>
      <c r="I4" s="66"/>
    </row>
    <row r="5" spans="1:9" ht="18">
      <c r="A5" s="124" t="s">
        <v>301</v>
      </c>
      <c r="D5" s="239"/>
      <c r="E5" s="239"/>
      <c r="F5" s="240"/>
      <c r="G5" s="241"/>
      <c r="I5" s="66"/>
    </row>
    <row r="6" spans="1:9" ht="18.600000000000001">
      <c r="D6" s="242"/>
      <c r="E6" s="242"/>
      <c r="F6" s="243"/>
      <c r="G6" s="244"/>
      <c r="I6" s="66"/>
    </row>
    <row r="7" spans="1:9">
      <c r="G7" s="93"/>
    </row>
    <row r="8" spans="1:9" s="69" customFormat="1" ht="26.1">
      <c r="A8" s="129" t="s">
        <v>102</v>
      </c>
      <c r="B8" s="341" t="s">
        <v>103</v>
      </c>
      <c r="C8" s="342"/>
      <c r="D8" s="245" t="s">
        <v>104</v>
      </c>
      <c r="E8" s="245" t="s">
        <v>104</v>
      </c>
      <c r="F8" s="245" t="s">
        <v>104</v>
      </c>
      <c r="G8" s="341" t="s">
        <v>161</v>
      </c>
      <c r="H8" s="312"/>
      <c r="I8" s="313"/>
    </row>
    <row r="10" spans="1:9">
      <c r="D10" s="246" t="s">
        <v>271</v>
      </c>
      <c r="E10" s="246" t="s">
        <v>302</v>
      </c>
      <c r="F10" s="246" t="s">
        <v>273</v>
      </c>
      <c r="G10" s="246" t="s">
        <v>303</v>
      </c>
      <c r="H10" s="246" t="s">
        <v>304</v>
      </c>
    </row>
    <row r="11" spans="1:9">
      <c r="B11" t="s">
        <v>305</v>
      </c>
      <c r="G11" s="93"/>
      <c r="H11" s="93"/>
    </row>
    <row r="12" spans="1:9">
      <c r="B12" t="s">
        <v>306</v>
      </c>
      <c r="G12" s="93"/>
      <c r="H12" s="93"/>
    </row>
    <row r="13" spans="1:9" s="42" customFormat="1">
      <c r="B13" s="42" t="s">
        <v>184</v>
      </c>
      <c r="D13" s="247">
        <f>D11-D12</f>
        <v>0</v>
      </c>
      <c r="E13" s="247">
        <f>E11-E12</f>
        <v>0</v>
      </c>
      <c r="F13" s="247">
        <f>F11-F12</f>
        <v>0</v>
      </c>
      <c r="G13" s="247">
        <f>G11-G12</f>
        <v>0</v>
      </c>
      <c r="H13" s="247">
        <f>H11-H12</f>
        <v>0</v>
      </c>
    </row>
    <row r="15" spans="1:9">
      <c r="A15" s="42" t="s">
        <v>307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E14" sqref="E14"/>
    </sheetView>
  </sheetViews>
  <sheetFormatPr defaultColWidth="8.7109375" defaultRowHeight="14.4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308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141"/>
      <c r="H8" s="303" t="s">
        <v>161</v>
      </c>
      <c r="I8" s="312"/>
      <c r="J8" s="313"/>
    </row>
    <row r="10" spans="1:10">
      <c r="A10" s="77" t="s">
        <v>309</v>
      </c>
      <c r="C10" s="47" t="s">
        <v>310</v>
      </c>
      <c r="D10" s="343" t="s">
        <v>311</v>
      </c>
      <c r="E10" s="343"/>
      <c r="F10" s="343"/>
      <c r="G10" s="101" t="s">
        <v>312</v>
      </c>
      <c r="H10" s="344" t="s">
        <v>313</v>
      </c>
      <c r="I10" s="344"/>
      <c r="J10" s="344"/>
    </row>
    <row r="11" spans="1:10">
      <c r="A11" s="71"/>
      <c r="B11" s="71"/>
      <c r="D11" s="47" t="s">
        <v>314</v>
      </c>
      <c r="E11" s="85" t="s">
        <v>315</v>
      </c>
      <c r="F11" s="72" t="s">
        <v>316</v>
      </c>
      <c r="G11" s="72"/>
      <c r="H11" s="47" t="s">
        <v>314</v>
      </c>
      <c r="I11" s="102" t="s">
        <v>315</v>
      </c>
      <c r="J11" s="103" t="s">
        <v>316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0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0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J112"/>
  <sheetViews>
    <sheetView topLeftCell="A4" zoomScaleNormal="100" workbookViewId="0">
      <selection activeCell="L24" sqref="L24:M26"/>
    </sheetView>
  </sheetViews>
  <sheetFormatPr defaultColWidth="8.7109375" defaultRowHeight="14.4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D4" s="53"/>
      <c r="E4" s="53"/>
      <c r="F4" s="64"/>
      <c r="G4" s="65"/>
      <c r="I4" s="66"/>
    </row>
    <row r="5" spans="1:10" ht="18">
      <c r="A5" s="124" t="s">
        <v>317</v>
      </c>
      <c r="D5" s="53"/>
      <c r="E5" s="53"/>
      <c r="F5" s="64"/>
      <c r="G5" s="65"/>
      <c r="I5" s="66"/>
    </row>
    <row r="6" spans="1:10" ht="20.100000000000001" customHeight="1"/>
    <row r="7" spans="1:10" ht="20.100000000000001" customHeight="1" thickBot="1">
      <c r="A7" s="124"/>
    </row>
    <row r="8" spans="1:10" ht="26.45" thickBot="1">
      <c r="A8" s="253" t="s">
        <v>102</v>
      </c>
      <c r="B8" s="348" t="s">
        <v>103</v>
      </c>
      <c r="C8" s="349"/>
      <c r="D8" s="350"/>
      <c r="E8" s="254" t="s">
        <v>132</v>
      </c>
      <c r="F8" s="255" t="s">
        <v>106</v>
      </c>
      <c r="G8" s="256" t="s">
        <v>318</v>
      </c>
      <c r="H8" s="348" t="s">
        <v>161</v>
      </c>
      <c r="I8" s="351"/>
      <c r="J8" s="352"/>
    </row>
    <row r="9" spans="1:10">
      <c r="A9" s="257"/>
      <c r="B9" s="358"/>
      <c r="C9" s="359"/>
      <c r="D9" s="360"/>
      <c r="E9" s="258"/>
      <c r="F9" s="259"/>
      <c r="G9" s="259"/>
      <c r="H9" s="358"/>
      <c r="I9" s="359"/>
      <c r="J9" s="360"/>
    </row>
    <row r="10" spans="1:10">
      <c r="A10" s="257"/>
      <c r="B10" s="361" t="s">
        <v>319</v>
      </c>
      <c r="C10" s="362"/>
      <c r="D10" s="362"/>
      <c r="E10" s="362"/>
      <c r="F10" s="362"/>
      <c r="G10" s="363"/>
      <c r="H10" s="358"/>
      <c r="I10" s="359"/>
      <c r="J10" s="360"/>
    </row>
    <row r="11" spans="1:10">
      <c r="A11" s="257"/>
      <c r="B11" s="358"/>
      <c r="C11" s="359"/>
      <c r="D11" s="360"/>
      <c r="E11" s="258"/>
      <c r="F11" s="259"/>
      <c r="G11" s="259"/>
      <c r="H11" s="358"/>
      <c r="I11" s="359"/>
      <c r="J11" s="360"/>
    </row>
    <row r="12" spans="1:10">
      <c r="A12" s="257"/>
      <c r="B12" s="361" t="s">
        <v>320</v>
      </c>
      <c r="C12" s="362"/>
      <c r="D12" s="363"/>
      <c r="E12" s="258"/>
      <c r="F12" s="259"/>
      <c r="G12" s="259"/>
      <c r="H12" s="358"/>
      <c r="I12" s="359"/>
      <c r="J12" s="360"/>
    </row>
    <row r="13" spans="1:10">
      <c r="A13" s="257"/>
      <c r="B13" s="358" t="s">
        <v>321</v>
      </c>
      <c r="C13" s="359"/>
      <c r="D13" s="360"/>
      <c r="E13" s="358" t="s">
        <v>322</v>
      </c>
      <c r="F13" s="359"/>
      <c r="G13" s="359"/>
      <c r="H13" s="359"/>
      <c r="I13" s="359"/>
      <c r="J13" s="360"/>
    </row>
    <row r="14" spans="1:10">
      <c r="A14" s="257"/>
      <c r="B14" s="358" t="s">
        <v>64</v>
      </c>
      <c r="C14" s="359"/>
      <c r="D14" s="360"/>
      <c r="E14" s="358" t="s">
        <v>323</v>
      </c>
      <c r="F14" s="359"/>
      <c r="G14" s="359"/>
      <c r="H14" s="359"/>
      <c r="I14" s="359"/>
      <c r="J14" s="360"/>
    </row>
    <row r="15" spans="1:10">
      <c r="A15" s="257"/>
      <c r="B15" s="358" t="s">
        <v>324</v>
      </c>
      <c r="C15" s="359"/>
      <c r="D15" s="360"/>
      <c r="E15" s="358" t="s">
        <v>325</v>
      </c>
      <c r="F15" s="359"/>
      <c r="G15" s="359"/>
      <c r="H15" s="359"/>
      <c r="I15" s="359"/>
      <c r="J15" s="360"/>
    </row>
    <row r="16" spans="1:10">
      <c r="A16" s="257"/>
      <c r="B16" s="358" t="s">
        <v>326</v>
      </c>
      <c r="C16" s="359"/>
      <c r="D16" s="360"/>
      <c r="E16" s="358" t="s">
        <v>327</v>
      </c>
      <c r="F16" s="359"/>
      <c r="G16" s="359"/>
      <c r="H16" s="359"/>
      <c r="I16" s="359"/>
      <c r="J16" s="360"/>
    </row>
    <row r="17" spans="1:10">
      <c r="A17" s="257"/>
      <c r="B17" s="358" t="s">
        <v>328</v>
      </c>
      <c r="C17" s="359"/>
      <c r="D17" s="360"/>
      <c r="E17" s="358" t="s">
        <v>329</v>
      </c>
      <c r="F17" s="359"/>
      <c r="G17" s="359"/>
      <c r="H17" s="359"/>
      <c r="I17" s="359"/>
      <c r="J17" s="360"/>
    </row>
    <row r="18" spans="1:10">
      <c r="A18" s="257"/>
      <c r="B18" s="358"/>
      <c r="C18" s="359"/>
      <c r="D18" s="360"/>
      <c r="E18" s="258"/>
      <c r="F18" s="259"/>
      <c r="G18" s="259"/>
      <c r="H18" s="358"/>
      <c r="I18" s="359"/>
      <c r="J18" s="360"/>
    </row>
    <row r="19" spans="1:10">
      <c r="A19" s="257"/>
      <c r="B19" s="358"/>
      <c r="C19" s="359"/>
      <c r="D19" s="360"/>
      <c r="E19" s="258"/>
      <c r="F19" s="259"/>
      <c r="G19" s="259"/>
      <c r="H19" s="358"/>
      <c r="I19" s="359"/>
      <c r="J19" s="360"/>
    </row>
    <row r="20" spans="1:10">
      <c r="A20" s="257"/>
      <c r="B20" s="364" t="s">
        <v>330</v>
      </c>
      <c r="C20" s="364"/>
      <c r="D20" s="364"/>
      <c r="E20" s="258"/>
      <c r="F20" s="259"/>
      <c r="G20" s="259"/>
      <c r="H20" s="358"/>
      <c r="I20" s="359"/>
      <c r="J20" s="360"/>
    </row>
    <row r="21" spans="1:10">
      <c r="A21" s="257"/>
      <c r="B21" s="358" t="s">
        <v>331</v>
      </c>
      <c r="C21" s="359"/>
      <c r="D21" s="360"/>
      <c r="E21" s="260">
        <f>3213*12</f>
        <v>38556</v>
      </c>
      <c r="F21" s="261">
        <f>+E21*0.1</f>
        <v>3855.6000000000004</v>
      </c>
      <c r="G21" s="261">
        <f>+E21+F21</f>
        <v>42411.6</v>
      </c>
      <c r="H21" s="358"/>
      <c r="I21" s="359"/>
      <c r="J21" s="360"/>
    </row>
    <row r="22" spans="1:10">
      <c r="A22" s="257"/>
      <c r="B22" s="358"/>
      <c r="C22" s="359"/>
      <c r="D22" s="360"/>
      <c r="E22" s="262"/>
      <c r="F22" s="263"/>
      <c r="G22" s="263"/>
      <c r="H22" s="358"/>
      <c r="I22" s="359"/>
      <c r="J22" s="360"/>
    </row>
    <row r="23" spans="1:10" ht="15" thickBot="1">
      <c r="A23" s="257"/>
      <c r="B23" s="345" t="s">
        <v>332</v>
      </c>
      <c r="C23" s="346"/>
      <c r="D23" s="347"/>
      <c r="E23" s="264">
        <f>SUM(E21:E22)</f>
        <v>38556</v>
      </c>
      <c r="F23" s="264">
        <f>SUM(F21:F22)</f>
        <v>3855.6000000000004</v>
      </c>
      <c r="G23" s="264">
        <f>SUM(G21:G22)</f>
        <v>42411.6</v>
      </c>
      <c r="H23" s="345"/>
      <c r="I23" s="346"/>
      <c r="J23" s="347"/>
    </row>
    <row r="24" spans="1:10" ht="15" thickTop="1">
      <c r="A24" s="257"/>
      <c r="B24" s="358"/>
      <c r="C24" s="359"/>
      <c r="D24" s="360"/>
      <c r="E24" s="258"/>
      <c r="F24" s="259"/>
      <c r="G24" s="259"/>
      <c r="H24" s="358"/>
      <c r="I24" s="365"/>
      <c r="J24" s="366"/>
    </row>
    <row r="25" spans="1:10">
      <c r="A25" s="257"/>
      <c r="B25" s="358"/>
      <c r="C25" s="359"/>
      <c r="D25" s="360"/>
      <c r="E25" s="258"/>
      <c r="F25" s="259"/>
      <c r="G25" s="259"/>
      <c r="H25" s="358"/>
      <c r="I25" s="365"/>
      <c r="J25" s="366"/>
    </row>
    <row r="26" spans="1:10">
      <c r="A26" s="257"/>
      <c r="B26" s="361" t="s">
        <v>333</v>
      </c>
      <c r="C26" s="362"/>
      <c r="D26" s="363"/>
      <c r="E26" s="258"/>
      <c r="F26" s="259"/>
      <c r="G26" s="259"/>
      <c r="H26" s="358"/>
      <c r="I26" s="365"/>
      <c r="J26" s="366"/>
    </row>
    <row r="27" spans="1:10">
      <c r="A27" s="257"/>
      <c r="B27" s="358" t="s">
        <v>334</v>
      </c>
      <c r="C27" s="359"/>
      <c r="D27" s="360"/>
      <c r="E27" s="265">
        <v>38556</v>
      </c>
      <c r="F27" s="265">
        <f>+E27*0.1</f>
        <v>3855.6000000000004</v>
      </c>
      <c r="G27" s="265">
        <f>+E27+F27</f>
        <v>42411.6</v>
      </c>
      <c r="H27" s="358"/>
      <c r="I27" s="365"/>
      <c r="J27" s="366"/>
    </row>
    <row r="28" spans="1:10">
      <c r="A28" s="257"/>
      <c r="B28" s="358"/>
      <c r="C28" s="359"/>
      <c r="D28" s="360"/>
      <c r="E28" s="265"/>
      <c r="F28" s="265"/>
      <c r="G28" s="266"/>
      <c r="H28" s="358"/>
      <c r="I28" s="365"/>
      <c r="J28" s="366"/>
    </row>
    <row r="29" spans="1:10" ht="15" thickBot="1">
      <c r="A29" s="257"/>
      <c r="B29" s="345" t="s">
        <v>335</v>
      </c>
      <c r="C29" s="346"/>
      <c r="D29" s="347"/>
      <c r="E29" s="264">
        <f>SUM(E27:E28)</f>
        <v>38556</v>
      </c>
      <c r="F29" s="264">
        <f>SUM(F27:F28)</f>
        <v>3855.6000000000004</v>
      </c>
      <c r="G29" s="264">
        <f>SUM(G27:G28)</f>
        <v>42411.6</v>
      </c>
      <c r="H29" s="358"/>
      <c r="I29" s="365"/>
      <c r="J29" s="366"/>
    </row>
    <row r="30" spans="1:10" ht="15" thickTop="1">
      <c r="A30" s="257"/>
      <c r="B30" s="358"/>
      <c r="C30" s="359"/>
      <c r="D30" s="360"/>
      <c r="E30" s="267"/>
      <c r="F30" s="268"/>
      <c r="G30" s="268"/>
      <c r="H30" s="358"/>
      <c r="I30" s="365"/>
      <c r="J30" s="366"/>
    </row>
    <row r="31" spans="1:10" ht="15" thickBot="1">
      <c r="A31" s="269"/>
      <c r="B31" s="367" t="s">
        <v>165</v>
      </c>
      <c r="C31" s="367"/>
      <c r="D31" s="367"/>
      <c r="E31" s="270">
        <f>E23-E29</f>
        <v>0</v>
      </c>
      <c r="F31" s="270">
        <f>F23-F29</f>
        <v>0</v>
      </c>
      <c r="G31" s="270">
        <f>G23-G29</f>
        <v>0</v>
      </c>
      <c r="H31" s="368"/>
      <c r="I31" s="369"/>
      <c r="J31" s="370"/>
    </row>
    <row r="32" spans="1:10">
      <c r="D32" s="114"/>
    </row>
    <row r="33" spans="5:6">
      <c r="E33" s="114"/>
      <c r="F33" s="114"/>
    </row>
    <row r="34" spans="5:6">
      <c r="E34" s="114"/>
      <c r="F34" s="114"/>
    </row>
    <row r="35" spans="5:6">
      <c r="E35" s="114"/>
      <c r="F35" s="114"/>
    </row>
    <row r="36" spans="5:6">
      <c r="E36" s="114"/>
      <c r="F36" s="114"/>
    </row>
    <row r="37" spans="5:6">
      <c r="E37" s="114"/>
      <c r="F37" s="114"/>
    </row>
    <row r="38" spans="5:6">
      <c r="E38" s="114"/>
      <c r="F38" s="114"/>
    </row>
    <row r="39" spans="5:6">
      <c r="E39" s="114"/>
      <c r="F39" s="114"/>
    </row>
    <row r="40" spans="5:6">
      <c r="E40" s="114"/>
      <c r="F40" s="114"/>
    </row>
    <row r="41" spans="5:6">
      <c r="E41" s="114"/>
      <c r="F41" s="114"/>
    </row>
    <row r="42" spans="5:6">
      <c r="E42" s="114"/>
      <c r="F42" s="114"/>
    </row>
    <row r="43" spans="5:6">
      <c r="E43" s="114"/>
      <c r="F43" s="114"/>
    </row>
    <row r="44" spans="5:6">
      <c r="E44" s="114"/>
      <c r="F44" s="114"/>
    </row>
    <row r="45" spans="5:6">
      <c r="E45" s="114"/>
      <c r="F45" s="114"/>
    </row>
    <row r="46" spans="5:6">
      <c r="E46" s="114"/>
      <c r="F46" s="114"/>
    </row>
    <row r="47" spans="5:6">
      <c r="E47" s="114"/>
      <c r="F47" s="114"/>
    </row>
    <row r="48" spans="5:6">
      <c r="E48" s="114"/>
      <c r="F48" s="114"/>
    </row>
    <row r="49" spans="5:6">
      <c r="E49" s="114"/>
      <c r="F49" s="114"/>
    </row>
    <row r="50" spans="5:6">
      <c r="E50" s="114"/>
      <c r="F50" s="114"/>
    </row>
    <row r="51" spans="5:6">
      <c r="E51" s="114"/>
      <c r="F51" s="114"/>
    </row>
    <row r="52" spans="5:6">
      <c r="E52" s="114"/>
      <c r="F52" s="114"/>
    </row>
    <row r="53" spans="5:6">
      <c r="E53" s="114"/>
      <c r="F53" s="114"/>
    </row>
    <row r="54" spans="5:6">
      <c r="E54" s="114"/>
      <c r="F54" s="114"/>
    </row>
    <row r="55" spans="5:6">
      <c r="E55" s="114"/>
      <c r="F55" s="114"/>
    </row>
    <row r="56" spans="5:6">
      <c r="E56" s="114"/>
      <c r="F56" s="114"/>
    </row>
    <row r="57" spans="5:6">
      <c r="E57" s="114"/>
      <c r="F57" s="114"/>
    </row>
    <row r="58" spans="5:6">
      <c r="E58" s="114"/>
      <c r="F58" s="114"/>
    </row>
    <row r="59" spans="5:6">
      <c r="E59" s="114"/>
      <c r="F59" s="114"/>
    </row>
    <row r="60" spans="5:6">
      <c r="E60" s="114"/>
      <c r="F60" s="114"/>
    </row>
    <row r="61" spans="5:6">
      <c r="E61" s="114"/>
      <c r="F61" s="114"/>
    </row>
    <row r="62" spans="5:6">
      <c r="E62" s="114"/>
      <c r="F62" s="114"/>
    </row>
    <row r="63" spans="5:6">
      <c r="E63" s="114"/>
      <c r="F63" s="114"/>
    </row>
    <row r="64" spans="5:6">
      <c r="E64" s="114"/>
      <c r="F64" s="114"/>
    </row>
    <row r="65" spans="5:6">
      <c r="E65" s="114"/>
      <c r="F65" s="114"/>
    </row>
    <row r="66" spans="5:6">
      <c r="E66" s="114"/>
      <c r="F66" s="114"/>
    </row>
    <row r="67" spans="5:6">
      <c r="E67" s="114"/>
      <c r="F67" s="114"/>
    </row>
    <row r="68" spans="5:6">
      <c r="E68" s="114"/>
      <c r="F68" s="114"/>
    </row>
    <row r="69" spans="5:6">
      <c r="E69" s="114"/>
      <c r="F69" s="114"/>
    </row>
    <row r="70" spans="5:6">
      <c r="E70" s="114"/>
      <c r="F70" s="114"/>
    </row>
    <row r="71" spans="5:6">
      <c r="E71" s="114"/>
      <c r="F71" s="114"/>
    </row>
    <row r="72" spans="5:6">
      <c r="E72" s="114"/>
      <c r="F72" s="114"/>
    </row>
    <row r="73" spans="5:6">
      <c r="E73" s="114"/>
      <c r="F73" s="114"/>
    </row>
    <row r="74" spans="5:6">
      <c r="E74" s="114"/>
      <c r="F74" s="114"/>
    </row>
    <row r="75" spans="5:6">
      <c r="E75" s="114"/>
      <c r="F75" s="114"/>
    </row>
    <row r="76" spans="5:6">
      <c r="E76" s="114"/>
      <c r="F76" s="114"/>
    </row>
    <row r="77" spans="5:6">
      <c r="E77" s="114"/>
      <c r="F77" s="114"/>
    </row>
    <row r="78" spans="5:6">
      <c r="E78" s="114"/>
      <c r="F78" s="114"/>
    </row>
    <row r="79" spans="5:6">
      <c r="E79" s="114"/>
      <c r="F79" s="114"/>
    </row>
    <row r="80" spans="5:6">
      <c r="E80" s="114"/>
      <c r="F80" s="114"/>
    </row>
    <row r="81" spans="5:6">
      <c r="E81" s="114"/>
      <c r="F81" s="114"/>
    </row>
    <row r="82" spans="5:6">
      <c r="E82" s="114"/>
      <c r="F82" s="114"/>
    </row>
    <row r="83" spans="5:6">
      <c r="E83" s="114"/>
      <c r="F83" s="114"/>
    </row>
    <row r="84" spans="5:6">
      <c r="E84" s="114"/>
      <c r="F84" s="114"/>
    </row>
    <row r="85" spans="5:6">
      <c r="E85" s="114"/>
      <c r="F85" s="114"/>
    </row>
    <row r="86" spans="5:6">
      <c r="E86" s="114"/>
      <c r="F86" s="114"/>
    </row>
    <row r="87" spans="5:6">
      <c r="E87" s="114"/>
      <c r="F87" s="114"/>
    </row>
    <row r="88" spans="5:6">
      <c r="E88" s="114"/>
      <c r="F88" s="114"/>
    </row>
    <row r="89" spans="5:6">
      <c r="E89" s="114"/>
      <c r="F89" s="114"/>
    </row>
    <row r="90" spans="5:6">
      <c r="E90" s="114"/>
      <c r="F90" s="114"/>
    </row>
    <row r="91" spans="5:6">
      <c r="E91" s="114"/>
      <c r="F91" s="114"/>
    </row>
    <row r="92" spans="5:6">
      <c r="E92" s="114"/>
      <c r="F92" s="114"/>
    </row>
    <row r="93" spans="5:6">
      <c r="E93" s="114"/>
      <c r="F93" s="114"/>
    </row>
    <row r="94" spans="5:6">
      <c r="E94" s="114"/>
      <c r="F94" s="114"/>
    </row>
    <row r="95" spans="5:6">
      <c r="E95" s="114"/>
      <c r="F95" s="114"/>
    </row>
    <row r="96" spans="5:6">
      <c r="E96" s="114"/>
      <c r="F96" s="114"/>
    </row>
    <row r="97" spans="5:6">
      <c r="E97" s="114"/>
      <c r="F97" s="114"/>
    </row>
    <row r="98" spans="5:6">
      <c r="E98" s="114"/>
      <c r="F98" s="114"/>
    </row>
    <row r="99" spans="5:6">
      <c r="E99" s="114"/>
      <c r="F99" s="114"/>
    </row>
    <row r="100" spans="5:6">
      <c r="E100" s="114"/>
      <c r="F100" s="114"/>
    </row>
    <row r="101" spans="5:6">
      <c r="E101" s="114"/>
      <c r="F101" s="114"/>
    </row>
    <row r="102" spans="5:6">
      <c r="E102" s="114"/>
      <c r="F102" s="114"/>
    </row>
    <row r="103" spans="5:6">
      <c r="E103" s="114"/>
      <c r="F103" s="114"/>
    </row>
    <row r="104" spans="5:6">
      <c r="E104" s="114"/>
      <c r="F104" s="114"/>
    </row>
    <row r="105" spans="5:6">
      <c r="E105" s="114"/>
      <c r="F105" s="114"/>
    </row>
    <row r="106" spans="5:6">
      <c r="E106" s="114"/>
      <c r="F106" s="114"/>
    </row>
    <row r="107" spans="5:6">
      <c r="E107" s="114"/>
      <c r="F107" s="114"/>
    </row>
    <row r="108" spans="5:6">
      <c r="E108" s="114"/>
      <c r="F108" s="114"/>
    </row>
    <row r="109" spans="5:6">
      <c r="E109" s="114"/>
      <c r="F109" s="114"/>
    </row>
    <row r="110" spans="5:6">
      <c r="E110" s="114"/>
      <c r="F110" s="114"/>
    </row>
    <row r="111" spans="5:6">
      <c r="E111" s="114"/>
      <c r="F111" s="114"/>
    </row>
    <row r="112" spans="5:6">
      <c r="E112" s="114"/>
      <c r="F112" s="114"/>
    </row>
  </sheetData>
  <mergeCells count="51">
    <mergeCell ref="C1:E1"/>
    <mergeCell ref="C2:E2"/>
    <mergeCell ref="C3:E3"/>
    <mergeCell ref="B8:D8"/>
    <mergeCell ref="H8:J8"/>
    <mergeCell ref="B9:D9"/>
    <mergeCell ref="H9:J9"/>
    <mergeCell ref="B10:G10"/>
    <mergeCell ref="H10:J10"/>
    <mergeCell ref="B11:D11"/>
    <mergeCell ref="H11:J11"/>
    <mergeCell ref="B12:D12"/>
    <mergeCell ref="H12:J12"/>
    <mergeCell ref="B13:D13"/>
    <mergeCell ref="E13:J13"/>
    <mergeCell ref="B14:D14"/>
    <mergeCell ref="E14:J14"/>
    <mergeCell ref="B15:D15"/>
    <mergeCell ref="E15:J15"/>
    <mergeCell ref="B16:D16"/>
    <mergeCell ref="E16:J16"/>
    <mergeCell ref="B17:D17"/>
    <mergeCell ref="E17:J17"/>
    <mergeCell ref="B18:D18"/>
    <mergeCell ref="H18:J18"/>
    <mergeCell ref="B19:D19"/>
    <mergeCell ref="H19:J19"/>
    <mergeCell ref="B22:D22"/>
    <mergeCell ref="H22:J22"/>
    <mergeCell ref="B23:D23"/>
    <mergeCell ref="H23:J23"/>
    <mergeCell ref="B20:D20"/>
    <mergeCell ref="H20:J20"/>
    <mergeCell ref="B21:D21"/>
    <mergeCell ref="H21:J21"/>
    <mergeCell ref="B24:D24"/>
    <mergeCell ref="H24:J24"/>
    <mergeCell ref="B25:D25"/>
    <mergeCell ref="H25:J25"/>
    <mergeCell ref="B26:D26"/>
    <mergeCell ref="H26:J26"/>
    <mergeCell ref="B30:D30"/>
    <mergeCell ref="H30:J30"/>
    <mergeCell ref="B31:D31"/>
    <mergeCell ref="H31:J31"/>
    <mergeCell ref="B27:D27"/>
    <mergeCell ref="H27:J27"/>
    <mergeCell ref="B28:D28"/>
    <mergeCell ref="H28:J28"/>
    <mergeCell ref="B29:D29"/>
    <mergeCell ref="H29:J29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N34"/>
  <sheetViews>
    <sheetView topLeftCell="A15" workbookViewId="0">
      <selection activeCell="I20" sqref="I20:I22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">
        <v>10</v>
      </c>
      <c r="I2" s="61">
        <v>44735</v>
      </c>
    </row>
    <row r="3" spans="1:14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4" ht="18">
      <c r="D4" s="53"/>
      <c r="E4" s="53"/>
      <c r="F4" s="64"/>
      <c r="G4" s="65"/>
      <c r="I4" s="66"/>
    </row>
    <row r="5" spans="1:14" ht="18">
      <c r="A5" s="124" t="s">
        <v>259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6.1">
      <c r="A8" s="67" t="s">
        <v>102</v>
      </c>
      <c r="B8" s="353" t="s">
        <v>103</v>
      </c>
      <c r="C8" s="354"/>
      <c r="D8" s="354"/>
      <c r="E8" s="355"/>
      <c r="F8" s="68" t="s">
        <v>104</v>
      </c>
      <c r="G8" s="353" t="s">
        <v>161</v>
      </c>
      <c r="H8" s="312"/>
      <c r="I8" s="313"/>
    </row>
    <row r="10" spans="1:14">
      <c r="F10" s="70"/>
    </row>
    <row r="11" spans="1:14">
      <c r="A11" s="65"/>
      <c r="B11" s="65"/>
      <c r="C11" s="65" t="s">
        <v>336</v>
      </c>
      <c r="G11" s="85" t="s">
        <v>84</v>
      </c>
      <c r="I11" s="47" t="s">
        <v>337</v>
      </c>
    </row>
    <row r="12" spans="1:14">
      <c r="A12" s="65"/>
      <c r="B12" s="65"/>
      <c r="C12" t="s">
        <v>338</v>
      </c>
      <c r="G12" s="86">
        <f>500*1.1</f>
        <v>550</v>
      </c>
      <c r="I12" s="58">
        <v>0</v>
      </c>
    </row>
    <row r="13" spans="1:14">
      <c r="A13" s="65"/>
      <c r="B13" s="65"/>
      <c r="C13" t="s">
        <v>339</v>
      </c>
      <c r="G13" s="86">
        <v>0</v>
      </c>
      <c r="I13" s="58">
        <f>+G13/11*0.75</f>
        <v>0</v>
      </c>
    </row>
    <row r="14" spans="1:14">
      <c r="C14" t="s">
        <v>340</v>
      </c>
      <c r="G14" s="86">
        <f>+(1100+100)*1.1</f>
        <v>1320</v>
      </c>
      <c r="I14" s="58">
        <v>0</v>
      </c>
    </row>
    <row r="15" spans="1:14">
      <c r="C15" t="s">
        <v>341</v>
      </c>
      <c r="G15" s="87">
        <f>1100*1.1</f>
        <v>1210</v>
      </c>
      <c r="I15" s="88">
        <f>+G15/11*0.75</f>
        <v>82.5</v>
      </c>
      <c r="K15" t="s">
        <v>342</v>
      </c>
      <c r="N15" s="89">
        <f>+G15/G16</f>
        <v>0.39285714285714285</v>
      </c>
    </row>
    <row r="16" spans="1:14">
      <c r="G16" s="70">
        <f>SUM(G12:G15)</f>
        <v>3080</v>
      </c>
      <c r="I16" s="70">
        <f>SUM(I12:I15)</f>
        <v>82.5</v>
      </c>
      <c r="K16" t="s">
        <v>343</v>
      </c>
      <c r="N16" s="90">
        <v>814</v>
      </c>
    </row>
    <row r="17" spans="1:14">
      <c r="A17" s="65"/>
      <c r="B17" s="65"/>
      <c r="C17" s="65"/>
      <c r="F17" s="70"/>
      <c r="K17" t="s">
        <v>344</v>
      </c>
      <c r="N17">
        <f>ROUND(N16-N18,0)</f>
        <v>495</v>
      </c>
    </row>
    <row r="18" spans="1:14">
      <c r="A18" s="77"/>
      <c r="B18" s="77"/>
      <c r="C18" s="65"/>
      <c r="F18" s="70"/>
      <c r="K18" t="s">
        <v>345</v>
      </c>
      <c r="N18">
        <f>ROUNDDOWN(N16*N15,0)</f>
        <v>319</v>
      </c>
    </row>
    <row r="19" spans="1:14">
      <c r="C19" s="77" t="s">
        <v>346</v>
      </c>
      <c r="E19" s="47" t="s">
        <v>344</v>
      </c>
      <c r="F19" s="85" t="s">
        <v>345</v>
      </c>
      <c r="G19" s="47" t="s">
        <v>84</v>
      </c>
      <c r="I19" s="47" t="s">
        <v>347</v>
      </c>
    </row>
    <row r="20" spans="1:14">
      <c r="C20" s="73">
        <v>44105</v>
      </c>
      <c r="E20" s="86">
        <v>465</v>
      </c>
      <c r="F20" s="86">
        <f>770-465</f>
        <v>305</v>
      </c>
      <c r="G20" s="91">
        <f>SUM(E20:F20)</f>
        <v>770</v>
      </c>
      <c r="I20" s="58">
        <f>+F20/11*0.75</f>
        <v>20.795454545454547</v>
      </c>
    </row>
    <row r="21" spans="1:14">
      <c r="C21" s="73">
        <v>44197</v>
      </c>
      <c r="E21" s="70">
        <f>+E20</f>
        <v>465</v>
      </c>
      <c r="F21" s="70">
        <f>+F20</f>
        <v>305</v>
      </c>
      <c r="G21" s="91">
        <f>SUM(E21:F21)</f>
        <v>770</v>
      </c>
      <c r="I21" s="58">
        <f>+F21/11*0.75</f>
        <v>20.795454545454547</v>
      </c>
    </row>
    <row r="22" spans="1:14">
      <c r="C22" s="73">
        <v>44287</v>
      </c>
      <c r="E22" s="70">
        <f>+E20</f>
        <v>465</v>
      </c>
      <c r="F22" s="70">
        <f>+F20</f>
        <v>305</v>
      </c>
      <c r="G22" s="91">
        <f>SUM(E22:F22)</f>
        <v>770</v>
      </c>
      <c r="I22" s="70">
        <f>+F22/11*0.75</f>
        <v>20.795454545454547</v>
      </c>
    </row>
    <row r="23" spans="1:14">
      <c r="C23" s="73">
        <v>44378</v>
      </c>
      <c r="E23" s="88">
        <f>+E20</f>
        <v>465</v>
      </c>
      <c r="F23" s="88">
        <f>+F20</f>
        <v>305</v>
      </c>
      <c r="G23" s="92">
        <f>SUM(E23:F23)</f>
        <v>770</v>
      </c>
      <c r="I23" s="88">
        <f>+F23/11*0.75</f>
        <v>20.795454545454547</v>
      </c>
    </row>
    <row r="24" spans="1:14">
      <c r="E24" s="91">
        <f t="shared" ref="E24:G24" si="0">SUM(E20:E23)</f>
        <v>1860</v>
      </c>
      <c r="F24" s="91">
        <f t="shared" si="0"/>
        <v>1220</v>
      </c>
      <c r="G24" s="91">
        <f t="shared" si="0"/>
        <v>3080</v>
      </c>
      <c r="I24" s="91">
        <f>SUM(I20:I23)</f>
        <v>83.181818181818187</v>
      </c>
    </row>
    <row r="25" spans="1:14">
      <c r="F25" s="70"/>
    </row>
    <row r="26" spans="1:14">
      <c r="C26" s="77" t="s">
        <v>348</v>
      </c>
      <c r="F26" s="80"/>
    </row>
    <row r="27" spans="1:14">
      <c r="C27" t="s">
        <v>349</v>
      </c>
      <c r="G27" s="91">
        <f>+G12</f>
        <v>550</v>
      </c>
    </row>
    <row r="28" spans="1:14">
      <c r="C28" t="s">
        <v>350</v>
      </c>
      <c r="F28" s="80"/>
      <c r="G28" s="91">
        <f>+G13</f>
        <v>0</v>
      </c>
      <c r="I28" s="58">
        <f>+G28/11*0.75</f>
        <v>0</v>
      </c>
    </row>
    <row r="29" spans="1:14">
      <c r="C29" t="s">
        <v>344</v>
      </c>
      <c r="F29" s="79"/>
      <c r="G29" s="91">
        <f>+G14-E24</f>
        <v>-540</v>
      </c>
    </row>
    <row r="30" spans="1:14">
      <c r="C30" t="s">
        <v>345</v>
      </c>
      <c r="F30" s="70"/>
      <c r="G30" s="92">
        <f>+G15-F24</f>
        <v>-10</v>
      </c>
      <c r="I30" s="88">
        <f>+G30/11*0.75</f>
        <v>-0.68181818181818177</v>
      </c>
    </row>
    <row r="31" spans="1:14">
      <c r="G31" s="91">
        <f>SUM(G27:G30)</f>
        <v>0</v>
      </c>
      <c r="I31" s="58">
        <f>SUM(I27:I30)</f>
        <v>-0.68181818181818177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F29" sqref="F29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  <c r="J1" s="238"/>
    </row>
    <row r="2" spans="1:13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  <c r="J2" s="66"/>
    </row>
    <row r="3" spans="1:13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351</v>
      </c>
      <c r="D5" s="53"/>
      <c r="E5" s="53"/>
      <c r="F5" s="64"/>
      <c r="G5" s="65"/>
      <c r="I5" s="66"/>
      <c r="J5" s="66"/>
    </row>
    <row r="6" spans="1:13" ht="18.600000000000001">
      <c r="D6" s="1"/>
      <c r="E6" s="1"/>
      <c r="F6" s="135"/>
      <c r="G6" s="4"/>
      <c r="I6" s="66"/>
      <c r="J6" s="66"/>
    </row>
    <row r="8" spans="1:13" s="69" customFormat="1" ht="26.1">
      <c r="A8" s="129" t="s">
        <v>102</v>
      </c>
      <c r="B8" s="341" t="s">
        <v>103</v>
      </c>
      <c r="C8" s="342"/>
      <c r="D8" s="342"/>
      <c r="E8" s="356"/>
      <c r="F8" s="130" t="s">
        <v>104</v>
      </c>
      <c r="G8" s="341" t="s">
        <v>161</v>
      </c>
      <c r="H8" s="312"/>
      <c r="I8" s="313"/>
    </row>
    <row r="10" spans="1:13">
      <c r="F10" s="70"/>
    </row>
    <row r="11" spans="1:13">
      <c r="A11" s="77">
        <v>30900</v>
      </c>
      <c r="B11" s="77"/>
      <c r="C11" s="77" t="s">
        <v>352</v>
      </c>
      <c r="F11" s="70"/>
    </row>
    <row r="12" spans="1:13">
      <c r="C12" t="s">
        <v>353</v>
      </c>
      <c r="G12" s="228">
        <f>L13</f>
        <v>0</v>
      </c>
      <c r="K12" s="47" t="s">
        <v>354</v>
      </c>
      <c r="L12" s="47" t="s">
        <v>104</v>
      </c>
    </row>
    <row r="13" spans="1:13">
      <c r="C13" t="s">
        <v>355</v>
      </c>
      <c r="G13" s="70">
        <f>+G12/11*0.75</f>
        <v>0</v>
      </c>
      <c r="H13" t="s">
        <v>356</v>
      </c>
      <c r="K13" t="s">
        <v>357</v>
      </c>
    </row>
    <row r="14" spans="1:13">
      <c r="C14" t="s">
        <v>358</v>
      </c>
      <c r="G14" s="84">
        <f>+G12-G13</f>
        <v>0</v>
      </c>
      <c r="K14" t="s">
        <v>359</v>
      </c>
    </row>
    <row r="15" spans="1:13">
      <c r="G15" s="70"/>
      <c r="K15" t="s">
        <v>360</v>
      </c>
    </row>
    <row r="16" spans="1:13" ht="15" thickBot="1">
      <c r="G16" s="58"/>
      <c r="L16" s="227">
        <f>SUM(L13:L15)</f>
        <v>0</v>
      </c>
      <c r="M16" t="s">
        <v>361</v>
      </c>
    </row>
    <row r="17" spans="1:8" ht="15" thickTop="1">
      <c r="A17" s="77">
        <v>37500</v>
      </c>
      <c r="B17" s="77"/>
      <c r="C17" s="77" t="s">
        <v>362</v>
      </c>
      <c r="G17" s="58"/>
    </row>
    <row r="18" spans="1:8">
      <c r="C18" t="s">
        <v>363</v>
      </c>
      <c r="G18" s="225">
        <f>L14</f>
        <v>0</v>
      </c>
    </row>
    <row r="19" spans="1:8">
      <c r="C19" t="s">
        <v>364</v>
      </c>
      <c r="G19" s="229">
        <f>L15</f>
        <v>0</v>
      </c>
    </row>
    <row r="20" spans="1:8">
      <c r="G20" s="58">
        <f>SUM(G18:G19)</f>
        <v>0</v>
      </c>
    </row>
    <row r="21" spans="1:8">
      <c r="C21" t="s">
        <v>355</v>
      </c>
      <c r="G21" s="70">
        <f>+G20/11*0.75</f>
        <v>0</v>
      </c>
      <c r="H21" t="s">
        <v>356</v>
      </c>
    </row>
    <row r="22" spans="1:8">
      <c r="C22" t="s">
        <v>365</v>
      </c>
      <c r="G22" s="84">
        <f>+G20-G21</f>
        <v>0</v>
      </c>
    </row>
    <row r="27" spans="1:8">
      <c r="G27" s="22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4.4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4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4" ht="18">
      <c r="D4" s="53"/>
      <c r="E4" s="53"/>
      <c r="F4" s="64"/>
      <c r="G4" s="65"/>
      <c r="I4" s="66"/>
    </row>
    <row r="5" spans="1:14" ht="18">
      <c r="A5" s="124" t="s">
        <v>78</v>
      </c>
      <c r="D5" s="53"/>
      <c r="E5" s="53"/>
      <c r="F5" s="64"/>
      <c r="G5" s="65"/>
      <c r="I5" s="66"/>
    </row>
    <row r="6" spans="1:14" ht="18.600000000000001">
      <c r="B6" s="1"/>
      <c r="C6" s="3"/>
      <c r="D6" s="1"/>
      <c r="E6" s="1"/>
      <c r="F6" s="125"/>
    </row>
    <row r="8" spans="1:14">
      <c r="H8" s="47"/>
    </row>
    <row r="9" spans="1:14">
      <c r="B9" t="s">
        <v>79</v>
      </c>
      <c r="D9" s="300" t="s">
        <v>80</v>
      </c>
      <c r="E9" s="300"/>
      <c r="F9" s="300"/>
      <c r="G9" s="300"/>
      <c r="I9" s="300" t="s">
        <v>81</v>
      </c>
      <c r="J9" s="300"/>
      <c r="K9" s="300"/>
      <c r="L9" s="300"/>
      <c r="N9" s="299" t="s">
        <v>82</v>
      </c>
    </row>
    <row r="10" spans="1:14">
      <c r="B10" t="s">
        <v>83</v>
      </c>
      <c r="D10" s="126"/>
      <c r="E10" s="127">
        <f>+D10</f>
        <v>0</v>
      </c>
      <c r="F10" s="127">
        <f>+D10</f>
        <v>0</v>
      </c>
      <c r="G10" s="47" t="s">
        <v>84</v>
      </c>
      <c r="I10" s="126"/>
      <c r="J10" s="127">
        <f>+I10</f>
        <v>0</v>
      </c>
      <c r="K10" s="127">
        <f>+I10</f>
        <v>0</v>
      </c>
      <c r="L10" s="47" t="s">
        <v>84</v>
      </c>
      <c r="N10" s="299"/>
    </row>
    <row r="11" spans="1:14">
      <c r="B11" t="s">
        <v>85</v>
      </c>
      <c r="D11" s="128">
        <f>(D14-D10)/365.25</f>
        <v>122.4996577686516</v>
      </c>
      <c r="E11" s="128">
        <f>(E14-E10)/365.25</f>
        <v>122.4996577686516</v>
      </c>
      <c r="F11" s="128">
        <f>(F14-F10)/365.25</f>
        <v>122.4996577686516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299"/>
    </row>
    <row r="14" spans="1:14">
      <c r="B14" t="s">
        <v>86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87</v>
      </c>
      <c r="D16" s="225"/>
      <c r="E16" s="225"/>
      <c r="F16" s="225"/>
      <c r="I16" s="225"/>
      <c r="J16" s="225"/>
      <c r="K16" s="225"/>
    </row>
    <row r="17" spans="1:14">
      <c r="B17" t="s">
        <v>88</v>
      </c>
      <c r="D17" s="225" t="s">
        <v>89</v>
      </c>
      <c r="E17" s="225" t="s">
        <v>89</v>
      </c>
      <c r="F17" s="225" t="s">
        <v>89</v>
      </c>
      <c r="I17" s="225" t="s">
        <v>90</v>
      </c>
      <c r="J17" s="225" t="s">
        <v>89</v>
      </c>
      <c r="K17" s="225" t="s">
        <v>89</v>
      </c>
    </row>
    <row r="18" spans="1:14">
      <c r="B18" t="s">
        <v>91</v>
      </c>
      <c r="D18" s="225"/>
      <c r="E18" s="225"/>
      <c r="F18" s="225"/>
      <c r="G18" s="226"/>
      <c r="I18" s="225"/>
      <c r="J18" s="225"/>
      <c r="K18" s="225"/>
    </row>
    <row r="20" spans="1:14">
      <c r="B20" t="s">
        <v>92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93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94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" thickBot="1">
      <c r="B24" s="44" t="s">
        <v>95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" thickTop="1"/>
    <row r="26" spans="1:14">
      <c r="B26" t="s">
        <v>96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97</v>
      </c>
      <c r="B30" s="49" t="s">
        <v>98</v>
      </c>
      <c r="C30" s="49" t="s">
        <v>99</v>
      </c>
      <c r="D30" s="49" t="s">
        <v>100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92D050"/>
  </sheetPr>
  <dimension ref="A1:L42"/>
  <sheetViews>
    <sheetView topLeftCell="A23" workbookViewId="0">
      <selection activeCell="F43" sqref="F4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9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9" ht="18">
      <c r="D4" s="53"/>
      <c r="E4" s="53"/>
      <c r="F4" s="64"/>
      <c r="G4" s="65"/>
      <c r="I4" s="66"/>
    </row>
    <row r="5" spans="1:9" ht="18">
      <c r="A5" s="124" t="s">
        <v>101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137" t="s">
        <v>104</v>
      </c>
      <c r="H8" s="137" t="s">
        <v>104</v>
      </c>
      <c r="I8" s="83"/>
    </row>
    <row r="10" spans="1:9">
      <c r="F10" s="70"/>
    </row>
    <row r="11" spans="1:9">
      <c r="A11" s="71"/>
      <c r="B11" s="71"/>
      <c r="C11" s="71" t="s">
        <v>105</v>
      </c>
      <c r="F11" s="72" t="s">
        <v>106</v>
      </c>
      <c r="G11" s="47" t="s">
        <v>107</v>
      </c>
      <c r="H11" s="47" t="s">
        <v>84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1">
        <v>1546</v>
      </c>
      <c r="H13" s="132">
        <f>SUM(F13:G13)</f>
        <v>1546</v>
      </c>
      <c r="I13" t="s">
        <v>108</v>
      </c>
    </row>
    <row r="14" spans="1:9">
      <c r="C14" s="73">
        <v>44896</v>
      </c>
      <c r="F14" s="74">
        <v>0</v>
      </c>
      <c r="G14" s="131">
        <v>1592</v>
      </c>
      <c r="H14" s="132">
        <f>SUM(F14:G14)</f>
        <v>1592</v>
      </c>
      <c r="I14" t="s">
        <v>109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110</v>
      </c>
    </row>
    <row r="16" spans="1:9">
      <c r="F16" s="75"/>
      <c r="G16" s="132"/>
      <c r="H16" s="132"/>
      <c r="I16" t="s">
        <v>111</v>
      </c>
    </row>
    <row r="17" spans="3:9" ht="15" thickBot="1">
      <c r="F17" s="76">
        <f>SUM(F13:F16)</f>
        <v>0</v>
      </c>
      <c r="G17" s="76">
        <f>SUM(G13:G16)</f>
        <v>3138</v>
      </c>
      <c r="H17" s="76">
        <f>SUM(H13:H16)</f>
        <v>3138</v>
      </c>
    </row>
    <row r="19" spans="3:9">
      <c r="C19" s="77" t="s">
        <v>112</v>
      </c>
      <c r="F19">
        <f>COUNT(F13:F15)</f>
        <v>2</v>
      </c>
      <c r="G19">
        <f>COUNT(G13:G15)</f>
        <v>2</v>
      </c>
    </row>
    <row r="21" spans="3:9">
      <c r="C21" t="s">
        <v>113</v>
      </c>
      <c r="F21" s="74"/>
      <c r="I21" t="s">
        <v>114</v>
      </c>
    </row>
    <row r="23" spans="3:9">
      <c r="C23" t="s">
        <v>115</v>
      </c>
      <c r="F23" s="78"/>
      <c r="G23" s="133">
        <v>7888.95</v>
      </c>
      <c r="H23" s="79"/>
      <c r="I23" t="s">
        <v>116</v>
      </c>
    </row>
    <row r="24" spans="3:9">
      <c r="C24" t="s">
        <v>117</v>
      </c>
      <c r="F24" s="80"/>
      <c r="G24" s="133">
        <v>2235.09</v>
      </c>
      <c r="H24" s="79"/>
    </row>
    <row r="25" spans="3:9">
      <c r="C25" t="s">
        <v>118</v>
      </c>
      <c r="F25" s="79"/>
      <c r="G25" s="134"/>
      <c r="H25" s="79"/>
    </row>
    <row r="26" spans="3:9">
      <c r="C26" t="s">
        <v>119</v>
      </c>
      <c r="F26" s="81"/>
      <c r="G26" s="79">
        <f>G23-SUM(G24:G25)</f>
        <v>5653.86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120</v>
      </c>
      <c r="F29" s="75">
        <f>ROUND(F21/4,0)</f>
        <v>0</v>
      </c>
      <c r="G29" s="132">
        <f>ROUND(G26/4,0)</f>
        <v>1413</v>
      </c>
      <c r="H29" s="79"/>
    </row>
    <row r="30" spans="3:9">
      <c r="C30" t="s">
        <v>121</v>
      </c>
      <c r="F30" s="75">
        <f>(F29*F19)-F17</f>
        <v>0</v>
      </c>
      <c r="G30" s="75">
        <f>(G29*G19)-G17</f>
        <v>-312</v>
      </c>
      <c r="H30" s="79"/>
    </row>
    <row r="31" spans="3:9">
      <c r="F31" s="78"/>
      <c r="G31" s="79"/>
      <c r="H31" s="79"/>
    </row>
    <row r="32" spans="3:9">
      <c r="C32" s="77" t="s">
        <v>122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1546</v>
      </c>
      <c r="H33" s="132">
        <f t="shared" ref="H33:H36" si="0">SUM(F33:G33)</f>
        <v>1546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1592</v>
      </c>
      <c r="H34" s="132">
        <f t="shared" si="0"/>
        <v>1592</v>
      </c>
      <c r="L34" s="132"/>
    </row>
    <row r="35" spans="3:12">
      <c r="C35" s="73">
        <v>44986</v>
      </c>
      <c r="F35" s="82">
        <f>IF(F19=1,F29,IF(F19=2,F29+F30,F14))</f>
        <v>0</v>
      </c>
      <c r="G35" s="82">
        <v>1257</v>
      </c>
      <c r="H35" s="132">
        <f t="shared" si="0"/>
        <v>1257</v>
      </c>
    </row>
    <row r="36" spans="3:12">
      <c r="C36" s="73">
        <v>45078</v>
      </c>
      <c r="F36" s="82">
        <f>F21-SUM(F33:F35)</f>
        <v>0</v>
      </c>
      <c r="G36" s="82">
        <v>1257</v>
      </c>
      <c r="H36" s="132">
        <f t="shared" si="0"/>
        <v>1257</v>
      </c>
    </row>
    <row r="38" spans="3:12" ht="15" thickBot="1">
      <c r="F38" s="76">
        <f>SUM(F33:F37)</f>
        <v>0</v>
      </c>
      <c r="G38" s="76">
        <f>SUM(G33:G37)</f>
        <v>5652</v>
      </c>
      <c r="H38" s="76">
        <f>SUM(H33:H37)</f>
        <v>5652</v>
      </c>
    </row>
    <row r="40" spans="3:12">
      <c r="G40" s="79"/>
    </row>
    <row r="42" spans="3:12">
      <c r="F42" s="58" t="s">
        <v>123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92D050"/>
  </sheetPr>
  <dimension ref="A1:N56"/>
  <sheetViews>
    <sheetView workbookViewId="0">
      <selection activeCell="D26" sqref="D26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6.7109375" style="111" customWidth="1"/>
    <col min="10" max="10" width="15.28515625" style="107" customWidth="1"/>
    <col min="11" max="16384" width="11.42578125" style="107"/>
  </cols>
  <sheetData>
    <row r="1" spans="1:11" customFormat="1" ht="18">
      <c r="A1" s="122" t="s">
        <v>0</v>
      </c>
      <c r="B1" s="301" t="str">
        <f>Index!$C$1</f>
        <v>VENN CONSTRUCTIONS PTY LTD SUPERANNUATION FUND</v>
      </c>
      <c r="C1" s="301"/>
      <c r="D1" s="301"/>
      <c r="F1" s="54"/>
      <c r="H1" s="56" t="s">
        <v>2</v>
      </c>
      <c r="I1" s="56" t="s">
        <v>3</v>
      </c>
    </row>
    <row r="2" spans="1:11" customFormat="1" ht="18">
      <c r="A2" s="122" t="s">
        <v>4</v>
      </c>
      <c r="B2" s="301" t="str">
        <f>Index!$C$2</f>
        <v>9VENM</v>
      </c>
      <c r="C2" s="301"/>
      <c r="D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1" customFormat="1" ht="18">
      <c r="A3" s="122" t="s">
        <v>8</v>
      </c>
      <c r="B3" s="302">
        <f>Index!$C$3</f>
        <v>44742</v>
      </c>
      <c r="C3" s="302"/>
      <c r="D3" s="302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1" customFormat="1" ht="18">
      <c r="A4" s="122"/>
      <c r="B4" s="53"/>
      <c r="D4" s="53"/>
      <c r="E4" s="53"/>
      <c r="F4" s="55"/>
      <c r="G4" s="123"/>
      <c r="H4" s="65"/>
      <c r="I4" s="66"/>
    </row>
    <row r="5" spans="1:11" customFormat="1" ht="18">
      <c r="A5" s="53" t="s">
        <v>124</v>
      </c>
      <c r="C5" s="57"/>
      <c r="F5" s="58"/>
      <c r="G5" s="58"/>
      <c r="H5" s="65"/>
      <c r="J5" s="66"/>
    </row>
    <row r="6" spans="1:11" ht="18">
      <c r="A6" s="62"/>
      <c r="B6" s="63"/>
      <c r="C6" s="108"/>
      <c r="D6" s="53"/>
      <c r="E6" s="53"/>
      <c r="F6" s="65"/>
      <c r="G6" s="65"/>
      <c r="H6" s="65"/>
      <c r="I6" s="109"/>
    </row>
    <row r="7" spans="1:11" s="144" customFormat="1" ht="15" thickBot="1">
      <c r="A7" s="146"/>
      <c r="C7" s="163"/>
      <c r="D7" s="163"/>
      <c r="E7" s="163"/>
      <c r="F7" s="114"/>
      <c r="G7" s="163"/>
      <c r="H7" s="163"/>
      <c r="I7" s="163"/>
    </row>
    <row r="8" spans="1:11" s="144" customFormat="1" ht="29.45" thickBot="1">
      <c r="A8" s="308" t="s">
        <v>125</v>
      </c>
      <c r="B8" s="309"/>
      <c r="C8" s="164" t="s">
        <v>126</v>
      </c>
      <c r="D8" s="164" t="s">
        <v>127</v>
      </c>
      <c r="E8" s="164" t="s">
        <v>128</v>
      </c>
      <c r="F8" s="164" t="s">
        <v>129</v>
      </c>
      <c r="G8" s="164" t="s">
        <v>130</v>
      </c>
      <c r="H8" s="164" t="s">
        <v>131</v>
      </c>
      <c r="I8" s="165" t="s">
        <v>132</v>
      </c>
    </row>
    <row r="9" spans="1:11" s="144" customFormat="1" ht="14.45">
      <c r="A9" s="166" t="s">
        <v>133</v>
      </c>
      <c r="B9" s="167"/>
      <c r="C9" s="168">
        <v>2455</v>
      </c>
      <c r="D9" s="168">
        <v>168</v>
      </c>
      <c r="E9" s="168"/>
      <c r="F9" s="169">
        <v>267</v>
      </c>
      <c r="G9" s="168"/>
      <c r="H9" s="168"/>
      <c r="I9" s="168">
        <f>C9-D9+E9+F9+G9+H9</f>
        <v>2554</v>
      </c>
    </row>
    <row r="10" spans="1:11" s="144" customFormat="1" ht="14.45">
      <c r="A10" s="170" t="s">
        <v>134</v>
      </c>
      <c r="B10" s="171"/>
      <c r="C10" s="168">
        <v>963</v>
      </c>
      <c r="D10" s="172">
        <v>260</v>
      </c>
      <c r="E10" s="172"/>
      <c r="F10" s="173">
        <v>267</v>
      </c>
      <c r="G10" s="172"/>
      <c r="H10" s="172"/>
      <c r="I10" s="168">
        <f>C10-D10+E10+F10+G10+H10</f>
        <v>970</v>
      </c>
    </row>
    <row r="11" spans="1:11" s="144" customFormat="1" ht="14.45">
      <c r="A11" s="170" t="s">
        <v>135</v>
      </c>
      <c r="B11" s="171"/>
      <c r="C11" s="168">
        <v>963</v>
      </c>
      <c r="D11" s="172">
        <v>132</v>
      </c>
      <c r="E11" s="172"/>
      <c r="F11" s="173">
        <v>267</v>
      </c>
      <c r="G11" s="172"/>
      <c r="H11" s="172"/>
      <c r="I11" s="168">
        <f>C11-D11+E11+F11+G11+H11</f>
        <v>1098</v>
      </c>
    </row>
    <row r="12" spans="1:11" s="144" customFormat="1" ht="14.45">
      <c r="A12" s="170" t="s">
        <v>136</v>
      </c>
      <c r="B12" s="171"/>
      <c r="C12" s="168">
        <v>963</v>
      </c>
      <c r="D12" s="172">
        <v>132</v>
      </c>
      <c r="E12" s="172"/>
      <c r="F12" s="173">
        <v>636</v>
      </c>
      <c r="G12" s="172"/>
      <c r="H12" s="172"/>
      <c r="I12" s="168">
        <f>C12-D12+E12+F12+G12+H12</f>
        <v>1467</v>
      </c>
    </row>
    <row r="13" spans="1:11" s="144" customFormat="1" ht="14.45">
      <c r="A13" s="174"/>
      <c r="B13" s="163" t="s">
        <v>137</v>
      </c>
      <c r="C13" s="175">
        <f t="shared" ref="C13:I13" si="0">SUM(C9:C12)</f>
        <v>5344</v>
      </c>
      <c r="D13" s="175">
        <f t="shared" si="0"/>
        <v>692</v>
      </c>
      <c r="E13" s="175">
        <f t="shared" si="0"/>
        <v>0</v>
      </c>
      <c r="F13" s="175">
        <f t="shared" si="0"/>
        <v>1437</v>
      </c>
      <c r="G13" s="175">
        <f t="shared" si="0"/>
        <v>0</v>
      </c>
      <c r="H13" s="175">
        <f t="shared" si="0"/>
        <v>0</v>
      </c>
      <c r="I13" s="175">
        <f t="shared" si="0"/>
        <v>6089</v>
      </c>
    </row>
    <row r="14" spans="1:11" s="144" customFormat="1" ht="1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1" s="144" customFormat="1" ht="29.45" thickBot="1">
      <c r="A15" s="308" t="s">
        <v>138</v>
      </c>
      <c r="B15" s="357"/>
      <c r="C15" s="164" t="s">
        <v>126</v>
      </c>
      <c r="D15" s="164" t="s">
        <v>127</v>
      </c>
      <c r="E15" s="164" t="s">
        <v>128</v>
      </c>
      <c r="F15" s="164" t="s">
        <v>129</v>
      </c>
      <c r="G15" s="164" t="s">
        <v>130</v>
      </c>
      <c r="H15" s="164" t="s">
        <v>131</v>
      </c>
      <c r="I15" s="165" t="s">
        <v>132</v>
      </c>
    </row>
    <row r="16" spans="1:11" s="144" customFormat="1" ht="14.45">
      <c r="A16" s="176" t="s">
        <v>133</v>
      </c>
      <c r="B16" s="167"/>
      <c r="C16" s="168">
        <f>321.3*3</f>
        <v>963.90000000000009</v>
      </c>
      <c r="D16" s="168">
        <f>20.8+40.48+57.82</f>
        <v>119.1</v>
      </c>
      <c r="E16" s="168"/>
      <c r="F16" s="169"/>
      <c r="G16" s="168"/>
      <c r="H16" s="168"/>
      <c r="I16" s="168">
        <f>C16-D16+E16+F16+G16+H16</f>
        <v>844.80000000000007</v>
      </c>
      <c r="K16" s="278"/>
    </row>
    <row r="17" spans="1:14" s="144" customFormat="1" ht="14.45">
      <c r="A17" s="177" t="s">
        <v>134</v>
      </c>
      <c r="B17" s="171"/>
      <c r="C17" s="168">
        <f>321.3*3</f>
        <v>963.90000000000009</v>
      </c>
      <c r="D17" s="172">
        <f>21.75-0.68+129.14+57.82</f>
        <v>208.02999999999997</v>
      </c>
      <c r="E17" s="172"/>
      <c r="F17" s="173"/>
      <c r="G17" s="172"/>
      <c r="H17" s="172"/>
      <c r="I17" s="168">
        <f>C17-D17+E17+F17+G17+H17</f>
        <v>755.87000000000012</v>
      </c>
      <c r="K17" s="278"/>
    </row>
    <row r="18" spans="1:14" s="144" customFormat="1" ht="14.45">
      <c r="A18" s="177" t="s">
        <v>135</v>
      </c>
      <c r="B18" s="171"/>
      <c r="C18" s="168">
        <f>321.3*3</f>
        <v>963.90000000000009</v>
      </c>
      <c r="D18" s="172">
        <f>21.75+58.63</f>
        <v>80.38</v>
      </c>
      <c r="E18" s="172"/>
      <c r="F18" s="173"/>
      <c r="G18" s="172"/>
      <c r="H18" s="172"/>
      <c r="I18" s="168">
        <f>C18-D18+E18+F18+G18+H18</f>
        <v>883.5200000000001</v>
      </c>
      <c r="K18" s="278"/>
    </row>
    <row r="19" spans="1:14" s="144" customFormat="1" ht="14.45">
      <c r="A19" s="177" t="s">
        <v>139</v>
      </c>
      <c r="B19" s="171"/>
      <c r="C19" s="168">
        <f>321.3*3</f>
        <v>963.90000000000009</v>
      </c>
      <c r="D19" s="172">
        <f>21.75+58.64</f>
        <v>80.39</v>
      </c>
      <c r="E19" s="172"/>
      <c r="F19" s="173">
        <v>1437</v>
      </c>
      <c r="G19" s="172"/>
      <c r="H19" s="172"/>
      <c r="I19" s="168">
        <f>C19-D19+E19+F19+G19+H19</f>
        <v>2320.5100000000002</v>
      </c>
      <c r="K19" s="278"/>
    </row>
    <row r="20" spans="1:14" s="144" customFormat="1" ht="14.45">
      <c r="A20" s="174"/>
      <c r="B20" s="163" t="s">
        <v>137</v>
      </c>
      <c r="C20" s="178">
        <f t="shared" ref="C20:I20" si="1">SUM(C16:C19)</f>
        <v>3855.6000000000004</v>
      </c>
      <c r="D20" s="178">
        <f t="shared" si="1"/>
        <v>487.9</v>
      </c>
      <c r="E20" s="178">
        <f t="shared" si="1"/>
        <v>0</v>
      </c>
      <c r="F20" s="178">
        <f t="shared" si="1"/>
        <v>1437</v>
      </c>
      <c r="G20" s="178">
        <f t="shared" si="1"/>
        <v>0</v>
      </c>
      <c r="H20" s="178">
        <f t="shared" si="1"/>
        <v>0</v>
      </c>
      <c r="I20" s="178">
        <f t="shared" si="1"/>
        <v>4804.7000000000007</v>
      </c>
    </row>
    <row r="21" spans="1:14" s="144" customFormat="1" ht="14.45">
      <c r="A21" s="146"/>
      <c r="J21" s="278">
        <f>+C12+208</f>
        <v>1171</v>
      </c>
      <c r="K21" s="278"/>
    </row>
    <row r="22" spans="1:14" s="144" customFormat="1" ht="14.45">
      <c r="A22" s="310" t="s">
        <v>140</v>
      </c>
      <c r="B22" s="311"/>
      <c r="C22" s="179">
        <f t="shared" ref="C22:I22" si="2">+C13-C20</f>
        <v>1488.3999999999996</v>
      </c>
      <c r="D22" s="179">
        <f>+D13-D20</f>
        <v>204.10000000000002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1284.2999999999993</v>
      </c>
      <c r="J22" s="278">
        <f>+J21-132</f>
        <v>1039</v>
      </c>
      <c r="K22" s="278"/>
    </row>
    <row r="23" spans="1:14" s="144" customFormat="1" ht="14.45">
      <c r="A23" s="146"/>
      <c r="J23" s="278"/>
      <c r="K23" s="278"/>
    </row>
    <row r="24" spans="1:14" s="144" customFormat="1" ht="14.45">
      <c r="A24" s="144" t="s">
        <v>141</v>
      </c>
      <c r="B24" s="145"/>
      <c r="G24" s="145"/>
      <c r="J24" s="278"/>
      <c r="K24" s="278"/>
    </row>
    <row r="25" spans="1:14" s="144" customFormat="1" ht="14.45">
      <c r="B25" s="145"/>
      <c r="C25" s="306" t="s">
        <v>142</v>
      </c>
      <c r="D25" s="306"/>
      <c r="E25" s="306" t="s">
        <v>143</v>
      </c>
      <c r="F25" s="306"/>
      <c r="G25" s="307" t="s">
        <v>144</v>
      </c>
      <c r="H25" s="307"/>
      <c r="J25" s="278"/>
    </row>
    <row r="26" spans="1:14" s="144" customFormat="1" ht="14.45">
      <c r="A26" s="146" t="s">
        <v>3</v>
      </c>
      <c r="B26" s="144" t="s">
        <v>145</v>
      </c>
      <c r="C26" s="144" t="s">
        <v>126</v>
      </c>
      <c r="D26" s="144" t="s">
        <v>127</v>
      </c>
      <c r="E26" s="144" t="s">
        <v>126</v>
      </c>
      <c r="F26" s="144" t="s">
        <v>127</v>
      </c>
      <c r="G26" s="144" t="s">
        <v>126</v>
      </c>
      <c r="H26" s="144" t="s">
        <v>127</v>
      </c>
      <c r="I26" s="250">
        <f>+I22-I51</f>
        <v>-207.70000000000073</v>
      </c>
      <c r="J26" s="278"/>
    </row>
    <row r="27" spans="1:14" s="144" customFormat="1" ht="14.45">
      <c r="A27" s="147"/>
      <c r="C27" s="148"/>
      <c r="D27" s="148"/>
      <c r="E27" s="148"/>
      <c r="F27" s="148"/>
      <c r="G27" s="148"/>
      <c r="H27" s="148">
        <f>D27-F27</f>
        <v>0</v>
      </c>
    </row>
    <row r="28" spans="1:14" s="144" customFormat="1" ht="14.4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14" s="144" customFormat="1" ht="14.45">
      <c r="A29" s="276"/>
      <c r="B29" s="114"/>
      <c r="C29" s="204"/>
      <c r="D29" s="277"/>
      <c r="E29" s="204"/>
      <c r="F29" s="204"/>
      <c r="G29" s="204"/>
      <c r="H29" s="148">
        <f t="shared" si="3"/>
        <v>0</v>
      </c>
      <c r="I29" s="114"/>
      <c r="J29" s="114"/>
      <c r="K29" s="114"/>
      <c r="L29" s="114"/>
      <c r="M29" s="114"/>
      <c r="N29" s="114"/>
    </row>
    <row r="30" spans="1:14" s="144" customFormat="1" ht="14.45">
      <c r="A30" s="149"/>
      <c r="B30" s="144" t="s">
        <v>146</v>
      </c>
      <c r="C30" s="148"/>
      <c r="D30" s="148">
        <v>70</v>
      </c>
      <c r="E30" s="148"/>
      <c r="F30" s="148">
        <v>20.8</v>
      </c>
      <c r="G30" s="148"/>
      <c r="H30" s="148">
        <f t="shared" si="3"/>
        <v>49.2</v>
      </c>
    </row>
    <row r="31" spans="1:14" s="144" customFormat="1" ht="14.45">
      <c r="A31" s="147"/>
      <c r="B31" s="144" t="s">
        <v>146</v>
      </c>
      <c r="C31" s="148"/>
      <c r="D31" s="148">
        <v>74</v>
      </c>
      <c r="E31" s="148"/>
      <c r="F31" s="148">
        <v>21.75</v>
      </c>
      <c r="G31" s="148"/>
      <c r="H31" s="148">
        <f t="shared" si="3"/>
        <v>52.25</v>
      </c>
    </row>
    <row r="32" spans="1:14" s="144" customFormat="1" ht="14.45">
      <c r="A32" s="149"/>
      <c r="B32" s="144" t="s">
        <v>146</v>
      </c>
      <c r="C32" s="148"/>
      <c r="D32" s="148">
        <v>74</v>
      </c>
      <c r="E32" s="148"/>
      <c r="F32" s="148">
        <v>21.75</v>
      </c>
      <c r="G32" s="148"/>
      <c r="H32" s="148">
        <f t="shared" si="3"/>
        <v>52.25</v>
      </c>
    </row>
    <row r="33" spans="1:9" s="144" customFormat="1" ht="14.45">
      <c r="A33" s="147"/>
      <c r="B33" s="144" t="s">
        <v>146</v>
      </c>
      <c r="C33" s="148"/>
      <c r="D33" s="148">
        <v>74</v>
      </c>
      <c r="E33" s="148"/>
      <c r="F33" s="148">
        <v>21.75</v>
      </c>
      <c r="G33" s="148"/>
      <c r="H33" s="148">
        <f t="shared" si="3"/>
        <v>52.25</v>
      </c>
    </row>
    <row r="34" spans="1:9" s="144" customFormat="1" ht="14.45">
      <c r="A34" s="146"/>
      <c r="B34" s="150" t="s">
        <v>147</v>
      </c>
      <c r="C34" s="148"/>
      <c r="D34" s="148">
        <v>0</v>
      </c>
      <c r="E34" s="148"/>
      <c r="F34" s="148">
        <v>-0.68</v>
      </c>
      <c r="G34" s="148"/>
      <c r="H34" s="148">
        <f t="shared" si="3"/>
        <v>0.68</v>
      </c>
    </row>
    <row r="35" spans="1:9" s="144" customFormat="1" ht="14.4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9" s="144" customFormat="1" ht="14.4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9" s="144" customFormat="1" ht="14.4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9" s="144" customFormat="1" ht="14.4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9" s="144" customFormat="1" ht="14.45">
      <c r="A39" s="146"/>
      <c r="B39" s="151" t="s">
        <v>84</v>
      </c>
      <c r="H39" s="152">
        <f>SUM(H27:H38)</f>
        <v>206.63</v>
      </c>
    </row>
    <row r="40" spans="1:9" s="144" customFormat="1" ht="14.45">
      <c r="A40" s="146"/>
      <c r="H40" s="144">
        <f t="shared" si="3"/>
        <v>0</v>
      </c>
    </row>
    <row r="41" spans="1:9" s="144" customFormat="1" ht="15" thickBot="1">
      <c r="A41" s="146"/>
      <c r="G41" s="144" t="s">
        <v>148</v>
      </c>
      <c r="H41" s="153">
        <f>I22+H39</f>
        <v>1490.9299999999994</v>
      </c>
    </row>
    <row r="42" spans="1:9" s="144" customFormat="1" ht="14.45">
      <c r="A42" s="146"/>
      <c r="B42" s="154" t="s">
        <v>149</v>
      </c>
      <c r="C42" s="155">
        <f>I13</f>
        <v>6089</v>
      </c>
      <c r="D42" s="156"/>
    </row>
    <row r="43" spans="1:9" s="144" customFormat="1" ht="14.45">
      <c r="A43" s="146"/>
      <c r="B43" s="157" t="s">
        <v>150</v>
      </c>
      <c r="C43" s="152">
        <f>I20</f>
        <v>4804.7000000000007</v>
      </c>
      <c r="D43" s="158"/>
    </row>
    <row r="44" spans="1:9" s="144" customFormat="1" ht="14.45">
      <c r="A44" s="146"/>
      <c r="B44" s="157" t="s">
        <v>151</v>
      </c>
      <c r="C44" s="279">
        <v>1492</v>
      </c>
      <c r="D44" s="158"/>
    </row>
    <row r="45" spans="1:9" s="144" customFormat="1" ht="14.45">
      <c r="A45" s="146"/>
      <c r="B45" s="159" t="s">
        <v>144</v>
      </c>
      <c r="C45" s="153">
        <f>+C42-C43-C44</f>
        <v>-207.70000000000073</v>
      </c>
      <c r="D45" s="158"/>
    </row>
    <row r="46" spans="1:9" s="144" customFormat="1" ht="15.6">
      <c r="A46" s="146"/>
      <c r="B46" s="157"/>
      <c r="D46" s="158"/>
      <c r="F46" s="274" t="s">
        <v>152</v>
      </c>
      <c r="G46" s="274"/>
      <c r="H46" s="274"/>
      <c r="I46" s="274"/>
    </row>
    <row r="47" spans="1:9" s="144" customFormat="1" ht="15.6">
      <c r="A47" s="146"/>
      <c r="B47" s="157" t="s">
        <v>153</v>
      </c>
      <c r="C47" s="153">
        <v>-208.24</v>
      </c>
      <c r="D47" s="158"/>
      <c r="F47" s="274" t="s">
        <v>154</v>
      </c>
      <c r="G47" s="274"/>
      <c r="H47" s="274"/>
      <c r="I47" s="274">
        <v>351</v>
      </c>
    </row>
    <row r="48" spans="1:9" s="144" customFormat="1" ht="15.95" thickBot="1">
      <c r="A48" s="146"/>
      <c r="B48" s="160" t="s">
        <v>155</v>
      </c>
      <c r="C48" s="161">
        <f>C47-C45</f>
        <v>-0.5399999999992815</v>
      </c>
      <c r="D48" s="162" t="s">
        <v>156</v>
      </c>
      <c r="F48" s="274" t="s">
        <v>157</v>
      </c>
      <c r="G48" s="274"/>
      <c r="H48" s="274"/>
      <c r="I48" s="274">
        <v>568</v>
      </c>
    </row>
    <row r="49" spans="1:9" s="144" customFormat="1" ht="15.6">
      <c r="A49" s="146"/>
      <c r="F49" s="274" t="s">
        <v>158</v>
      </c>
      <c r="G49" s="274"/>
      <c r="H49" s="274"/>
      <c r="I49" s="274">
        <v>283</v>
      </c>
    </row>
    <row r="50" spans="1:9" s="144" customFormat="1" ht="15.6">
      <c r="A50" s="146"/>
      <c r="F50" s="274" t="s">
        <v>159</v>
      </c>
      <c r="G50" s="274"/>
      <c r="H50" s="274"/>
      <c r="I50" s="280">
        <v>290</v>
      </c>
    </row>
    <row r="51" spans="1:9" s="144" customFormat="1" ht="15.6">
      <c r="A51" s="146"/>
      <c r="F51" s="274"/>
      <c r="G51" s="274"/>
      <c r="H51" s="274"/>
      <c r="I51" s="275">
        <f>SUM(I47:I50)</f>
        <v>1492</v>
      </c>
    </row>
    <row r="52" spans="1:9" s="144" customFormat="1" ht="15.6">
      <c r="A52" s="146"/>
      <c r="F52" s="274"/>
      <c r="G52" s="274"/>
      <c r="H52" s="274"/>
      <c r="I52" s="274"/>
    </row>
    <row r="53" spans="1:9" s="144" customFormat="1" ht="14.45">
      <c r="A53" s="146"/>
    </row>
    <row r="54" spans="1:9" s="144" customFormat="1" ht="14.45">
      <c r="A54" s="146"/>
    </row>
    <row r="55" spans="1:9" s="144" customFormat="1" ht="14.45">
      <c r="A55" s="146"/>
    </row>
    <row r="56" spans="1:9" s="144" customFormat="1" ht="14.45">
      <c r="A56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4"/>
  <sheetViews>
    <sheetView workbookViewId="0">
      <selection activeCell="D21" sqref="D21"/>
    </sheetView>
  </sheetViews>
  <sheetFormatPr defaultColWidth="8.7109375" defaultRowHeight="14.4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102</v>
      </c>
      <c r="B8" s="303" t="s">
        <v>103</v>
      </c>
      <c r="C8" s="304"/>
      <c r="D8" s="305"/>
      <c r="E8" s="137" t="s">
        <v>104</v>
      </c>
      <c r="F8" s="137" t="s">
        <v>104</v>
      </c>
      <c r="G8" s="137" t="s">
        <v>104</v>
      </c>
      <c r="H8" s="303" t="s">
        <v>161</v>
      </c>
      <c r="I8" s="305"/>
    </row>
    <row r="10" spans="1:10">
      <c r="G10" s="42"/>
    </row>
    <row r="11" spans="1:10">
      <c r="A11" s="77">
        <v>60400</v>
      </c>
      <c r="B11" s="77"/>
      <c r="C11" s="77" t="s">
        <v>162</v>
      </c>
      <c r="E11" s="47" t="s">
        <v>163</v>
      </c>
      <c r="F11" s="85" t="s">
        <v>164</v>
      </c>
      <c r="G11" s="272" t="s">
        <v>165</v>
      </c>
    </row>
    <row r="12" spans="1:10">
      <c r="A12" t="s">
        <v>166</v>
      </c>
      <c r="C12" t="s">
        <v>167</v>
      </c>
      <c r="E12" s="93">
        <v>658703.6</v>
      </c>
      <c r="F12" s="93">
        <v>658703.6</v>
      </c>
      <c r="G12" s="273">
        <f>+E12-F12</f>
        <v>0</v>
      </c>
      <c r="H12" s="93"/>
    </row>
    <row r="13" spans="1:10">
      <c r="G13" s="42"/>
    </row>
    <row r="14" spans="1:10">
      <c r="G14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A7" sqref="A7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303" t="s">
        <v>161</v>
      </c>
      <c r="H8" s="312"/>
      <c r="I8" s="313"/>
    </row>
    <row r="10" spans="1:10">
      <c r="F10" s="80"/>
    </row>
    <row r="11" spans="1:10">
      <c r="C11" t="s">
        <v>169</v>
      </c>
      <c r="F11" s="93"/>
      <c r="G11" s="42" t="s">
        <v>170</v>
      </c>
    </row>
    <row r="12" spans="1:10">
      <c r="C12" t="s">
        <v>171</v>
      </c>
      <c r="F12" s="115"/>
    </row>
    <row r="13" spans="1:10">
      <c r="C13" t="s">
        <v>172</v>
      </c>
      <c r="F13" s="93">
        <f>+F11-F12</f>
        <v>0</v>
      </c>
      <c r="H13" t="s">
        <v>173</v>
      </c>
      <c r="I13" s="96" t="e">
        <f>+F13/F12</f>
        <v>#DIV/0!</v>
      </c>
    </row>
    <row r="14" spans="1:10">
      <c r="C14" s="248" t="s">
        <v>174</v>
      </c>
      <c r="F14" s="250">
        <f>G45</f>
        <v>0</v>
      </c>
    </row>
    <row r="15" spans="1:10">
      <c r="C15" s="42" t="s">
        <v>175</v>
      </c>
      <c r="F15" s="249"/>
      <c r="H15" s="42" t="s">
        <v>176</v>
      </c>
      <c r="I15" s="42" t="e">
        <f>+F15/F12</f>
        <v>#DIV/0!</v>
      </c>
      <c r="J15" s="42" t="s">
        <v>177</v>
      </c>
    </row>
    <row r="16" spans="1:10">
      <c r="F16" s="95"/>
      <c r="H16" s="42"/>
      <c r="I16" s="97"/>
    </row>
    <row r="17" spans="3:7">
      <c r="C17" t="s">
        <v>178</v>
      </c>
      <c r="F17"/>
    </row>
    <row r="18" spans="3:7">
      <c r="C18" t="s">
        <v>179</v>
      </c>
    </row>
    <row r="19" spans="3:7">
      <c r="C19" t="s">
        <v>180</v>
      </c>
    </row>
    <row r="22" spans="3:7">
      <c r="C22" s="98" t="s">
        <v>181</v>
      </c>
      <c r="E22" s="47" t="s">
        <v>182</v>
      </c>
      <c r="F22" s="47" t="s">
        <v>183</v>
      </c>
      <c r="G22" s="99" t="s">
        <v>184</v>
      </c>
    </row>
    <row r="23" spans="3:7">
      <c r="C23" t="s">
        <v>185</v>
      </c>
      <c r="E23" s="93"/>
      <c r="F23" s="93"/>
      <c r="G23" s="93">
        <f t="shared" ref="G23:G44" si="0">+E23-F23</f>
        <v>0</v>
      </c>
    </row>
    <row r="24" spans="3:7">
      <c r="C24" t="s">
        <v>186</v>
      </c>
      <c r="E24" s="93"/>
      <c r="F24" s="93"/>
      <c r="G24" s="93">
        <f t="shared" si="0"/>
        <v>0</v>
      </c>
    </row>
    <row r="25" spans="3:7">
      <c r="C25" t="s">
        <v>187</v>
      </c>
      <c r="E25" s="93"/>
      <c r="F25" s="93"/>
      <c r="G25" s="93">
        <f t="shared" si="0"/>
        <v>0</v>
      </c>
    </row>
    <row r="26" spans="3:7">
      <c r="C26" t="s">
        <v>188</v>
      </c>
      <c r="E26" s="93"/>
      <c r="F26" s="93"/>
      <c r="G26" s="93">
        <f t="shared" si="0"/>
        <v>0</v>
      </c>
    </row>
    <row r="27" spans="3:7">
      <c r="C27" t="s">
        <v>189</v>
      </c>
      <c r="E27" s="93"/>
      <c r="F27" s="93"/>
      <c r="G27" s="93">
        <f t="shared" si="0"/>
        <v>0</v>
      </c>
    </row>
    <row r="28" spans="3:7">
      <c r="C28" t="s">
        <v>190</v>
      </c>
      <c r="E28" s="93"/>
      <c r="F28" s="93"/>
      <c r="G28" s="93">
        <f t="shared" si="0"/>
        <v>0</v>
      </c>
    </row>
    <row r="29" spans="3:7">
      <c r="C29" t="s">
        <v>191</v>
      </c>
      <c r="E29" s="93"/>
      <c r="F29" s="93"/>
      <c r="G29" s="93">
        <f t="shared" si="0"/>
        <v>0</v>
      </c>
    </row>
    <row r="30" spans="3:7">
      <c r="C30" t="s">
        <v>192</v>
      </c>
      <c r="E30" s="93"/>
      <c r="F30" s="93"/>
      <c r="G30" s="93">
        <f t="shared" si="0"/>
        <v>0</v>
      </c>
    </row>
    <row r="31" spans="3:7">
      <c r="C31" t="s">
        <v>193</v>
      </c>
      <c r="E31" s="93"/>
      <c r="F31" s="93"/>
      <c r="G31" s="93">
        <f t="shared" si="0"/>
        <v>0</v>
      </c>
    </row>
    <row r="32" spans="3:7">
      <c r="C32" t="s">
        <v>194</v>
      </c>
      <c r="E32" s="93"/>
      <c r="F32" s="93"/>
      <c r="G32" s="93">
        <f t="shared" si="0"/>
        <v>0</v>
      </c>
    </row>
    <row r="33" spans="3:7">
      <c r="C33" t="s">
        <v>195</v>
      </c>
      <c r="E33" s="93"/>
      <c r="F33" s="93"/>
      <c r="G33" s="93">
        <f t="shared" si="0"/>
        <v>0</v>
      </c>
    </row>
    <row r="34" spans="3:7">
      <c r="C34" t="s">
        <v>196</v>
      </c>
      <c r="E34" s="93"/>
      <c r="F34" s="93"/>
      <c r="G34" s="93">
        <f t="shared" si="0"/>
        <v>0</v>
      </c>
    </row>
    <row r="35" spans="3:7">
      <c r="C35" t="s">
        <v>197</v>
      </c>
      <c r="E35" s="93"/>
      <c r="F35" s="93"/>
      <c r="G35" s="93">
        <f t="shared" si="0"/>
        <v>0</v>
      </c>
    </row>
    <row r="36" spans="3:7">
      <c r="C36" t="s">
        <v>198</v>
      </c>
      <c r="E36" s="93"/>
      <c r="F36" s="93"/>
      <c r="G36" s="93">
        <f t="shared" si="0"/>
        <v>0</v>
      </c>
    </row>
    <row r="37" spans="3:7">
      <c r="C37" t="s">
        <v>199</v>
      </c>
      <c r="E37" s="93"/>
      <c r="F37" s="93"/>
      <c r="G37" s="93">
        <f t="shared" si="0"/>
        <v>0</v>
      </c>
    </row>
    <row r="38" spans="3:7">
      <c r="C38" t="s">
        <v>200</v>
      </c>
      <c r="E38" s="93"/>
      <c r="F38" s="93"/>
      <c r="G38" s="93">
        <f t="shared" si="0"/>
        <v>0</v>
      </c>
    </row>
    <row r="39" spans="3:7">
      <c r="C39" t="s">
        <v>201</v>
      </c>
      <c r="E39" s="93"/>
      <c r="F39" s="93"/>
      <c r="G39" s="93">
        <f t="shared" si="0"/>
        <v>0</v>
      </c>
    </row>
    <row r="40" spans="3:7">
      <c r="C40" t="s">
        <v>202</v>
      </c>
      <c r="E40" s="93"/>
      <c r="F40" s="93"/>
      <c r="G40" s="93">
        <f t="shared" si="0"/>
        <v>0</v>
      </c>
    </row>
    <row r="41" spans="3:7">
      <c r="C41" t="s">
        <v>203</v>
      </c>
      <c r="E41" s="93"/>
      <c r="F41" s="93"/>
      <c r="G41" s="93">
        <f t="shared" si="0"/>
        <v>0</v>
      </c>
    </row>
    <row r="42" spans="3:7">
      <c r="C42" t="s">
        <v>204</v>
      </c>
      <c r="E42" s="93"/>
      <c r="F42" s="93"/>
      <c r="G42" s="93">
        <f t="shared" si="0"/>
        <v>0</v>
      </c>
    </row>
    <row r="43" spans="3:7">
      <c r="C43" t="s">
        <v>205</v>
      </c>
      <c r="E43" s="93"/>
      <c r="F43" s="93"/>
      <c r="G43" s="93">
        <f t="shared" si="0"/>
        <v>0</v>
      </c>
    </row>
    <row r="44" spans="3:7">
      <c r="C44" t="s">
        <v>206</v>
      </c>
      <c r="E44" s="230"/>
      <c r="F44" s="230"/>
      <c r="G44" s="93">
        <f t="shared" si="0"/>
        <v>0</v>
      </c>
    </row>
    <row r="45" spans="3:7" ht="15" thickBot="1">
      <c r="E45" s="227">
        <f>SUM(E23:E44)</f>
        <v>0</v>
      </c>
      <c r="F45" s="227">
        <f>SUM(F23:F44)</f>
        <v>0</v>
      </c>
      <c r="G45" s="227">
        <f>SUM(G23:G44)</f>
        <v>0</v>
      </c>
    </row>
    <row r="46" spans="3:7" ht="1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A7" sqref="A7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0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207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102</v>
      </c>
      <c r="B8" s="303" t="s">
        <v>103</v>
      </c>
      <c r="C8" s="304"/>
      <c r="D8" s="304"/>
      <c r="E8" s="305"/>
      <c r="F8" s="137" t="s">
        <v>104</v>
      </c>
      <c r="G8" s="303" t="s">
        <v>161</v>
      </c>
      <c r="H8" s="312"/>
      <c r="I8" s="313"/>
    </row>
    <row r="10" spans="1:10">
      <c r="A10" s="236"/>
      <c r="F10" s="70"/>
    </row>
    <row r="11" spans="1:10">
      <c r="C11" s="77" t="s">
        <v>208</v>
      </c>
      <c r="F11" s="70"/>
    </row>
    <row r="12" spans="1:10">
      <c r="C12" t="s">
        <v>43</v>
      </c>
      <c r="F12" s="70"/>
    </row>
    <row r="13" spans="1:10">
      <c r="C13" t="s">
        <v>209</v>
      </c>
      <c r="F13" s="70"/>
    </row>
    <row r="14" spans="1:10">
      <c r="C14" t="s">
        <v>210</v>
      </c>
      <c r="F14" s="70"/>
    </row>
    <row r="15" spans="1:10">
      <c r="C15" t="s">
        <v>211</v>
      </c>
      <c r="F15" s="70"/>
    </row>
    <row r="16" spans="1:10">
      <c r="F16" s="235">
        <f>SUM(F12:F15)</f>
        <v>0</v>
      </c>
    </row>
    <row r="17" spans="3:10">
      <c r="F17" s="70"/>
    </row>
    <row r="18" spans="3:10">
      <c r="C18" s="77" t="s">
        <v>212</v>
      </c>
      <c r="F18" s="70"/>
    </row>
    <row r="19" spans="3:10">
      <c r="C19" t="s">
        <v>213</v>
      </c>
      <c r="F19" s="70"/>
    </row>
    <row r="20" spans="3:10">
      <c r="C20" t="s">
        <v>214</v>
      </c>
      <c r="F20" s="70"/>
    </row>
    <row r="21" spans="3:10">
      <c r="C21" t="s">
        <v>215</v>
      </c>
      <c r="F21" s="70"/>
    </row>
    <row r="22" spans="3:10">
      <c r="F22" s="235">
        <f>SUM(F19:F21)</f>
        <v>0</v>
      </c>
    </row>
    <row r="23" spans="3:10">
      <c r="F23" s="70"/>
    </row>
    <row r="24" spans="3:10">
      <c r="C24" t="s">
        <v>175</v>
      </c>
      <c r="F24" s="70">
        <f>+F16-F22</f>
        <v>0</v>
      </c>
      <c r="H24" s="42" t="s">
        <v>176</v>
      </c>
      <c r="I24" s="97" t="e">
        <f>F24/F16</f>
        <v>#DIV/0!</v>
      </c>
      <c r="J24" s="42" t="s">
        <v>177</v>
      </c>
    </row>
    <row r="25" spans="3:10">
      <c r="F25" s="70"/>
    </row>
    <row r="26" spans="3:10">
      <c r="F26" s="70"/>
    </row>
    <row r="27" spans="3:10">
      <c r="C27" s="42" t="s">
        <v>216</v>
      </c>
      <c r="F27" s="70"/>
    </row>
    <row r="28" spans="3:10" ht="29.1">
      <c r="C28" s="231" t="s">
        <v>181</v>
      </c>
      <c r="D28" s="232"/>
      <c r="E28" s="233" t="s">
        <v>217</v>
      </c>
      <c r="F28" s="233" t="s">
        <v>218</v>
      </c>
      <c r="G28" s="234" t="s">
        <v>184</v>
      </c>
    </row>
    <row r="29" spans="3:10">
      <c r="C29" t="s">
        <v>219</v>
      </c>
      <c r="E29" s="100"/>
      <c r="F29" s="100"/>
      <c r="G29" s="91">
        <f t="shared" ref="G29:G32" si="0">+E29-F29</f>
        <v>0</v>
      </c>
    </row>
    <row r="30" spans="3:10">
      <c r="C30" t="s">
        <v>220</v>
      </c>
      <c r="E30" s="100"/>
      <c r="F30" s="100"/>
      <c r="G30" s="91">
        <f t="shared" si="0"/>
        <v>0</v>
      </c>
    </row>
    <row r="31" spans="3:10">
      <c r="C31" t="s">
        <v>221</v>
      </c>
      <c r="E31" s="100"/>
      <c r="F31" s="100"/>
      <c r="G31" s="91">
        <f t="shared" si="0"/>
        <v>0</v>
      </c>
    </row>
    <row r="32" spans="3:10">
      <c r="C32" t="s">
        <v>222</v>
      </c>
      <c r="E32" s="100"/>
      <c r="F32" s="100"/>
      <c r="G32" s="91">
        <f t="shared" si="0"/>
        <v>0</v>
      </c>
    </row>
    <row r="33" spans="5:7" ht="1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2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207</v>
      </c>
      <c r="C5" s="57"/>
      <c r="F5" s="58"/>
      <c r="G5" s="58"/>
      <c r="H5" s="65"/>
      <c r="J5" s="66"/>
    </row>
    <row r="6" spans="1:12" s="107" customFormat="1" ht="18">
      <c r="A6" s="251" t="s">
        <v>223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1"/>
      <c r="H7" s="317"/>
      <c r="I7" s="317"/>
      <c r="J7" s="317"/>
      <c r="K7" s="317"/>
      <c r="L7" s="317"/>
    </row>
    <row r="8" spans="1:12" ht="42.75" customHeight="1" thickBot="1">
      <c r="A8" s="182" t="s">
        <v>102</v>
      </c>
      <c r="B8" s="318" t="s">
        <v>224</v>
      </c>
      <c r="C8" s="319"/>
      <c r="D8" s="320"/>
      <c r="E8" s="183" t="s">
        <v>225</v>
      </c>
      <c r="F8" s="183" t="s">
        <v>226</v>
      </c>
      <c r="G8" s="184" t="s">
        <v>227</v>
      </c>
      <c r="H8" s="185"/>
      <c r="I8" s="185"/>
      <c r="J8" s="185"/>
      <c r="K8" s="186"/>
      <c r="L8" s="186"/>
    </row>
    <row r="9" spans="1:12" ht="15.95" customHeight="1">
      <c r="A9" s="187"/>
      <c r="B9" s="321"/>
      <c r="C9" s="321"/>
      <c r="D9" s="321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22" t="s">
        <v>228</v>
      </c>
      <c r="C10" s="322"/>
      <c r="D10" s="322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14"/>
      <c r="C11" s="315"/>
      <c r="D11" s="316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14"/>
      <c r="C12" s="315"/>
      <c r="D12" s="316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14"/>
      <c r="C13" s="315"/>
      <c r="D13" s="316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23" t="s">
        <v>229</v>
      </c>
      <c r="C14" s="324"/>
      <c r="D14" s="325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26"/>
      <c r="C15" s="327"/>
      <c r="D15" s="328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22" t="s">
        <v>56</v>
      </c>
      <c r="C16" s="322"/>
      <c r="D16" s="322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29"/>
      <c r="C17" s="329"/>
      <c r="D17" s="329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14"/>
      <c r="C18" s="315"/>
      <c r="D18" s="316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34" t="s">
        <v>230</v>
      </c>
      <c r="C19" s="334"/>
      <c r="D19" s="334"/>
      <c r="E19" s="196"/>
      <c r="F19" s="197"/>
      <c r="G19" s="199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26"/>
      <c r="C20" s="327"/>
      <c r="D20" s="328"/>
      <c r="E20" s="188"/>
      <c r="F20" s="189"/>
      <c r="G20" s="200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35" t="s">
        <v>231</v>
      </c>
      <c r="C21" s="336"/>
      <c r="D21" s="337"/>
      <c r="E21" s="196"/>
      <c r="F21" s="197"/>
      <c r="G21" s="199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38"/>
      <c r="C22" s="338"/>
      <c r="D22" s="338"/>
      <c r="E22" s="188"/>
      <c r="F22" s="189"/>
      <c r="G22" s="201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2"/>
      <c r="B23" s="331" t="s">
        <v>232</v>
      </c>
      <c r="C23" s="332"/>
      <c r="D23" s="333"/>
      <c r="E23" s="203"/>
      <c r="F23" s="189"/>
      <c r="G23" s="201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2"/>
      <c r="B24" s="187" t="s">
        <v>233</v>
      </c>
      <c r="C24" s="204"/>
      <c r="D24" s="205"/>
      <c r="E24" s="203"/>
      <c r="F24" s="189"/>
      <c r="G24" s="201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2"/>
      <c r="B25" s="206" t="s">
        <v>234</v>
      </c>
      <c r="C25" s="207"/>
      <c r="D25" s="208" t="e">
        <f>G21/D24</f>
        <v>#DIV/0!</v>
      </c>
      <c r="E25" s="203"/>
      <c r="F25" s="189"/>
      <c r="G25" s="201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39"/>
      <c r="C26" s="339"/>
      <c r="D26" s="339"/>
      <c r="E26" s="188"/>
      <c r="F26" s="189"/>
      <c r="G26" s="201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2"/>
      <c r="B27" s="331" t="s">
        <v>235</v>
      </c>
      <c r="C27" s="332"/>
      <c r="D27" s="333"/>
      <c r="E27" s="203"/>
      <c r="F27" s="189"/>
      <c r="G27" s="201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2"/>
      <c r="B28" s="209" t="s">
        <v>33</v>
      </c>
      <c r="C28" s="193"/>
      <c r="D28" s="210">
        <f>(SUM(G11:G12))/G14</f>
        <v>1</v>
      </c>
      <c r="E28" s="203"/>
      <c r="F28" s="189"/>
      <c r="G28" s="201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2"/>
      <c r="B29" s="211" t="s">
        <v>48</v>
      </c>
      <c r="C29" s="212"/>
      <c r="D29" s="213">
        <f>G13/G14</f>
        <v>0</v>
      </c>
      <c r="E29" s="203"/>
      <c r="F29" s="189"/>
      <c r="G29" s="201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26"/>
      <c r="C30" s="327"/>
      <c r="D30" s="328"/>
      <c r="E30" s="188"/>
      <c r="F30" s="189"/>
      <c r="G30" s="201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26"/>
      <c r="C31" s="327"/>
      <c r="D31" s="328"/>
      <c r="E31" s="188"/>
      <c r="F31" s="189"/>
      <c r="G31" s="201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21"/>
      <c r="C32" s="321"/>
      <c r="D32" s="321"/>
      <c r="E32" s="188"/>
      <c r="F32" s="189"/>
      <c r="G32" s="201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21"/>
      <c r="C33" s="321"/>
      <c r="D33" s="321"/>
      <c r="E33" s="188"/>
      <c r="F33" s="189"/>
      <c r="G33" s="201"/>
      <c r="H33" s="191"/>
      <c r="I33" s="191"/>
      <c r="J33" s="191"/>
      <c r="K33" s="191"/>
      <c r="L33" s="191"/>
    </row>
    <row r="34" spans="1:12">
      <c r="A34" s="187"/>
      <c r="B34" s="321"/>
      <c r="C34" s="321"/>
      <c r="D34" s="321"/>
      <c r="E34" s="188"/>
      <c r="F34" s="189"/>
      <c r="G34" s="201"/>
      <c r="H34" s="191"/>
      <c r="I34" s="191"/>
      <c r="J34" s="191"/>
      <c r="K34" s="191"/>
      <c r="L34" s="191"/>
    </row>
    <row r="35" spans="1:12" ht="15" thickBot="1">
      <c r="A35" s="206"/>
      <c r="B35" s="330"/>
      <c r="C35" s="330"/>
      <c r="D35" s="330"/>
      <c r="E35" s="214"/>
      <c r="F35" s="215"/>
      <c r="G35" s="216"/>
      <c r="H35" s="191"/>
      <c r="I35" s="191"/>
      <c r="J35" s="191"/>
      <c r="K35" s="191"/>
      <c r="L35" s="191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2"/>
  <sheetViews>
    <sheetView workbookViewId="0">
      <selection activeCell="E13" sqref="E13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01" t="str">
        <f>Index!$C$1</f>
        <v>VENN CONSTRUCTIONS PTY LTD SUPERANNUATION FUND</v>
      </c>
      <c r="D1" s="301"/>
      <c r="E1" s="30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01" t="str">
        <f>Index!$C$2</f>
        <v>9VENM</v>
      </c>
      <c r="D2" s="301"/>
      <c r="E2" s="301"/>
      <c r="F2" s="55"/>
      <c r="G2" s="59" t="s">
        <v>6</v>
      </c>
      <c r="H2" s="60" t="str">
        <f>Index!$H$2</f>
        <v>CM</v>
      </c>
      <c r="I2" s="61">
        <f>Index!$I$2</f>
        <v>44985</v>
      </c>
    </row>
    <row r="3" spans="1:12" ht="18">
      <c r="A3" s="122" t="s">
        <v>8</v>
      </c>
      <c r="B3" s="53"/>
      <c r="C3" s="302">
        <f>Index!$C$3</f>
        <v>44742</v>
      </c>
      <c r="D3" s="301"/>
      <c r="E3" s="301"/>
      <c r="F3" s="55"/>
      <c r="G3" s="59" t="s">
        <v>9</v>
      </c>
      <c r="H3" s="60" t="str">
        <f>Index!$H$3</f>
        <v>DB</v>
      </c>
      <c r="I3" s="61">
        <f>Index!$I$3</f>
        <v>44986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236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29.1">
      <c r="A8" s="136" t="s">
        <v>102</v>
      </c>
      <c r="B8" s="303" t="s">
        <v>103</v>
      </c>
      <c r="C8" s="304"/>
      <c r="D8" s="305"/>
      <c r="E8" s="137" t="s">
        <v>104</v>
      </c>
      <c r="F8" s="303" t="s">
        <v>161</v>
      </c>
      <c r="G8" s="312"/>
      <c r="H8" s="313"/>
    </row>
    <row r="10" spans="1:12">
      <c r="D10" s="340" t="s">
        <v>143</v>
      </c>
      <c r="E10" s="340"/>
      <c r="F10" s="340"/>
    </row>
    <row r="11" spans="1:12" ht="29.1">
      <c r="D11" s="113" t="s">
        <v>237</v>
      </c>
      <c r="E11" s="180" t="s">
        <v>238</v>
      </c>
      <c r="F11" s="180" t="s">
        <v>84</v>
      </c>
      <c r="H11" t="s">
        <v>239</v>
      </c>
      <c r="J11" s="180" t="s">
        <v>240</v>
      </c>
      <c r="K11" s="180" t="s">
        <v>241</v>
      </c>
      <c r="L11" s="180" t="s">
        <v>242</v>
      </c>
    </row>
    <row r="12" spans="1:12">
      <c r="A12" s="71"/>
      <c r="B12" s="71"/>
      <c r="E12" s="70"/>
    </row>
    <row r="13" spans="1:12">
      <c r="A13" t="s">
        <v>243</v>
      </c>
      <c r="B13" s="71"/>
      <c r="C13" t="s">
        <v>244</v>
      </c>
      <c r="D13" s="230">
        <v>4184.3500000000004</v>
      </c>
      <c r="E13" s="93">
        <f>+H13-D13</f>
        <v>505815.65</v>
      </c>
      <c r="F13" s="93">
        <f>+D13+E13</f>
        <v>510000</v>
      </c>
      <c r="G13" s="93"/>
      <c r="H13" s="93">
        <f>SUM(J13:K13)/2</f>
        <v>510000</v>
      </c>
      <c r="I13" s="93"/>
      <c r="J13" s="230">
        <v>510000</v>
      </c>
      <c r="K13" s="230">
        <v>510000</v>
      </c>
      <c r="L13" s="271">
        <v>44782</v>
      </c>
    </row>
    <row r="15" spans="1:12" ht="15" thickBot="1">
      <c r="D15" s="112">
        <f>SUM(D13:D14)</f>
        <v>4184.3500000000004</v>
      </c>
      <c r="E15" s="112">
        <f>SUM(E13:E14)</f>
        <v>505815.65</v>
      </c>
      <c r="F15" s="112">
        <f>SUM(F13:F14)</f>
        <v>510000</v>
      </c>
      <c r="H15" s="112">
        <f>SUM(H13:H14)</f>
        <v>510000</v>
      </c>
    </row>
    <row r="16" spans="1:12">
      <c r="E16" s="70"/>
    </row>
    <row r="17" spans="1:5">
      <c r="A17" s="71"/>
      <c r="B17" s="71"/>
      <c r="C17" s="71"/>
      <c r="E17" s="70"/>
    </row>
    <row r="18" spans="1:5">
      <c r="A18" s="77"/>
      <c r="B18" s="77"/>
      <c r="C18" s="71"/>
      <c r="E18" s="70"/>
    </row>
    <row r="19" spans="1:5"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70"/>
    </row>
    <row r="25" spans="1:5">
      <c r="E25" s="80"/>
    </row>
    <row r="26" spans="1:5">
      <c r="E26" s="79"/>
    </row>
    <row r="27" spans="1:5">
      <c r="E27" s="70"/>
    </row>
    <row r="32" spans="1:5">
      <c r="C32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2023-03-01T07:10:38Z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