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Hartman Reynold Hartman partnership\2021\"/>
    </mc:Choice>
  </mc:AlternateContent>
  <xr:revisionPtr revIDLastSave="0" documentId="8_{7ED3FAD2-6CB3-48C6-BBD8-A8CFED481EC2}" xr6:coauthVersionLast="47" xr6:coauthVersionMax="47" xr10:uidLastSave="{00000000-0000-0000-0000-000000000000}"/>
  <bookViews>
    <workbookView xWindow="28680" yWindow="-120" windowWidth="29040" windowHeight="15840" xr2:uid="{49068F26-0ECA-42F9-A0C7-1E969D04FF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5" i="1"/>
  <c r="D43" i="1"/>
  <c r="D42" i="1"/>
  <c r="G42" i="1" s="1"/>
  <c r="G43" i="1"/>
  <c r="R48" i="1"/>
  <c r="Q48" i="1"/>
  <c r="P48" i="1"/>
  <c r="P46" i="1"/>
  <c r="E45" i="1"/>
  <c r="F46" i="1" s="1"/>
  <c r="E44" i="1"/>
  <c r="F43" i="1"/>
  <c r="F42" i="1"/>
  <c r="I45" i="1"/>
  <c r="I44" i="1"/>
  <c r="M43" i="1"/>
  <c r="M42" i="1"/>
  <c r="L48" i="1"/>
  <c r="G47" i="1"/>
  <c r="C48" i="1"/>
  <c r="C46" i="1"/>
  <c r="J33" i="1"/>
  <c r="E20" i="1"/>
  <c r="E22" i="1"/>
  <c r="D20" i="1"/>
  <c r="D22" i="1"/>
  <c r="D27" i="1" s="1"/>
  <c r="I27" i="1"/>
  <c r="G27" i="1"/>
  <c r="F27" i="1"/>
  <c r="C27" i="1"/>
  <c r="B27" i="1"/>
  <c r="H18" i="1"/>
  <c r="C20" i="1"/>
  <c r="C22" i="1"/>
  <c r="B20" i="1"/>
  <c r="B22" i="1"/>
  <c r="H19" i="1"/>
  <c r="R33" i="1"/>
  <c r="S33" i="1" s="1"/>
  <c r="U38" i="1" s="1"/>
  <c r="S25" i="1"/>
  <c r="P23" i="1"/>
  <c r="O23" i="1"/>
  <c r="N23" i="1"/>
  <c r="M23" i="1"/>
  <c r="S23" i="1" s="1"/>
  <c r="P22" i="1"/>
  <c r="O22" i="1"/>
  <c r="N22" i="1"/>
  <c r="M22" i="1"/>
  <c r="P21" i="1"/>
  <c r="O21" i="1"/>
  <c r="N21" i="1"/>
  <c r="M21" i="1"/>
  <c r="M27" i="1" s="1"/>
  <c r="T20" i="1"/>
  <c r="T27" i="1" s="1"/>
  <c r="R20" i="1"/>
  <c r="R27" i="1" s="1"/>
  <c r="O20" i="1"/>
  <c r="M20" i="1"/>
  <c r="P16" i="1"/>
  <c r="O16" i="1"/>
  <c r="N16" i="1"/>
  <c r="M16" i="1"/>
  <c r="S14" i="1"/>
  <c r="T12" i="1"/>
  <c r="R12" i="1"/>
  <c r="T11" i="1"/>
  <c r="R11" i="1"/>
  <c r="S11" i="1" s="1"/>
  <c r="G46" i="1" l="1"/>
  <c r="G48" i="1" s="1"/>
  <c r="F48" i="1"/>
  <c r="H45" i="1"/>
  <c r="J46" i="1"/>
  <c r="M46" i="1" s="1"/>
  <c r="M48" i="1" s="1"/>
  <c r="D48" i="1"/>
  <c r="E27" i="1"/>
  <c r="R16" i="1"/>
  <c r="R30" i="1" s="1"/>
  <c r="R36" i="1" s="1"/>
  <c r="O27" i="1"/>
  <c r="O30" i="1" s="1"/>
  <c r="O36" i="1" s="1"/>
  <c r="T16" i="1"/>
  <c r="S22" i="1"/>
  <c r="P27" i="1"/>
  <c r="P30" i="1" s="1"/>
  <c r="P36" i="1" s="1"/>
  <c r="S20" i="1"/>
  <c r="M30" i="1"/>
  <c r="M36" i="1" s="1"/>
  <c r="N27" i="1"/>
  <c r="N30" i="1" s="1"/>
  <c r="N36" i="1" s="1"/>
  <c r="S12" i="1"/>
  <c r="S16" i="1" s="1"/>
  <c r="S21" i="1"/>
  <c r="J48" i="1" l="1"/>
  <c r="S27" i="1"/>
  <c r="S30" i="1"/>
  <c r="S36" i="1" s="1"/>
  <c r="S38" i="1" l="1"/>
  <c r="U30" i="1"/>
  <c r="U36" i="1" s="1"/>
  <c r="H33" i="1"/>
  <c r="J38" i="1" s="1"/>
  <c r="H12" i="1"/>
  <c r="H11" i="1"/>
  <c r="H14" i="1"/>
  <c r="H25" i="1"/>
  <c r="C16" i="1"/>
  <c r="D16" i="1"/>
  <c r="E16" i="1"/>
  <c r="G16" i="1"/>
  <c r="B16" i="1"/>
  <c r="K33" i="1" l="1"/>
  <c r="H23" i="1"/>
  <c r="G30" i="1"/>
  <c r="G36" i="1" s="1"/>
  <c r="B30" i="1"/>
  <c r="B36" i="1" s="1"/>
  <c r="H20" i="1"/>
  <c r="H22" i="1"/>
  <c r="E30" i="1"/>
  <c r="E36" i="1" s="1"/>
  <c r="H21" i="1"/>
  <c r="H16" i="1"/>
  <c r="C30" i="1"/>
  <c r="C36" i="1" s="1"/>
  <c r="D30" i="1"/>
  <c r="D36" i="1" s="1"/>
  <c r="H27" i="1" l="1"/>
  <c r="H30" i="1" s="1"/>
  <c r="H36" i="1" l="1"/>
  <c r="J30" i="1"/>
  <c r="J36" i="1" s="1"/>
  <c r="H38" i="1"/>
  <c r="K36" i="1" l="1"/>
</calcChain>
</file>

<file path=xl/sharedStrings.xml><?xml version="1.0" encoding="utf-8"?>
<sst xmlns="http://schemas.openxmlformats.org/spreadsheetml/2006/main" count="65" uniqueCount="41">
  <si>
    <t>Unit 1</t>
  </si>
  <si>
    <t>Unit 7</t>
  </si>
  <si>
    <t>TOTAL</t>
  </si>
  <si>
    <t>INCOME</t>
  </si>
  <si>
    <t>EXPENSES</t>
  </si>
  <si>
    <t>Other</t>
  </si>
  <si>
    <t xml:space="preserve">Rent </t>
  </si>
  <si>
    <t>Prop Agent</t>
  </si>
  <si>
    <t>Council Rates</t>
  </si>
  <si>
    <t>Strata Levy</t>
  </si>
  <si>
    <t>Water Charges</t>
  </si>
  <si>
    <t>Unit 8</t>
  </si>
  <si>
    <t>Sub Total</t>
  </si>
  <si>
    <t>Net</t>
  </si>
  <si>
    <t>Paid to Lessor</t>
  </si>
  <si>
    <t>Debtor</t>
  </si>
  <si>
    <t>GST</t>
  </si>
  <si>
    <t>Unit 2,3,4</t>
  </si>
  <si>
    <t>Net received</t>
  </si>
  <si>
    <t>PROOF</t>
  </si>
  <si>
    <t>Ayes</t>
  </si>
  <si>
    <t>RENTAL CONSOLIDATION</t>
  </si>
  <si>
    <t>Ayerts Real Estate</t>
  </si>
  <si>
    <t>2020 figures</t>
  </si>
  <si>
    <t>Land Tax</t>
  </si>
  <si>
    <t>Year ended 30 June 2021</t>
  </si>
  <si>
    <t>GST received</t>
  </si>
  <si>
    <t>GST paid</t>
  </si>
  <si>
    <t>Interest</t>
  </si>
  <si>
    <t>Open Bal</t>
  </si>
  <si>
    <t>Closing  Bal</t>
  </si>
  <si>
    <t>Rob</t>
  </si>
  <si>
    <t>Rodney</t>
  </si>
  <si>
    <t>Don</t>
  </si>
  <si>
    <t>Don SMSF</t>
  </si>
  <si>
    <t>Adj</t>
  </si>
  <si>
    <t>valuation/adj</t>
  </si>
  <si>
    <t>Journal 5</t>
  </si>
  <si>
    <t>want</t>
  </si>
  <si>
    <t>After rounding BAS</t>
  </si>
  <si>
    <t>Profit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</si>
</sst>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1" xfId="1" applyFont="1" applyBorder="1"/>
    <xf numFmtId="43" fontId="3" fillId="0" borderId="0" xfId="1" applyFont="1"/>
    <xf numFmtId="43" fontId="4" fillId="0" borderId="0" xfId="1" applyFont="1"/>
    <xf numFmtId="43" fontId="4" fillId="2" borderId="0" xfId="1" applyFont="1" applyFill="1"/>
    <xf numFmtId="43" fontId="3" fillId="0" borderId="1" xfId="1" applyFont="1" applyBorder="1"/>
    <xf numFmtId="43" fontId="3" fillId="3" borderId="0" xfId="1" applyFont="1" applyFill="1"/>
    <xf numFmtId="43" fontId="5" fillId="0" borderId="0" xfId="1" applyFont="1"/>
    <xf numFmtId="43" fontId="6" fillId="0" borderId="0" xfId="1" applyFont="1"/>
    <xf numFmtId="43" fontId="0" fillId="0" borderId="0" xfId="1" applyFont="1" applyFill="1"/>
    <xf numFmtId="43" fontId="3" fillId="2" borderId="0" xfId="1" applyFont="1" applyFill="1"/>
    <xf numFmtId="43" fontId="3" fillId="0" borderId="0" xfId="1" applyFont="1" applyFill="1"/>
    <xf numFmtId="43" fontId="0" fillId="0" borderId="2" xfId="1" applyFont="1" applyBorder="1"/>
    <xf numFmtId="43" fontId="5" fillId="0" borderId="2" xfId="1" applyFont="1" applyBorder="1"/>
    <xf numFmtId="43" fontId="7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3B44-92B3-4967-9D94-6F60C016901E}">
  <sheetPr>
    <pageSetUpPr fitToPage="1"/>
  </sheetPr>
  <dimension ref="A1:W56"/>
  <sheetViews>
    <sheetView tabSelected="1" workbookViewId="0">
      <selection activeCell="D41" sqref="D41"/>
    </sheetView>
  </sheetViews>
  <sheetFormatPr defaultRowHeight="15" x14ac:dyDescent="0.25"/>
  <cols>
    <col min="1" max="1" width="16.42578125" style="1" customWidth="1"/>
    <col min="2" max="2" width="11.5703125" style="1" bestFit="1" customWidth="1"/>
    <col min="3" max="3" width="15.7109375" style="1" customWidth="1"/>
    <col min="4" max="4" width="13.140625" style="1" customWidth="1"/>
    <col min="5" max="5" width="13.28515625" style="1" bestFit="1" customWidth="1"/>
    <col min="6" max="6" width="16.140625" style="1" customWidth="1"/>
    <col min="7" max="7" width="14.140625" style="4" customWidth="1"/>
    <col min="8" max="8" width="15.85546875" style="1" customWidth="1"/>
    <col min="9" max="9" width="10.85546875" style="1" customWidth="1"/>
    <col min="10" max="10" width="12.5703125" style="1" customWidth="1"/>
    <col min="11" max="11" width="11.5703125" style="1" bestFit="1" customWidth="1"/>
    <col min="12" max="12" width="15.140625" style="9" customWidth="1"/>
    <col min="13" max="13" width="17" style="9" customWidth="1"/>
    <col min="14" max="14" width="12.28515625" style="9" customWidth="1"/>
    <col min="15" max="16" width="12.42578125" style="9" customWidth="1"/>
    <col min="17" max="17" width="11.5703125" style="9" bestFit="1" customWidth="1"/>
    <col min="18" max="18" width="16" style="9" customWidth="1"/>
    <col min="19" max="19" width="12.85546875" style="9" customWidth="1"/>
    <col min="20" max="20" width="12.140625" style="9" customWidth="1"/>
    <col min="21" max="21" width="13" style="9" customWidth="1"/>
    <col min="22" max="23" width="9.140625" style="9"/>
    <col min="24" max="16384" width="9.140625" style="1"/>
  </cols>
  <sheetData>
    <row r="1" spans="1:21" x14ac:dyDescent="0.25">
      <c r="B1" s="2" t="s">
        <v>22</v>
      </c>
    </row>
    <row r="3" spans="1:21" x14ac:dyDescent="0.25">
      <c r="B3" s="2" t="s">
        <v>25</v>
      </c>
    </row>
    <row r="5" spans="1:21" x14ac:dyDescent="0.25">
      <c r="B5" s="2" t="s">
        <v>21</v>
      </c>
      <c r="L5" s="4" t="s">
        <v>23</v>
      </c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B8" s="1" t="s">
        <v>0</v>
      </c>
      <c r="C8" s="1" t="s">
        <v>17</v>
      </c>
      <c r="D8" s="1" t="s">
        <v>1</v>
      </c>
      <c r="E8" s="1" t="s">
        <v>11</v>
      </c>
      <c r="G8" s="4" t="s">
        <v>20</v>
      </c>
      <c r="H8" s="1" t="s">
        <v>2</v>
      </c>
      <c r="I8" s="1" t="s">
        <v>16</v>
      </c>
      <c r="J8" s="1" t="s">
        <v>18</v>
      </c>
      <c r="L8" s="4"/>
      <c r="M8" s="4" t="s">
        <v>0</v>
      </c>
      <c r="N8" s="4" t="s">
        <v>17</v>
      </c>
      <c r="O8" s="4" t="s">
        <v>1</v>
      </c>
      <c r="P8" s="4" t="s">
        <v>11</v>
      </c>
      <c r="Q8" s="4"/>
      <c r="R8" s="4" t="s">
        <v>20</v>
      </c>
      <c r="S8" s="4" t="s">
        <v>2</v>
      </c>
      <c r="T8" s="4" t="s">
        <v>16</v>
      </c>
      <c r="U8" s="4" t="s">
        <v>18</v>
      </c>
    </row>
    <row r="9" spans="1:21" x14ac:dyDescent="0.25">
      <c r="A9" s="1" t="s">
        <v>3</v>
      </c>
      <c r="L9" s="4" t="s">
        <v>3</v>
      </c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1" t="s">
        <v>6</v>
      </c>
      <c r="B11" s="1">
        <v>26393.88</v>
      </c>
      <c r="C11" s="1">
        <v>84604.13</v>
      </c>
      <c r="D11" s="1">
        <v>36841.019999999997</v>
      </c>
      <c r="E11" s="1">
        <v>32902.080000000002</v>
      </c>
      <c r="H11" s="1">
        <f>SUM(B11:G11)</f>
        <v>180741.11</v>
      </c>
      <c r="L11" s="4" t="s">
        <v>6</v>
      </c>
      <c r="M11" s="4">
        <v>23272.720000000001</v>
      </c>
      <c r="N11" s="4">
        <v>83733.429999999993</v>
      </c>
      <c r="O11" s="4">
        <v>38905.019999999997</v>
      </c>
      <c r="P11" s="4">
        <v>35928.74</v>
      </c>
      <c r="Q11" s="4"/>
      <c r="R11" s="4">
        <f>6920.12+692.01</f>
        <v>7612.13</v>
      </c>
      <c r="S11" s="4">
        <f>SUM(M11:R11)</f>
        <v>189452.03999999998</v>
      </c>
      <c r="T11" s="4">
        <f>2115.65+7612.11+3536.82+3266.24+692.01</f>
        <v>17222.829999999998</v>
      </c>
      <c r="U11" s="4"/>
    </row>
    <row r="12" spans="1:21" x14ac:dyDescent="0.25">
      <c r="A12" s="1" t="s">
        <v>5</v>
      </c>
      <c r="B12" s="1">
        <v>9760.32</v>
      </c>
      <c r="C12" s="1">
        <v>26887.61</v>
      </c>
      <c r="D12" s="1">
        <v>10073.41</v>
      </c>
      <c r="E12" s="1">
        <v>9840.89</v>
      </c>
      <c r="H12" s="1">
        <f>SUM(B12:G12)</f>
        <v>56562.229999999996</v>
      </c>
      <c r="L12" s="4" t="s">
        <v>5</v>
      </c>
      <c r="M12" s="4">
        <v>7378.01</v>
      </c>
      <c r="N12" s="4">
        <v>23316.57</v>
      </c>
      <c r="O12" s="4">
        <v>7779.46</v>
      </c>
      <c r="P12" s="4">
        <v>7957.84</v>
      </c>
      <c r="Q12" s="4"/>
      <c r="R12" s="4">
        <f>1148.33+114.82</f>
        <v>1263.1499999999999</v>
      </c>
      <c r="S12" s="4">
        <f>SUM(M12:R12)</f>
        <v>47695.030000000006</v>
      </c>
      <c r="T12" s="4">
        <f>670.74+2119.73+707.24+723.46+114.82</f>
        <v>4335.99</v>
      </c>
      <c r="U12" s="4"/>
    </row>
    <row r="13" spans="1:21" x14ac:dyDescent="0.25"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1" t="s">
        <v>26</v>
      </c>
      <c r="B14" s="1">
        <v>3615.51</v>
      </c>
      <c r="C14" s="1">
        <v>11149.24</v>
      </c>
      <c r="D14" s="1">
        <v>4641.2</v>
      </c>
      <c r="E14" s="1">
        <v>4274.33</v>
      </c>
      <c r="H14" s="1">
        <f>SUM(B14:G14)</f>
        <v>23680.28</v>
      </c>
      <c r="L14" s="4"/>
      <c r="M14" s="4"/>
      <c r="N14" s="4"/>
      <c r="O14" s="4"/>
      <c r="P14" s="4"/>
      <c r="Q14" s="4"/>
      <c r="R14" s="4"/>
      <c r="S14" s="4">
        <f>SUM(M14:R14)</f>
        <v>0</v>
      </c>
      <c r="T14" s="4"/>
      <c r="U14" s="4"/>
    </row>
    <row r="15" spans="1:21" x14ac:dyDescent="0.25"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1" t="s">
        <v>12</v>
      </c>
      <c r="B16" s="3">
        <f>SUM(B11:B15)</f>
        <v>39769.71</v>
      </c>
      <c r="C16" s="3">
        <f t="shared" ref="C16:H16" si="0">SUM(C11:C15)</f>
        <v>122640.98000000001</v>
      </c>
      <c r="D16" s="3">
        <f t="shared" si="0"/>
        <v>51555.62999999999</v>
      </c>
      <c r="E16" s="3">
        <f t="shared" si="0"/>
        <v>47017.3</v>
      </c>
      <c r="F16" s="3"/>
      <c r="G16" s="7">
        <f t="shared" si="0"/>
        <v>0</v>
      </c>
      <c r="H16" s="3">
        <f t="shared" si="0"/>
        <v>260983.61999999997</v>
      </c>
      <c r="I16" s="3"/>
      <c r="L16" s="4" t="s">
        <v>12</v>
      </c>
      <c r="M16" s="7">
        <f>SUM(M11:M15)</f>
        <v>30650.730000000003</v>
      </c>
      <c r="N16" s="7">
        <f t="shared" ref="N16:T16" si="1">SUM(N11:N15)</f>
        <v>107050</v>
      </c>
      <c r="O16" s="7">
        <f t="shared" si="1"/>
        <v>46684.479999999996</v>
      </c>
      <c r="P16" s="7">
        <f t="shared" si="1"/>
        <v>43886.58</v>
      </c>
      <c r="Q16" s="7"/>
      <c r="R16" s="7">
        <f t="shared" si="1"/>
        <v>8875.2800000000007</v>
      </c>
      <c r="S16" s="7">
        <f t="shared" si="1"/>
        <v>237147.06999999998</v>
      </c>
      <c r="T16" s="7">
        <f t="shared" si="1"/>
        <v>21558.82</v>
      </c>
      <c r="U16" s="4"/>
    </row>
    <row r="17" spans="1:21" x14ac:dyDescent="0.25">
      <c r="A17" s="1" t="s">
        <v>4</v>
      </c>
      <c r="L17" s="4" t="s">
        <v>4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" t="s">
        <v>28</v>
      </c>
      <c r="D18" s="1">
        <v>5.17</v>
      </c>
      <c r="H18" s="1">
        <f t="shared" ref="H18:H23" si="2">SUM(B18:G18)</f>
        <v>5.17</v>
      </c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1" t="s">
        <v>24</v>
      </c>
      <c r="B19" s="1">
        <v>345.99</v>
      </c>
      <c r="C19" s="1">
        <v>336.75</v>
      </c>
      <c r="D19" s="1">
        <v>345.99</v>
      </c>
      <c r="E19" s="1">
        <v>345.98</v>
      </c>
      <c r="H19" s="1">
        <f t="shared" si="2"/>
        <v>1374.71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1" t="s">
        <v>7</v>
      </c>
      <c r="B20" s="11">
        <f>2523.84+480</f>
        <v>3003.84</v>
      </c>
      <c r="C20" s="11">
        <f>6133.79+150</f>
        <v>6283.79</v>
      </c>
      <c r="D20" s="11">
        <f>3088.8+80</f>
        <v>3168.8</v>
      </c>
      <c r="E20" s="1">
        <f>2886.6+400+80</f>
        <v>3366.6</v>
      </c>
      <c r="H20" s="1">
        <f t="shared" si="2"/>
        <v>15823.03</v>
      </c>
      <c r="L20" s="4" t="s">
        <v>7</v>
      </c>
      <c r="M20" s="13">
        <f>80+8</f>
        <v>88</v>
      </c>
      <c r="N20" s="13"/>
      <c r="O20" s="13">
        <f>80+80+16</f>
        <v>176</v>
      </c>
      <c r="P20" s="4"/>
      <c r="Q20" s="4"/>
      <c r="R20" s="4">
        <f>501.71+50.17</f>
        <v>551.88</v>
      </c>
      <c r="S20" s="4">
        <f t="shared" ref="S20:S23" si="3">SUM(M20:R20)</f>
        <v>815.88</v>
      </c>
      <c r="T20" s="4">
        <f>8+16+50.17</f>
        <v>74.17</v>
      </c>
      <c r="U20" s="4"/>
    </row>
    <row r="21" spans="1:21" x14ac:dyDescent="0.25">
      <c r="A21" s="1" t="s">
        <v>8</v>
      </c>
      <c r="B21" s="1">
        <v>2530.67</v>
      </c>
      <c r="C21" s="1">
        <v>8236.26</v>
      </c>
      <c r="D21" s="1">
        <v>2678.79</v>
      </c>
      <c r="E21" s="1">
        <v>2904.73</v>
      </c>
      <c r="H21" s="1">
        <f t="shared" si="2"/>
        <v>16350.45</v>
      </c>
      <c r="L21" s="4" t="s">
        <v>8</v>
      </c>
      <c r="M21" s="4">
        <f>785+785+783+787.11</f>
        <v>3140.11</v>
      </c>
      <c r="N21" s="4">
        <f>868+868+791+868+791+868+791+868+868+789.12+866.33+866.33</f>
        <v>10102.780000000001</v>
      </c>
      <c r="O21" s="4">
        <f>824+824+824+822.2</f>
        <v>3294.2</v>
      </c>
      <c r="P21" s="4">
        <f>884+884+884+884.36</f>
        <v>3536.36</v>
      </c>
      <c r="Q21" s="4"/>
      <c r="R21" s="4"/>
      <c r="S21" s="4">
        <f t="shared" si="3"/>
        <v>20073.45</v>
      </c>
      <c r="T21" s="4"/>
      <c r="U21" s="4"/>
    </row>
    <row r="22" spans="1:21" x14ac:dyDescent="0.25">
      <c r="A22" s="1" t="s">
        <v>9</v>
      </c>
      <c r="B22" s="1">
        <f>93.75+2718.75+187.5</f>
        <v>3000</v>
      </c>
      <c r="C22" s="1">
        <f>9187.5+562.5</f>
        <v>9750</v>
      </c>
      <c r="D22" s="1">
        <f>2718.75+281.25</f>
        <v>3000</v>
      </c>
      <c r="E22" s="1">
        <f>2718.75+281.25</f>
        <v>3000</v>
      </c>
      <c r="H22" s="1">
        <f t="shared" si="2"/>
        <v>18750</v>
      </c>
      <c r="L22" s="4" t="s">
        <v>9</v>
      </c>
      <c r="M22" s="4">
        <f>750+750+750</f>
        <v>2250</v>
      </c>
      <c r="N22" s="4">
        <f>750+750+750+750+750+750+750+750+750+750+750</f>
        <v>8250</v>
      </c>
      <c r="O22" s="4">
        <f>750+750+750+750</f>
        <v>3000</v>
      </c>
      <c r="P22" s="4">
        <f>750+750+750+750</f>
        <v>3000</v>
      </c>
      <c r="Q22" s="4"/>
      <c r="R22" s="4"/>
      <c r="S22" s="4">
        <f t="shared" si="3"/>
        <v>16500</v>
      </c>
      <c r="T22" s="4"/>
      <c r="U22" s="4"/>
    </row>
    <row r="23" spans="1:21" x14ac:dyDescent="0.25">
      <c r="A23" s="1" t="s">
        <v>10</v>
      </c>
      <c r="B23" s="1">
        <v>1104.02</v>
      </c>
      <c r="C23" s="1">
        <v>3312.06</v>
      </c>
      <c r="D23" s="1">
        <v>1319.56</v>
      </c>
      <c r="E23" s="1">
        <v>1319.56</v>
      </c>
      <c r="H23" s="1">
        <f t="shared" si="2"/>
        <v>7055.1999999999989</v>
      </c>
      <c r="L23" s="4" t="s">
        <v>10</v>
      </c>
      <c r="M23" s="4">
        <f>219.07+215.54+215.54+212.01+215.54</f>
        <v>1077.7</v>
      </c>
      <c r="N23" s="4">
        <f>219.07+219.07+219.07+215.54+215.54+215.54+215.54+215.54+215.64+212.01+212.01+212.01+215.54+215.54+215.54</f>
        <v>3233.2</v>
      </c>
      <c r="O23" s="4">
        <f>210.86+219.07+215.54+215.54+212.01+215.54</f>
        <v>1288.56</v>
      </c>
      <c r="P23" s="4">
        <f>210.86+219.07+215.54+215.54+212.97+215.54</f>
        <v>1289.52</v>
      </c>
      <c r="Q23" s="4"/>
      <c r="R23" s="4">
        <v>646.62</v>
      </c>
      <c r="S23" s="4">
        <f t="shared" si="3"/>
        <v>7535.5999999999995</v>
      </c>
      <c r="T23" s="4"/>
      <c r="U23" s="4"/>
    </row>
    <row r="24" spans="1:21" x14ac:dyDescent="0.25"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1" t="s">
        <v>27</v>
      </c>
      <c r="B25" s="1">
        <v>300.44</v>
      </c>
      <c r="C25" s="1">
        <v>628.39</v>
      </c>
      <c r="D25" s="1">
        <v>316.88</v>
      </c>
      <c r="E25" s="1">
        <v>336.68</v>
      </c>
      <c r="H25" s="1">
        <f>SUM(B25:G25)</f>
        <v>1582.39</v>
      </c>
      <c r="L25" s="4"/>
      <c r="M25" s="4"/>
      <c r="N25" s="4"/>
      <c r="O25" s="4"/>
      <c r="P25" s="4"/>
      <c r="Q25" s="4"/>
      <c r="R25" s="4"/>
      <c r="S25" s="4">
        <f>SUM(M25:R25)</f>
        <v>0</v>
      </c>
      <c r="T25" s="4"/>
      <c r="U25" s="4"/>
    </row>
    <row r="26" spans="1:21" x14ac:dyDescent="0.25"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1" t="s">
        <v>12</v>
      </c>
      <c r="B27" s="3">
        <f t="shared" ref="B27:G27" si="4">SUM(B18:B26)</f>
        <v>10284.960000000001</v>
      </c>
      <c r="C27" s="3">
        <f t="shared" si="4"/>
        <v>28547.25</v>
      </c>
      <c r="D27" s="3">
        <f t="shared" si="4"/>
        <v>10835.189999999999</v>
      </c>
      <c r="E27" s="3">
        <f t="shared" si="4"/>
        <v>11273.55</v>
      </c>
      <c r="F27" s="3">
        <f t="shared" si="4"/>
        <v>0</v>
      </c>
      <c r="G27" s="3">
        <f t="shared" si="4"/>
        <v>0</v>
      </c>
      <c r="H27" s="3">
        <f>SUM(H18:H26)</f>
        <v>60940.95</v>
      </c>
      <c r="I27" s="3">
        <f t="shared" ref="I27" si="5">SUM(I18:I26)</f>
        <v>0</v>
      </c>
      <c r="L27" s="4" t="s">
        <v>12</v>
      </c>
      <c r="M27" s="7">
        <f>SUM(M20:M26)</f>
        <v>6555.81</v>
      </c>
      <c r="N27" s="7">
        <f t="shared" ref="N27:T27" si="6">SUM(N20:N26)</f>
        <v>21585.98</v>
      </c>
      <c r="O27" s="7">
        <f t="shared" si="6"/>
        <v>7758.76</v>
      </c>
      <c r="P27" s="7">
        <f t="shared" si="6"/>
        <v>7825.880000000001</v>
      </c>
      <c r="Q27" s="7"/>
      <c r="R27" s="7">
        <f t="shared" si="6"/>
        <v>1198.5</v>
      </c>
      <c r="S27" s="7">
        <f t="shared" si="6"/>
        <v>44924.93</v>
      </c>
      <c r="T27" s="7">
        <f t="shared" si="6"/>
        <v>74.17</v>
      </c>
      <c r="U27" s="4"/>
    </row>
    <row r="28" spans="1:21" x14ac:dyDescent="0.25"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1" t="s">
        <v>13</v>
      </c>
      <c r="B30" s="1">
        <f>B16-B27</f>
        <v>29484.75</v>
      </c>
      <c r="C30" s="1">
        <f t="shared" ref="C30:H30" si="7">C16-C27</f>
        <v>94093.73000000001</v>
      </c>
      <c r="D30" s="1">
        <f t="shared" si="7"/>
        <v>40720.439999999988</v>
      </c>
      <c r="E30" s="1">
        <f t="shared" si="7"/>
        <v>35743.75</v>
      </c>
      <c r="G30" s="4">
        <f t="shared" si="7"/>
        <v>0</v>
      </c>
      <c r="H30" s="1">
        <f t="shared" si="7"/>
        <v>200042.66999999998</v>
      </c>
      <c r="J30" s="1">
        <f>H30</f>
        <v>200042.66999999998</v>
      </c>
      <c r="L30" s="4" t="s">
        <v>13</v>
      </c>
      <c r="M30" s="4">
        <f>M16-M27</f>
        <v>24094.920000000002</v>
      </c>
      <c r="N30" s="4">
        <f t="shared" ref="N30:S30" si="8">N16-N27</f>
        <v>85464.02</v>
      </c>
      <c r="O30" s="4">
        <f t="shared" si="8"/>
        <v>38925.719999999994</v>
      </c>
      <c r="P30" s="4">
        <f t="shared" si="8"/>
        <v>36060.699999999997</v>
      </c>
      <c r="Q30" s="4"/>
      <c r="R30" s="4">
        <f t="shared" si="8"/>
        <v>7676.7800000000007</v>
      </c>
      <c r="S30" s="4">
        <f t="shared" si="8"/>
        <v>192222.13999999998</v>
      </c>
      <c r="T30" s="4"/>
      <c r="U30" s="4">
        <f>S30</f>
        <v>192222.13999999998</v>
      </c>
    </row>
    <row r="31" spans="1:21" x14ac:dyDescent="0.25"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3" x14ac:dyDescent="0.25">
      <c r="A33" s="1" t="s">
        <v>14</v>
      </c>
      <c r="B33" s="1">
        <v>29484.75</v>
      </c>
      <c r="C33" s="1">
        <v>94158.38</v>
      </c>
      <c r="D33" s="1">
        <v>40217.82</v>
      </c>
      <c r="E33" s="1">
        <v>35743.75</v>
      </c>
      <c r="H33" s="1">
        <f>SUM(B33:G33)</f>
        <v>199604.7</v>
      </c>
      <c r="J33" s="1">
        <f>198818.27+786.43</f>
        <v>199604.69999999998</v>
      </c>
      <c r="K33" s="1">
        <f>H33-J33</f>
        <v>0</v>
      </c>
      <c r="L33" s="4" t="s">
        <v>14</v>
      </c>
      <c r="M33" s="4">
        <v>23373.040000000001</v>
      </c>
      <c r="N33" s="4">
        <v>84798.48</v>
      </c>
      <c r="O33" s="4">
        <v>38925.72</v>
      </c>
      <c r="P33" s="4">
        <v>36060.699999999997</v>
      </c>
      <c r="Q33" s="4"/>
      <c r="R33" s="4">
        <f>8277.77</f>
        <v>8277.77</v>
      </c>
      <c r="S33" s="4">
        <f>SUM(M33:R33)</f>
        <v>191435.71</v>
      </c>
      <c r="T33" s="4"/>
      <c r="U33" s="4">
        <v>191435.71</v>
      </c>
    </row>
    <row r="34" spans="1:23" x14ac:dyDescent="0.25">
      <c r="L34" s="4"/>
      <c r="M34" s="4"/>
      <c r="N34" s="4"/>
      <c r="O34" s="4"/>
      <c r="P34" s="4"/>
      <c r="Q34" s="4"/>
      <c r="R34" s="4">
        <v>2</v>
      </c>
      <c r="S34" s="4"/>
      <c r="T34" s="4"/>
      <c r="U34" s="4"/>
    </row>
    <row r="35" spans="1:23" x14ac:dyDescent="0.25"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3" x14ac:dyDescent="0.25">
      <c r="A36" s="1" t="s">
        <v>15</v>
      </c>
      <c r="B36" s="1">
        <f t="shared" ref="B36:C36" si="9">B30-B33-B35</f>
        <v>0</v>
      </c>
      <c r="C36" s="1">
        <f t="shared" si="9"/>
        <v>-64.649999999994179</v>
      </c>
      <c r="D36" s="1">
        <f>D30-D33-D35</f>
        <v>502.61999999998807</v>
      </c>
      <c r="E36" s="1">
        <f t="shared" ref="E36:J36" si="10">E30-E33-E35</f>
        <v>0</v>
      </c>
      <c r="G36" s="8">
        <f t="shared" si="10"/>
        <v>0</v>
      </c>
      <c r="H36" s="1">
        <f t="shared" si="10"/>
        <v>437.96999999997206</v>
      </c>
      <c r="J36" s="1">
        <f t="shared" si="10"/>
        <v>437.97000000000116</v>
      </c>
      <c r="K36" s="1">
        <f>J36-H36</f>
        <v>2.9103830456733704E-11</v>
      </c>
      <c r="L36" s="4" t="s">
        <v>15</v>
      </c>
      <c r="M36" s="4">
        <f t="shared" ref="M36:N36" si="11">M30-M33-M35</f>
        <v>721.88000000000102</v>
      </c>
      <c r="N36" s="4">
        <f t="shared" si="11"/>
        <v>665.54000000000815</v>
      </c>
      <c r="O36" s="4">
        <f>O30-O33-O35</f>
        <v>-7.2759576141834259E-12</v>
      </c>
      <c r="P36" s="4">
        <f t="shared" ref="P36:U36" si="12">P30-P33-P35</f>
        <v>0</v>
      </c>
      <c r="Q36" s="4"/>
      <c r="R36" s="8">
        <f t="shared" si="12"/>
        <v>-600.98999999999978</v>
      </c>
      <c r="S36" s="4">
        <f t="shared" si="12"/>
        <v>786.42999999999302</v>
      </c>
      <c r="T36" s="4"/>
      <c r="U36" s="4">
        <f t="shared" si="12"/>
        <v>786.42999999999302</v>
      </c>
    </row>
    <row r="37" spans="1:23" x14ac:dyDescent="0.25"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3" s="5" customFormat="1" ht="12.75" x14ac:dyDescent="0.2">
      <c r="A38" s="5" t="s">
        <v>19</v>
      </c>
      <c r="H38" s="5">
        <f>H30-H33</f>
        <v>437.96999999997206</v>
      </c>
      <c r="J38" s="6">
        <f>J33-H33</f>
        <v>0</v>
      </c>
      <c r="L38" s="4" t="s">
        <v>19</v>
      </c>
      <c r="M38" s="4"/>
      <c r="N38" s="4"/>
      <c r="O38" s="4"/>
      <c r="P38" s="4"/>
      <c r="Q38" s="4"/>
      <c r="R38" s="4"/>
      <c r="S38" s="4">
        <f>S30-S33</f>
        <v>786.42999999999302</v>
      </c>
      <c r="T38" s="4"/>
      <c r="U38" s="12">
        <f>U33-S33</f>
        <v>0</v>
      </c>
      <c r="V38" s="10"/>
      <c r="W38" s="10"/>
    </row>
    <row r="39" spans="1:23" x14ac:dyDescent="0.25"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3" x14ac:dyDescent="0.25">
      <c r="C40" s="1" t="s">
        <v>29</v>
      </c>
      <c r="D40" s="1" t="s">
        <v>40</v>
      </c>
      <c r="F40" s="1" t="s">
        <v>36</v>
      </c>
      <c r="G40" s="1" t="s">
        <v>30</v>
      </c>
      <c r="H40" s="4"/>
      <c r="M40" s="9" t="s">
        <v>37</v>
      </c>
    </row>
    <row r="41" spans="1:23" x14ac:dyDescent="0.25">
      <c r="G41" s="1"/>
      <c r="H41" s="4"/>
      <c r="M41" s="9" t="s">
        <v>35</v>
      </c>
    </row>
    <row r="42" spans="1:23" x14ac:dyDescent="0.25">
      <c r="A42" s="1" t="s">
        <v>31</v>
      </c>
      <c r="C42" s="1">
        <v>260279.96</v>
      </c>
      <c r="D42" s="1">
        <f>67402.91-0.04</f>
        <v>67402.87000000001</v>
      </c>
      <c r="F42" s="1">
        <f>693934.57</f>
        <v>693934.57</v>
      </c>
      <c r="G42" s="1">
        <f>D42+C42</f>
        <v>327682.83</v>
      </c>
      <c r="H42" s="4"/>
      <c r="J42" s="1">
        <v>-38314.85</v>
      </c>
      <c r="L42" s="1">
        <v>-38314.269999999997</v>
      </c>
      <c r="M42" s="9">
        <f>L42-J42</f>
        <v>0.58000000000174623</v>
      </c>
      <c r="P42" s="9">
        <v>655620.24</v>
      </c>
      <c r="R42" s="9">
        <v>0.06</v>
      </c>
    </row>
    <row r="43" spans="1:23" x14ac:dyDescent="0.25">
      <c r="A43" s="1" t="s">
        <v>32</v>
      </c>
      <c r="C43" s="1">
        <v>260279.96</v>
      </c>
      <c r="D43" s="1">
        <f>67402.91-0.04</f>
        <v>67402.87000000001</v>
      </c>
      <c r="F43" s="1">
        <f>693934.57</f>
        <v>693934.57</v>
      </c>
      <c r="G43" s="1">
        <f>D43+C43</f>
        <v>327682.83</v>
      </c>
      <c r="H43" s="4"/>
      <c r="J43" s="1">
        <v>-38313.97</v>
      </c>
      <c r="L43" s="1">
        <v>-38314.269999999997</v>
      </c>
      <c r="M43" s="9">
        <f>L43-J43</f>
        <v>-0.29999999999563443</v>
      </c>
      <c r="P43" s="9">
        <v>655620.62</v>
      </c>
      <c r="R43" s="9">
        <v>-0.32</v>
      </c>
    </row>
    <row r="44" spans="1:23" x14ac:dyDescent="0.25">
      <c r="A44" s="1" t="s">
        <v>33</v>
      </c>
      <c r="B44" s="1">
        <v>78083.990000000005</v>
      </c>
      <c r="D44" s="1">
        <f>20220.86-0.01</f>
        <v>20220.850000000002</v>
      </c>
      <c r="E44" s="1">
        <f>208180.4</f>
        <v>208180.4</v>
      </c>
      <c r="G44" s="1"/>
      <c r="H44" s="4">
        <v>69393.48</v>
      </c>
      <c r="I44" s="1">
        <f>-3619.98+0.06</f>
        <v>-3619.92</v>
      </c>
      <c r="O44" s="9">
        <v>182133.7</v>
      </c>
    </row>
    <row r="45" spans="1:23" x14ac:dyDescent="0.25">
      <c r="A45" s="1" t="s">
        <v>34</v>
      </c>
      <c r="B45" s="1">
        <v>182195.98</v>
      </c>
      <c r="D45" s="1">
        <f>67402.91-20220.87-0.02</f>
        <v>47182.020000000011</v>
      </c>
      <c r="E45" s="1">
        <f>485754.17</f>
        <v>485754.17</v>
      </c>
      <c r="G45" s="1"/>
      <c r="H45" s="4">
        <f>F46-H44</f>
        <v>624541.09</v>
      </c>
      <c r="I45" s="1">
        <f>-34694.01+0.2</f>
        <v>-34693.810000000005</v>
      </c>
      <c r="O45" s="9">
        <v>173486.34</v>
      </c>
    </row>
    <row r="46" spans="1:23" x14ac:dyDescent="0.25">
      <c r="C46" s="1">
        <f>B45+B44</f>
        <v>260279.97000000003</v>
      </c>
      <c r="F46" s="1">
        <f>E45+E44</f>
        <v>693934.57</v>
      </c>
      <c r="G46" s="1">
        <f>D46+C46+D44+D45</f>
        <v>327682.84000000003</v>
      </c>
      <c r="H46" s="4"/>
      <c r="J46" s="1">
        <f>I45+I44</f>
        <v>-38313.730000000003</v>
      </c>
      <c r="L46" s="9">
        <v>-38314.269999999997</v>
      </c>
      <c r="M46" s="9">
        <f>L46-J46</f>
        <v>-0.53999999999359716</v>
      </c>
      <c r="P46" s="9">
        <f>O45+O44</f>
        <v>355620.04000000004</v>
      </c>
      <c r="R46" s="9">
        <v>0.26</v>
      </c>
    </row>
    <row r="47" spans="1:23" x14ac:dyDescent="0.25">
      <c r="G47" s="1">
        <f>D47+C47</f>
        <v>0</v>
      </c>
      <c r="H47" s="4"/>
    </row>
    <row r="48" spans="1:23" ht="15.75" thickBot="1" x14ac:dyDescent="0.3">
      <c r="C48" s="14">
        <f>SUM(C41:C47)</f>
        <v>780839.89</v>
      </c>
      <c r="D48" s="14">
        <f>SUM(D41:D47)</f>
        <v>202208.61000000004</v>
      </c>
      <c r="F48" s="14">
        <f>SUM(F41:F47)</f>
        <v>2081803.71</v>
      </c>
      <c r="G48" s="14">
        <f t="shared" ref="G48" si="13">SUM(G41:G47)</f>
        <v>983048.5</v>
      </c>
      <c r="H48" s="4"/>
      <c r="J48" s="14">
        <f t="shared" ref="J48" si="14">SUM(J41:J47)</f>
        <v>-114942.55000000002</v>
      </c>
      <c r="L48" s="14">
        <f t="shared" ref="L48:M48" si="15">SUM(L41:L47)</f>
        <v>-114942.81</v>
      </c>
      <c r="M48" s="14">
        <f t="shared" si="15"/>
        <v>-0.25999999998748535</v>
      </c>
      <c r="P48" s="15">
        <f>SUM(P42:P47)</f>
        <v>1666860.9</v>
      </c>
      <c r="Q48" s="9">
        <f>P48/3</f>
        <v>555620.29999999993</v>
      </c>
      <c r="R48" s="15">
        <f>SUM(R42:R47)</f>
        <v>0</v>
      </c>
    </row>
    <row r="49" spans="3:19" ht="15.75" thickTop="1" x14ac:dyDescent="0.25">
      <c r="F49" s="1">
        <v>2081803.71</v>
      </c>
      <c r="G49" s="1"/>
      <c r="H49" s="4"/>
    </row>
    <row r="50" spans="3:19" x14ac:dyDescent="0.25">
      <c r="C50" s="16" t="s">
        <v>39</v>
      </c>
      <c r="D50" s="1">
        <v>202208.61</v>
      </c>
      <c r="F50" s="1">
        <v>-0.26</v>
      </c>
    </row>
    <row r="52" spans="3:19" x14ac:dyDescent="0.25">
      <c r="S52" s="9" t="s">
        <v>38</v>
      </c>
    </row>
    <row r="53" spans="3:19" x14ac:dyDescent="0.25">
      <c r="P53" s="9" t="s">
        <v>35</v>
      </c>
      <c r="Q53" s="9">
        <v>0.01</v>
      </c>
      <c r="S53" s="9">
        <v>655620.30000000005</v>
      </c>
    </row>
    <row r="54" spans="3:19" x14ac:dyDescent="0.25">
      <c r="Q54" s="9">
        <v>0.02</v>
      </c>
      <c r="R54" s="9">
        <v>0.26</v>
      </c>
    </row>
    <row r="55" spans="3:19" x14ac:dyDescent="0.25">
      <c r="Q55" s="9">
        <v>0.03</v>
      </c>
      <c r="R55" s="9">
        <v>0.06</v>
      </c>
      <c r="S55" s="9">
        <v>655620.30000000005</v>
      </c>
    </row>
    <row r="56" spans="3:19" x14ac:dyDescent="0.25">
      <c r="Q56" s="9">
        <v>0.04</v>
      </c>
      <c r="R56" s="9">
        <v>-0.32</v>
      </c>
      <c r="S56" s="9">
        <v>655620.30000000005</v>
      </c>
    </row>
  </sheetData>
  <pageMargins left="0.19685039370078741" right="0.19685039370078741" top="0.19685039370078741" bottom="0.19685039370078741" header="0.31496062992125984" footer="3.937007874015748E-2"/>
  <pageSetup paperSize="274" scale="57" orientation="landscape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2022-01-13T07:17:36Z</cp:lastPrinted>
  <dcterms:created xsi:type="dcterms:W3CDTF">2021-03-15T12:56:19Z</dcterms:created>
  <dcterms:modified xsi:type="dcterms:W3CDTF">2022-01-14T04:31:48Z</dcterms:modified>
</cp:coreProperties>
</file>