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RDABDC01\Data\HandiSoft\HSoft\Doc\DocBase\Clients\GRUNDSMS\2022\Year End Workpapers\"/>
    </mc:Choice>
  </mc:AlternateContent>
  <xr:revisionPtr revIDLastSave="0" documentId="13_ncr:1_{FCA2FE64-AF49-44C9-BC91-8CE9EABC8E97}" xr6:coauthVersionLast="47" xr6:coauthVersionMax="47" xr10:uidLastSave="{00000000-0000-0000-0000-000000000000}"/>
  <bookViews>
    <workbookView xWindow="28680" yWindow="-120" windowWidth="29040" windowHeight="15840" tabRatio="803" firstSheet="3" activeTab="36" xr2:uid="{00000000-000D-0000-FFFF-FFFF00000000}"/>
  </bookViews>
  <sheets>
    <sheet name="Index" sheetId="1" r:id="rId1"/>
    <sheet name="Check" sheetId="62" r:id="rId2"/>
    <sheet name="5.after entries" sheetId="30" r:id="rId3"/>
    <sheet name="5.Balance Sheet" sheetId="2" r:id="rId4"/>
    <sheet name="5.P&amp;L" sheetId="3" r:id="rId5"/>
    <sheet name="7.1" sheetId="9" state="hidden" r:id="rId6"/>
    <sheet name="7.2" sheetId="11" state="hidden" r:id="rId7"/>
    <sheet name="7.3" sheetId="13" state="hidden" r:id="rId8"/>
    <sheet name="7.4" sheetId="14" state="hidden" r:id="rId9"/>
    <sheet name="7.5" sheetId="16" state="hidden" r:id="rId10"/>
    <sheet name="7.6" sheetId="15" state="hidden" r:id="rId11"/>
    <sheet name="7.7" sheetId="25" state="hidden" r:id="rId12"/>
    <sheet name="7.8" sheetId="33" state="hidden" r:id="rId13"/>
    <sheet name="10.Queries" sheetId="12" r:id="rId14"/>
    <sheet name="20." sheetId="4" r:id="rId15"/>
    <sheet name="23." sheetId="5" r:id="rId16"/>
    <sheet name="23.1" sheetId="58" r:id="rId17"/>
    <sheet name="27." sheetId="6" state="hidden" r:id="rId18"/>
    <sheet name="29." sheetId="39" state="hidden" r:id="rId19"/>
    <sheet name="26" sheetId="48" r:id="rId20"/>
    <sheet name="29. Suspense" sheetId="44" state="hidden" r:id="rId21"/>
    <sheet name="30." sheetId="24" state="hidden" r:id="rId22"/>
    <sheet name="30.1" sheetId="34" state="hidden" r:id="rId23"/>
    <sheet name="31." sheetId="40" state="hidden" r:id="rId24"/>
    <sheet name="31.Accrual" sheetId="45" state="hidden" r:id="rId25"/>
    <sheet name="36." sheetId="20" state="hidden" r:id="rId26"/>
    <sheet name="37." sheetId="41" state="hidden" r:id="rId27"/>
    <sheet name="38." sheetId="22" state="hidden" r:id="rId28"/>
    <sheet name="40." sheetId="42" state="hidden" r:id="rId29"/>
    <sheet name="50.1" sheetId="28" state="hidden" r:id="rId30"/>
    <sheet name="27" sheetId="56" r:id="rId31"/>
    <sheet name="27.1" sheetId="65" r:id="rId32"/>
    <sheet name="33" sheetId="47" r:id="rId33"/>
    <sheet name="33.1" sheetId="46" r:id="rId34"/>
    <sheet name="39." sheetId="21" r:id="rId35"/>
    <sheet name="40" sheetId="63" r:id="rId36"/>
    <sheet name="42." sheetId="49" r:id="rId37"/>
    <sheet name="42.1 Member Comp" sheetId="57" r:id="rId38"/>
    <sheet name="42.2 TSB" sheetId="60" r:id="rId39"/>
    <sheet name="51." sheetId="53" state="hidden" r:id="rId40"/>
    <sheet name="42.3 TBAR" sheetId="61" r:id="rId41"/>
    <sheet name="50.Dividends" sheetId="23" r:id="rId42"/>
    <sheet name="52." sheetId="38" r:id="rId43"/>
    <sheet name="53" sheetId="59" r:id="rId44"/>
    <sheet name="62" sheetId="55" r:id="rId45"/>
    <sheet name="65" sheetId="64" r:id="rId46"/>
    <sheet name="64." sheetId="10" state="hidden" r:id="rId47"/>
    <sheet name="69." sheetId="26" state="hidden" r:id="rId48"/>
    <sheet name="69.1" sheetId="27" state="hidden" r:id="rId49"/>
    <sheet name="54." sheetId="52" state="hidden" r:id="rId50"/>
    <sheet name="55." sheetId="54" state="hidden" r:id="rId51"/>
    <sheet name="62." sheetId="51" state="hidden" r:id="rId52"/>
    <sheet name="80.GJ" sheetId="32" state="hidden" r:id="rId53"/>
    <sheet name="91." sheetId="50" state="hidden" r:id="rId54"/>
  </sheets>
  <definedNames>
    <definedName name="_xlnm._FilterDatabase" localSheetId="42" hidden="1">'52.'!$Z$4:$Z$763</definedName>
    <definedName name="Content" localSheetId="34">'39.'!#REF!</definedName>
    <definedName name="Content" localSheetId="28">'40.'!#REF!</definedName>
    <definedName name="PageContent" localSheetId="34">'39.'!#REF!</definedName>
    <definedName name="PageContent" localSheetId="28">'40.'!#REF!</definedName>
    <definedName name="_xlnm.Print_Area" localSheetId="0">Index!$A$2:$F$66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7" i="46" l="1"/>
  <c r="C8" i="47"/>
  <c r="C7" i="47"/>
  <c r="C6" i="46"/>
  <c r="C5" i="46"/>
  <c r="C3" i="46"/>
  <c r="B8" i="21"/>
  <c r="B7" i="21"/>
  <c r="B6" i="21"/>
  <c r="B5" i="21"/>
  <c r="D30" i="49"/>
  <c r="D27" i="49"/>
  <c r="D155" i="57"/>
  <c r="D153" i="57"/>
  <c r="F25" i="49"/>
  <c r="D25" i="49"/>
  <c r="B23" i="49"/>
  <c r="H5" i="65"/>
  <c r="G5" i="65"/>
  <c r="E5" i="65"/>
  <c r="B20" i="49"/>
  <c r="B17" i="49"/>
  <c r="B13" i="49"/>
  <c r="B11" i="49"/>
  <c r="B7" i="49"/>
  <c r="B155" i="57"/>
  <c r="B154" i="57"/>
  <c r="B153" i="57"/>
  <c r="B152" i="57"/>
  <c r="E149" i="57"/>
  <c r="B149" i="57" s="1"/>
  <c r="D149" i="57"/>
  <c r="E148" i="57"/>
  <c r="E159" i="57" s="1"/>
  <c r="E162" i="57" s="1"/>
  <c r="D148" i="57"/>
  <c r="D159" i="57" s="1"/>
  <c r="D162" i="57" s="1"/>
  <c r="B148" i="57"/>
  <c r="D135" i="57"/>
  <c r="B135" i="57" s="1"/>
  <c r="E135" i="57"/>
  <c r="B116" i="57"/>
  <c r="B117" i="57"/>
  <c r="B136" i="57"/>
  <c r="B134" i="57"/>
  <c r="B133" i="57"/>
  <c r="E130" i="57"/>
  <c r="D130" i="57"/>
  <c r="B130" i="57"/>
  <c r="D117" i="57"/>
  <c r="E117" i="57"/>
  <c r="B115" i="57"/>
  <c r="B114" i="57"/>
  <c r="E111" i="57"/>
  <c r="D111" i="57"/>
  <c r="B111" i="57" s="1"/>
  <c r="E97" i="57"/>
  <c r="B97" i="57"/>
  <c r="B96" i="57"/>
  <c r="B95" i="57"/>
  <c r="E92" i="57"/>
  <c r="D92" i="57"/>
  <c r="B92" i="57"/>
  <c r="D60" i="57"/>
  <c r="E78" i="57"/>
  <c r="B78" i="57" s="1"/>
  <c r="B77" i="57"/>
  <c r="B76" i="57"/>
  <c r="E73" i="57"/>
  <c r="D73" i="57"/>
  <c r="B73" i="57"/>
  <c r="B58" i="57"/>
  <c r="B57" i="57"/>
  <c r="B20" i="57"/>
  <c r="E21" i="57"/>
  <c r="D21" i="57" s="1"/>
  <c r="B21" i="57" s="1"/>
  <c r="D19" i="57"/>
  <c r="B19" i="57" s="1"/>
  <c r="E5" i="61"/>
  <c r="E6" i="61" s="1"/>
  <c r="C24" i="60"/>
  <c r="E55" i="57"/>
  <c r="D55" i="57"/>
  <c r="B55" i="57"/>
  <c r="E54" i="57"/>
  <c r="D54" i="57"/>
  <c r="B54" i="57" s="1"/>
  <c r="B39" i="57"/>
  <c r="B38" i="57"/>
  <c r="E36" i="57"/>
  <c r="D36" i="57"/>
  <c r="B36" i="57"/>
  <c r="E35" i="57"/>
  <c r="D35" i="57"/>
  <c r="B35" i="57"/>
  <c r="E12" i="57"/>
  <c r="D12" i="57"/>
  <c r="B9" i="57"/>
  <c r="B12" i="57" s="1"/>
  <c r="B17" i="57" s="1"/>
  <c r="B159" i="57" l="1"/>
  <c r="B162" i="57" s="1"/>
  <c r="B14" i="60" s="1"/>
  <c r="C16" i="60" s="1"/>
  <c r="C29" i="60" s="1"/>
  <c r="E163" i="57"/>
  <c r="B25" i="57"/>
  <c r="B34" i="57" s="1"/>
  <c r="D25" i="57"/>
  <c r="E25" i="57"/>
  <c r="D13" i="57"/>
  <c r="E13" i="57"/>
  <c r="D163" i="57" l="1"/>
  <c r="B163" i="57"/>
  <c r="B13" i="57"/>
  <c r="D28" i="57" l="1"/>
  <c r="D34" i="57" l="1"/>
  <c r="E11" i="38" l="1"/>
  <c r="D11" i="38"/>
  <c r="C11" i="38"/>
  <c r="B11" i="38"/>
  <c r="F10" i="38"/>
  <c r="F9" i="38"/>
  <c r="F8" i="38"/>
  <c r="F7" i="38"/>
  <c r="F11" i="38" s="1"/>
  <c r="G31" i="23"/>
  <c r="G11" i="23"/>
  <c r="G10" i="23"/>
  <c r="D32" i="48"/>
  <c r="M17" i="48"/>
  <c r="M16" i="48"/>
  <c r="M18" i="48" s="1"/>
  <c r="N17" i="48"/>
  <c r="O17" i="48" s="1"/>
  <c r="N16" i="48"/>
  <c r="O16" i="48" s="1"/>
  <c r="O18" i="48" s="1"/>
  <c r="M14" i="48"/>
  <c r="M21" i="48" s="1"/>
  <c r="D23" i="49"/>
  <c r="F23" i="49" s="1"/>
  <c r="B15" i="49"/>
  <c r="B18" i="49" s="1"/>
  <c r="B21" i="49" s="1"/>
  <c r="B9" i="56"/>
  <c r="B10" i="56"/>
  <c r="C16" i="23"/>
  <c r="C12" i="23"/>
  <c r="G15" i="23"/>
  <c r="H15" i="23" s="1"/>
  <c r="G14" i="23"/>
  <c r="H14" i="23" s="1"/>
  <c r="H11" i="23"/>
  <c r="H10" i="23"/>
  <c r="D16" i="23"/>
  <c r="E16" i="23"/>
  <c r="E12" i="23"/>
  <c r="D12" i="23"/>
  <c r="K21" i="48"/>
  <c r="G17" i="48"/>
  <c r="H17" i="48" s="1"/>
  <c r="E18" i="48"/>
  <c r="G16" i="48"/>
  <c r="H16" i="48" s="1"/>
  <c r="G14" i="48"/>
  <c r="H14" i="48" s="1"/>
  <c r="D32" i="23" l="1"/>
  <c r="D31" i="23"/>
  <c r="O14" i="48"/>
  <c r="O21" i="48" s="1"/>
  <c r="H18" i="48"/>
  <c r="N18" i="48"/>
  <c r="I14" i="48"/>
  <c r="J14" i="48"/>
  <c r="I16" i="48"/>
  <c r="J16" i="48" s="1"/>
  <c r="P14" i="48"/>
  <c r="D33" i="23"/>
  <c r="H31" i="23"/>
  <c r="I17" i="48"/>
  <c r="G18" i="48"/>
  <c r="G21" i="48" s="1"/>
  <c r="B9" i="21"/>
  <c r="I18" i="48" l="1"/>
  <c r="D37" i="48"/>
  <c r="N21" i="48"/>
  <c r="J17" i="48"/>
  <c r="J18" i="48" s="1"/>
  <c r="J21" i="48" l="1"/>
  <c r="P18" i="48"/>
  <c r="P21" i="48" s="1"/>
  <c r="D9" i="49" l="1"/>
  <c r="D20" i="49"/>
  <c r="B9" i="49"/>
  <c r="F7" i="49"/>
  <c r="F5" i="49"/>
  <c r="D21" i="49" l="1"/>
  <c r="F21" i="49" s="1"/>
  <c r="F9" i="49"/>
  <c r="D15" i="49"/>
  <c r="F3" i="49"/>
  <c r="F11" i="49"/>
  <c r="F20" i="49"/>
  <c r="B16" i="49"/>
  <c r="F15" i="49"/>
  <c r="B22" i="49" l="1"/>
  <c r="D22" i="49"/>
  <c r="F22" i="49"/>
  <c r="F27" i="49" s="1"/>
  <c r="B24" i="49" l="1"/>
  <c r="H39" i="46" s="1"/>
  <c r="H40" i="46" s="1"/>
  <c r="H42" i="46" s="1"/>
  <c r="B27" i="49"/>
  <c r="E28" i="57"/>
  <c r="E34" i="57" s="1"/>
  <c r="B28" i="57"/>
  <c r="D29" i="57" s="1"/>
  <c r="E29" i="57" l="1"/>
  <c r="E40" i="57" s="1"/>
  <c r="D40" i="57" s="1"/>
  <c r="B40" i="57" s="1"/>
  <c r="B29" i="57" l="1"/>
  <c r="E44" i="57"/>
  <c r="E53" i="57" l="1"/>
  <c r="E47" i="57"/>
  <c r="B44" i="57"/>
  <c r="D44" i="57"/>
  <c r="D47" i="57" l="1"/>
  <c r="D53" i="57"/>
  <c r="B47" i="57"/>
  <c r="E48" i="57" s="1"/>
  <c r="E60" i="57" s="1"/>
  <c r="B60" i="57" s="1"/>
  <c r="B53" i="57"/>
  <c r="B59" i="57" l="1"/>
  <c r="B64" i="57" s="1"/>
  <c r="E64" i="57"/>
  <c r="D48" i="57"/>
  <c r="B48" i="57" s="1"/>
  <c r="E67" i="57" l="1"/>
  <c r="E72" i="57"/>
  <c r="D64" i="57"/>
  <c r="B67" i="57"/>
  <c r="B72" i="57"/>
  <c r="E68" i="57"/>
  <c r="E79" i="57" s="1"/>
  <c r="D79" i="57" s="1"/>
  <c r="B79" i="57" s="1"/>
  <c r="D67" i="57" l="1"/>
  <c r="D72" i="57"/>
  <c r="B83" i="57"/>
  <c r="E83" i="57"/>
  <c r="E86" i="57" l="1"/>
  <c r="E91" i="57"/>
  <c r="B86" i="57"/>
  <c r="B91" i="57"/>
  <c r="E87" i="57"/>
  <c r="E98" i="57" s="1"/>
  <c r="D98" i="57" s="1"/>
  <c r="B98" i="57" s="1"/>
  <c r="B102" i="57" s="1"/>
  <c r="D83" i="57"/>
  <c r="D68" i="57"/>
  <c r="B68" i="57" s="1"/>
  <c r="B105" i="57" l="1"/>
  <c r="B110" i="57"/>
  <c r="D86" i="57"/>
  <c r="D87" i="57" s="1"/>
  <c r="B87" i="57" s="1"/>
  <c r="D91" i="57"/>
  <c r="D102" i="57" s="1"/>
  <c r="E102" i="57"/>
  <c r="E105" i="57" l="1"/>
  <c r="E106" i="57" s="1"/>
  <c r="B121" i="57" s="1"/>
  <c r="E110" i="57"/>
  <c r="E121" i="57" s="1"/>
  <c r="D105" i="57"/>
  <c r="D110" i="57"/>
  <c r="D121" i="57" s="1"/>
  <c r="D106" i="57"/>
  <c r="B106" i="57" s="1"/>
  <c r="E124" i="57" l="1"/>
  <c r="E129" i="57"/>
  <c r="D124" i="57"/>
  <c r="D129" i="57"/>
  <c r="D140" i="57" s="1"/>
  <c r="D143" i="57" s="1"/>
  <c r="B124" i="57"/>
  <c r="B129" i="57"/>
  <c r="D125" i="57"/>
  <c r="E125" i="57"/>
  <c r="B140" i="57" l="1"/>
  <c r="B143" i="57" s="1"/>
  <c r="D144" i="57" s="1"/>
  <c r="E140" i="57"/>
  <c r="E143" i="57" s="1"/>
  <c r="E144" i="57" s="1"/>
  <c r="B125" i="57"/>
  <c r="B144" i="57" l="1"/>
</calcChain>
</file>

<file path=xl/sharedStrings.xml><?xml version="1.0" encoding="utf-8"?>
<sst xmlns="http://schemas.openxmlformats.org/spreadsheetml/2006/main" count="760" uniqueCount="459">
  <si>
    <t>ACCOUNTING WORK PAPER INDEX</t>
  </si>
  <si>
    <t>LIABILITIES:</t>
  </si>
  <si>
    <t>ASSETS:</t>
  </si>
  <si>
    <t>EQUITY:</t>
  </si>
  <si>
    <t>INCOME:</t>
  </si>
  <si>
    <t>EXPENSES:</t>
  </si>
  <si>
    <t>QUERIES AND CORRESPONDENCE</t>
  </si>
  <si>
    <t>33-1</t>
  </si>
  <si>
    <t>38-1</t>
  </si>
  <si>
    <t>Trade Creditors</t>
  </si>
  <si>
    <t>Apollo Newcastle Pty Ltd</t>
  </si>
  <si>
    <t>414 Pacific Hwy</t>
  </si>
  <si>
    <t>Belmont 2280</t>
  </si>
  <si>
    <t/>
  </si>
  <si>
    <t>5-5000</t>
  </si>
  <si>
    <t>Trade Debtors</t>
  </si>
  <si>
    <t>2-1201</t>
  </si>
  <si>
    <t>ID#</t>
  </si>
  <si>
    <t>EFT</t>
  </si>
  <si>
    <t>Apollo Sydney/Insyte</t>
  </si>
  <si>
    <t>Mrs Sharon G Ronan</t>
  </si>
  <si>
    <t>M &amp; S Installations</t>
  </si>
  <si>
    <t>30/06/2016</t>
  </si>
  <si>
    <t>Total:</t>
  </si>
  <si>
    <t>Ausgrid</t>
  </si>
  <si>
    <t>Wages</t>
  </si>
  <si>
    <t>Beginning Balance:</t>
  </si>
  <si>
    <t>Name</t>
  </si>
  <si>
    <t>Total Due</t>
  </si>
  <si>
    <t>0 - 30</t>
  </si>
  <si>
    <t>31 - 60</t>
  </si>
  <si>
    <t>61 - 90</t>
  </si>
  <si>
    <t>90+</t>
  </si>
  <si>
    <t>Ageing Percent:</t>
  </si>
  <si>
    <t>Out of Balance Amount:</t>
  </si>
  <si>
    <t>AMEX</t>
  </si>
  <si>
    <t>C/C</t>
  </si>
  <si>
    <t>00001032</t>
  </si>
  <si>
    <t>00001167</t>
  </si>
  <si>
    <t>00001031</t>
  </si>
  <si>
    <t>00001072</t>
  </si>
  <si>
    <t>00001030</t>
  </si>
  <si>
    <t>00001141</t>
  </si>
  <si>
    <t>00001168</t>
  </si>
  <si>
    <t>00000992</t>
  </si>
  <si>
    <t>00000991</t>
  </si>
  <si>
    <t>00000993</t>
  </si>
  <si>
    <t>00001142</t>
  </si>
  <si>
    <t>Interest</t>
  </si>
  <si>
    <t>Message Media</t>
  </si>
  <si>
    <t>Konica</t>
  </si>
  <si>
    <t>iiNet</t>
  </si>
  <si>
    <t>Payables Reconciliation [Summary]</t>
  </si>
  <si>
    <t>Apollo Blinds Awing Shutters</t>
  </si>
  <si>
    <t>Apollo Sydney/2 Clixs</t>
  </si>
  <si>
    <t>ASIC</t>
  </si>
  <si>
    <t>Bremick Fasteners</t>
  </si>
  <si>
    <t>Certegy</t>
  </si>
  <si>
    <t>Commander</t>
  </si>
  <si>
    <t>DAB Financial</t>
  </si>
  <si>
    <t>Initial</t>
  </si>
  <si>
    <t>Media Placement Services</t>
  </si>
  <si>
    <t>Mobile Bookkeeping &amp; Secretarial Services</t>
  </si>
  <si>
    <t>Tip Top 'n' Tidy</t>
  </si>
  <si>
    <t>Payables Account:</t>
  </si>
  <si>
    <t>GST</t>
  </si>
  <si>
    <t>GENERAL</t>
  </si>
  <si>
    <t>WORK PAPER</t>
  </si>
  <si>
    <t>INDEX</t>
  </si>
  <si>
    <t>Planning/Background</t>
  </si>
  <si>
    <t>ITR</t>
  </si>
  <si>
    <t>Minutes</t>
  </si>
  <si>
    <t>Audit Report, Letter and Strategy</t>
  </si>
  <si>
    <t>Tax Reconciliation</t>
  </si>
  <si>
    <t>FINANCIAL STATEMENTS</t>
  </si>
  <si>
    <t>TRIAL BALANCE</t>
  </si>
  <si>
    <t>JOURNALS / LEDGERS</t>
  </si>
  <si>
    <t>Bank Statements and Bank Reconciliation - BUSINESS</t>
  </si>
  <si>
    <t>Bank Statements and Bank Reconciliation - SAVINGS</t>
  </si>
  <si>
    <t>Bank Statements - OTHERS</t>
  </si>
  <si>
    <t>Bad Debt</t>
  </si>
  <si>
    <t>Division 7A</t>
  </si>
  <si>
    <t>Fixed Assets - Depreciation</t>
  </si>
  <si>
    <t>Income in Advance</t>
  </si>
  <si>
    <t>Suspense</t>
  </si>
  <si>
    <t>Accruals</t>
  </si>
  <si>
    <t xml:space="preserve">ATO ICA </t>
  </si>
  <si>
    <t>ITA</t>
  </si>
  <si>
    <t>PAYGW Payable</t>
  </si>
  <si>
    <t>Super Payable</t>
  </si>
  <si>
    <t>Hire Purchase</t>
  </si>
  <si>
    <t>Chatel Mortgage</t>
  </si>
  <si>
    <t>PAYGI</t>
  </si>
  <si>
    <t>Intercompany Loan</t>
  </si>
  <si>
    <t>Issued Capital</t>
  </si>
  <si>
    <t>Retained Earnings / Distribution to Members (Superfund)</t>
  </si>
  <si>
    <t>Franking Account</t>
  </si>
  <si>
    <t>Trust Distribution</t>
  </si>
  <si>
    <t>BAS</t>
  </si>
  <si>
    <t>Rental Income</t>
  </si>
  <si>
    <t>Super</t>
  </si>
  <si>
    <t>Credit Card</t>
  </si>
  <si>
    <t>MYOB Session Reports</t>
  </si>
  <si>
    <t>Invoices</t>
  </si>
  <si>
    <t>Previous Year Financial Statements</t>
  </si>
  <si>
    <t>Audit Report for Shares</t>
  </si>
  <si>
    <t>Work completed by:</t>
  </si>
  <si>
    <t>Reviewed by:</t>
  </si>
  <si>
    <t>Workpaper Instructions:</t>
  </si>
  <si>
    <t>Please link the index to each corresponding sheet</t>
  </si>
  <si>
    <t xml:space="preserve"> - Insert, Link, insert link, and choose 'place in this document'</t>
  </si>
  <si>
    <t>Please link any relevant files such as bank statements, where required.</t>
  </si>
  <si>
    <t xml:space="preserve"> - Insert, Link, insert link, and choose 'existing file or webpage'</t>
  </si>
  <si>
    <t>name</t>
  </si>
  <si>
    <t>date</t>
  </si>
  <si>
    <t>GST Collected</t>
  </si>
  <si>
    <t>The Trustee for Grund Superannuation Fu</t>
  </si>
  <si>
    <t>Balance Sheet</t>
  </si>
  <si>
    <t>Assets</t>
  </si>
  <si>
    <t>Current Assets</t>
  </si>
  <si>
    <t>Cash On Hand</t>
  </si>
  <si>
    <t>Total Cash On Hand</t>
  </si>
  <si>
    <t>Total Current Assets</t>
  </si>
  <si>
    <t>Fixed Assets</t>
  </si>
  <si>
    <t>Office Equipment</t>
  </si>
  <si>
    <t>Property George Street</t>
  </si>
  <si>
    <t>Cost of purchasing property</t>
  </si>
  <si>
    <t>Total Office Equipment</t>
  </si>
  <si>
    <t>Total Fixed Assets</t>
  </si>
  <si>
    <t>Total Assets</t>
  </si>
  <si>
    <t>Liabilities</t>
  </si>
  <si>
    <t>Current Liabilities</t>
  </si>
  <si>
    <t>GST Liabilities</t>
  </si>
  <si>
    <t>GST Paid</t>
  </si>
  <si>
    <t>Total GST Liabilities</t>
  </si>
  <si>
    <t>ATO ICA</t>
  </si>
  <si>
    <t>ATO ITA</t>
  </si>
  <si>
    <t>PAYG Installments</t>
  </si>
  <si>
    <t>Total Current Liabilities</t>
  </si>
  <si>
    <t>Bond received</t>
  </si>
  <si>
    <t>Long Term Liabilities</t>
  </si>
  <si>
    <t>Total Long Term Liabilities</t>
  </si>
  <si>
    <t>Total Liabilities</t>
  </si>
  <si>
    <t>Net Assets</t>
  </si>
  <si>
    <t>Equity</t>
  </si>
  <si>
    <t>Member Equity</t>
  </si>
  <si>
    <t>Member- L. Grund</t>
  </si>
  <si>
    <t>Larissa opening balance</t>
  </si>
  <si>
    <t>Total Member- L. Grund</t>
  </si>
  <si>
    <t>Total Member Equity</t>
  </si>
  <si>
    <t>Retained Earnings</t>
  </si>
  <si>
    <t>Current Year Earnings</t>
  </si>
  <si>
    <t>Total Equity</t>
  </si>
  <si>
    <t>Income</t>
  </si>
  <si>
    <t>Rent Income</t>
  </si>
  <si>
    <t>Interest received</t>
  </si>
  <si>
    <t>Employer contribution</t>
  </si>
  <si>
    <t>Total Income</t>
  </si>
  <si>
    <t>Gross Profit</t>
  </si>
  <si>
    <t>Expenses</t>
  </si>
  <si>
    <t>Accounting &amp; Audit Fees</t>
  </si>
  <si>
    <t>Total Expenses</t>
  </si>
  <si>
    <t>Operating Profit</t>
  </si>
  <si>
    <t>Total Other Income</t>
  </si>
  <si>
    <t>Total Other Expenses</t>
  </si>
  <si>
    <t>Net Profit/(Loss)</t>
  </si>
  <si>
    <t>GST Summary</t>
  </si>
  <si>
    <t>Baker Young Broker Shares</t>
  </si>
  <si>
    <t>Brokerage on Share Purchase</t>
  </si>
  <si>
    <t>Shares</t>
  </si>
  <si>
    <t>Installation of sesnor lights for driveway, solar lights for front balcony, installation of 2 x smoke/heat alarms, and repair of exhaust fan in toilet</t>
  </si>
  <si>
    <t>Paid 08/07/19</t>
  </si>
  <si>
    <t>P&amp;L</t>
  </si>
  <si>
    <t>Total</t>
  </si>
  <si>
    <t>Rate %</t>
  </si>
  <si>
    <t>Investments revaluation</t>
  </si>
  <si>
    <t>Profit</t>
  </si>
  <si>
    <t>Total Profit before tax</t>
  </si>
  <si>
    <t>Taxable Profit</t>
  </si>
  <si>
    <t>Income Tax on contributions</t>
  </si>
  <si>
    <t>Income Tax remaining amount</t>
  </si>
  <si>
    <t>Total Income Tax</t>
  </si>
  <si>
    <r>
      <t xml:space="preserve">Distribution - </t>
    </r>
    <r>
      <rPr>
        <b/>
        <i/>
        <sz val="10"/>
        <rFont val="Arial"/>
        <family val="2"/>
      </rPr>
      <t>Share of Profit</t>
    </r>
  </si>
  <si>
    <t>Net Accounting Profit after tax</t>
  </si>
  <si>
    <t>Larissa</t>
  </si>
  <si>
    <t>Property Expenses</t>
  </si>
  <si>
    <t>Narelle</t>
  </si>
  <si>
    <t>To be clear with year end processing</t>
  </si>
  <si>
    <t>instalment amount</t>
  </si>
  <si>
    <t>Insurance</t>
  </si>
  <si>
    <t>ID No.</t>
  </si>
  <si>
    <t>Date</t>
  </si>
  <si>
    <t>Health Central Coast</t>
  </si>
  <si>
    <t>interest received</t>
  </si>
  <si>
    <t>Grund Super Fund</t>
  </si>
  <si>
    <t xml:space="preserve"> </t>
  </si>
  <si>
    <t>ABN : 76775223977</t>
  </si>
  <si>
    <t>Cash</t>
  </si>
  <si>
    <t>January 2020 To March 2020</t>
  </si>
  <si>
    <t>Property Expenses - 37 George</t>
  </si>
  <si>
    <t>General Ledger [Detail]</t>
  </si>
  <si>
    <t>Src</t>
  </si>
  <si>
    <t>Memo</t>
  </si>
  <si>
    <t>Debit</t>
  </si>
  <si>
    <t>Credit</t>
  </si>
  <si>
    <t>Job No.</t>
  </si>
  <si>
    <t>Net Activity</t>
  </si>
  <si>
    <t>Ending Balance</t>
  </si>
  <si>
    <t>4-1000_x000D_</t>
  </si>
  <si>
    <t xml:space="preserve">Beginning Balance: </t>
  </si>
  <si>
    <t>($54,072.00)</t>
  </si>
  <si>
    <t>00000065</t>
  </si>
  <si>
    <t>SJ</t>
  </si>
  <si>
    <t>07/01/2020</t>
  </si>
  <si>
    <t>Sale; EAST GOSFORD</t>
  </si>
  <si>
    <t>00000066</t>
  </si>
  <si>
    <t>07/02/2020</t>
  </si>
  <si>
    <t>00000067</t>
  </si>
  <si>
    <t>07/03/2020</t>
  </si>
  <si>
    <t>Total :</t>
  </si>
  <si>
    <t>($9,012.00)</t>
  </si>
  <si>
    <t>Grand Total :</t>
  </si>
  <si>
    <t>4-2000_x000D_</t>
  </si>
  <si>
    <t>($1,480.64)</t>
  </si>
  <si>
    <t>CR000200</t>
  </si>
  <si>
    <t>CR</t>
  </si>
  <si>
    <t>01/01/2020</t>
  </si>
  <si>
    <t>CR000208</t>
  </si>
  <si>
    <t>01/02/2020</t>
  </si>
  <si>
    <t>CR000210</t>
  </si>
  <si>
    <t>01/03/2020</t>
  </si>
  <si>
    <t>($170.71)</t>
  </si>
  <si>
    <t>4-5002_x000D_</t>
  </si>
  <si>
    <t>($20,176.83)</t>
  </si>
  <si>
    <t>CR000207</t>
  </si>
  <si>
    <t>21/01/2020</t>
  </si>
  <si>
    <t>Health Central Coast - Quicksuper</t>
  </si>
  <si>
    <t>CR000209</t>
  </si>
  <si>
    <t>18/02/2020</t>
  </si>
  <si>
    <t>CR000211</t>
  </si>
  <si>
    <t>27/03/2020</t>
  </si>
  <si>
    <t>($3,474.25)</t>
  </si>
  <si>
    <t>CMMB 06 2668 1027 6760</t>
  </si>
  <si>
    <t>Larissa Share on Profit</t>
  </si>
  <si>
    <t>Larissa employer contribution</t>
  </si>
  <si>
    <t>Distribution to member</t>
  </si>
  <si>
    <t>Dividends Received</t>
  </si>
  <si>
    <t>Total Property Expenses</t>
  </si>
  <si>
    <t>Query with client</t>
  </si>
  <si>
    <t>L Grund Pty Ltd</t>
  </si>
  <si>
    <t>ATF GRUND SUPERANNUATION FUND</t>
  </si>
  <si>
    <t>SCHEDULE OF INVESTMENTS</t>
  </si>
  <si>
    <t>TOTAL MARKET</t>
  </si>
  <si>
    <t>MOVEMENT</t>
  </si>
  <si>
    <t>PROFIT/LOSS</t>
  </si>
  <si>
    <t>NAME OF COMPANY</t>
  </si>
  <si>
    <t>SHARE</t>
  </si>
  <si>
    <t>DATE</t>
  </si>
  <si>
    <t xml:space="preserve">NO OF </t>
  </si>
  <si>
    <t>COST PRICE</t>
  </si>
  <si>
    <t>BROKERAGE FEE</t>
  </si>
  <si>
    <t>GST ON</t>
  </si>
  <si>
    <t>TOTAL COST</t>
  </si>
  <si>
    <t>CURRENT PRICE</t>
  </si>
  <si>
    <t>IN VALUE</t>
  </si>
  <si>
    <t>MARKET VALUE</t>
  </si>
  <si>
    <t>CODE</t>
  </si>
  <si>
    <t>PURCHASED</t>
  </si>
  <si>
    <t>SHARES</t>
  </si>
  <si>
    <t>PER SHARE</t>
  </si>
  <si>
    <t>BROOKAGE FEE</t>
  </si>
  <si>
    <t>(INC BROKERAGE &amp;</t>
  </si>
  <si>
    <t>FOR YEAR</t>
  </si>
  <si>
    <t>LESS COST</t>
  </si>
  <si>
    <t>(%)</t>
  </si>
  <si>
    <t xml:space="preserve"> GST BROKERAGE</t>
  </si>
  <si>
    <t>AS AT 30/06/20</t>
  </si>
  <si>
    <t>COMMENWEATH BANK</t>
  </si>
  <si>
    <t>CBA</t>
  </si>
  <si>
    <t xml:space="preserve">WESTPAC </t>
  </si>
  <si>
    <t>WBC</t>
  </si>
  <si>
    <t>NET COST:</t>
  </si>
  <si>
    <t>Reconciliation:</t>
  </si>
  <si>
    <t>Cost of shares as at 21/02/18</t>
  </si>
  <si>
    <t>Brokerage &amp; GST</t>
  </si>
  <si>
    <t>Decrease in value Y/E2018</t>
  </si>
  <si>
    <t>Increase in value Y/E 2019</t>
  </si>
  <si>
    <t>Decrease in value Y/E2020</t>
  </si>
  <si>
    <t>AS AT 30/06/21</t>
  </si>
  <si>
    <t>Increase in value Y/E 2021</t>
  </si>
  <si>
    <t>Grund Superannuation Fund</t>
  </si>
  <si>
    <t>Dividend Summary</t>
  </si>
  <si>
    <t>Details</t>
  </si>
  <si>
    <t>Unfranked</t>
  </si>
  <si>
    <t>Franked</t>
  </si>
  <si>
    <t>Imputation</t>
  </si>
  <si>
    <t>chck</t>
  </si>
  <si>
    <t>Paid</t>
  </si>
  <si>
    <t>Amount</t>
  </si>
  <si>
    <t>Credits</t>
  </si>
  <si>
    <t>gross div</t>
  </si>
  <si>
    <t>frank cred</t>
  </si>
  <si>
    <t>Westpac Group</t>
  </si>
  <si>
    <t>Comm Bank</t>
  </si>
  <si>
    <t>Total Franked Amount</t>
  </si>
  <si>
    <t>Total Imputation Credits</t>
  </si>
  <si>
    <t>Total unfranked</t>
  </si>
  <si>
    <t>Contribution for the year 2021</t>
  </si>
  <si>
    <t>Total Contribution @ 30.06.2021</t>
  </si>
  <si>
    <t>Including ITC (not accounting profit)</t>
  </si>
  <si>
    <t>2020 refund due</t>
  </si>
  <si>
    <t>2021 tax payable</t>
  </si>
  <si>
    <t>EGSC  Loan</t>
  </si>
  <si>
    <t>All Cleared</t>
  </si>
  <si>
    <t xml:space="preserve">PAYGI </t>
  </si>
  <si>
    <t>Unable to get the valuation from RP data for 34 due to commercial sign attached.</t>
  </si>
  <si>
    <t>Auditor agreed that the next door ( similar one) valuation will be sufficient.</t>
  </si>
  <si>
    <t>Cost of the property</t>
  </si>
  <si>
    <t>Valuation as per RP data on 08/08/22</t>
  </si>
  <si>
    <t>Changes in Mkt value</t>
  </si>
  <si>
    <t>Super Levy</t>
  </si>
  <si>
    <t>FC</t>
  </si>
  <si>
    <t>As of June 2022</t>
  </si>
  <si>
    <t>Profit &amp; Loss Statement</t>
  </si>
  <si>
    <t>July 2021 To June 2022</t>
  </si>
  <si>
    <t>Water</t>
  </si>
  <si>
    <t>Employment Expenses</t>
  </si>
  <si>
    <t>Life Insurance</t>
  </si>
  <si>
    <t>Receivables With Tax</t>
  </si>
  <si>
    <t>As of 30/06/2022</t>
  </si>
  <si>
    <t>Amount Outstanding</t>
  </si>
  <si>
    <t>Tax Outstanding</t>
  </si>
  <si>
    <t>EAST GOSFORD</t>
  </si>
  <si>
    <t>Receivables Account:</t>
  </si>
  <si>
    <t>Valuation as at 30/06/22</t>
  </si>
  <si>
    <t>&amp;23.1</t>
  </si>
  <si>
    <t>2022 Financial year</t>
  </si>
  <si>
    <t>AS AT 30/06/22</t>
  </si>
  <si>
    <t xml:space="preserve">Investor HIN </t>
  </si>
  <si>
    <t>Link Market Services X00077383824</t>
  </si>
  <si>
    <t>ComputerShare X0077383824</t>
  </si>
  <si>
    <t>Postcode</t>
  </si>
  <si>
    <t>Decrease in value Y/E 2022</t>
  </si>
  <si>
    <t>GRUND SF</t>
  </si>
  <si>
    <t>BAS REC</t>
  </si>
  <si>
    <t>Period</t>
  </si>
  <si>
    <t>G1</t>
  </si>
  <si>
    <t>1A</t>
  </si>
  <si>
    <t>1B</t>
  </si>
  <si>
    <t>SEP</t>
  </si>
  <si>
    <t>DEC</t>
  </si>
  <si>
    <t>MAR</t>
  </si>
  <si>
    <t>Jun</t>
  </si>
  <si>
    <t>JUN</t>
  </si>
  <si>
    <t>PERIOD</t>
  </si>
  <si>
    <t>NET</t>
  </si>
  <si>
    <t>2022 Instalments</t>
  </si>
  <si>
    <t>Sep</t>
  </si>
  <si>
    <t>Dec</t>
  </si>
  <si>
    <t>Mar</t>
  </si>
  <si>
    <t>For Year Ended 30 June 2022</t>
  </si>
  <si>
    <t>Dividend</t>
  </si>
  <si>
    <t>Employer Contribution</t>
  </si>
  <si>
    <t>Balance as per ICA at 30/06</t>
  </si>
  <si>
    <t>MEMBER COMPONENTS</t>
  </si>
  <si>
    <t>Service period start date 10 Nov 2003</t>
  </si>
  <si>
    <t>Taxable</t>
  </si>
  <si>
    <t>Tax free</t>
  </si>
  <si>
    <t>Preserved</t>
  </si>
  <si>
    <t>Restricted non preserved</t>
  </si>
  <si>
    <t>Unresrtricted non preserved</t>
  </si>
  <si>
    <t>O/B</t>
  </si>
  <si>
    <t>Concessional Cont</t>
  </si>
  <si>
    <t>Non Concessional Cont</t>
  </si>
  <si>
    <t>Share of profit allocation</t>
  </si>
  <si>
    <t>C/B</t>
  </si>
  <si>
    <t>TOTAL SUPERANNUATION BALANCE</t>
  </si>
  <si>
    <t>AS AT 30 JUNE 22</t>
  </si>
  <si>
    <t>If your total super balance is greater than or equal to the general transfer balance cap ( $1.7 million from 01 July 21) at the end of the previous financial year, your non-concessional contributions cap is nil.</t>
  </si>
  <si>
    <t>Can't put any NCC, due to over the threshhold</t>
  </si>
  <si>
    <r>
      <t>Step 1</t>
    </r>
    <r>
      <rPr>
        <sz val="10.5"/>
        <rFont val="Arial"/>
        <family val="2"/>
      </rPr>
      <t xml:space="preserve"> – </t>
    </r>
    <r>
      <rPr>
        <b/>
        <sz val="10.5"/>
        <rFont val="Arial"/>
        <family val="2"/>
      </rPr>
      <t xml:space="preserve">Value of interests </t>
    </r>
    <r>
      <rPr>
        <b/>
        <u/>
        <sz val="10.5"/>
        <rFont val="Arial"/>
        <family val="2"/>
      </rPr>
      <t>not</t>
    </r>
    <r>
      <rPr>
        <b/>
        <sz val="10.5"/>
        <rFont val="Arial"/>
        <family val="2"/>
      </rPr>
      <t xml:space="preserve"> in the retirement phase</t>
    </r>
  </si>
  <si>
    <r>
      <t>·</t>
    </r>
    <r>
      <rPr>
        <sz val="7"/>
        <rFont val="Times New Roman"/>
        <family val="1"/>
      </rPr>
      <t xml:space="preserve">       </t>
    </r>
    <r>
      <rPr>
        <sz val="10.5"/>
        <rFont val="Arial"/>
        <family val="2"/>
      </rPr>
      <t>Accumulation entitlements</t>
    </r>
  </si>
  <si>
    <r>
      <t>·</t>
    </r>
    <r>
      <rPr>
        <sz val="7"/>
        <rFont val="Times New Roman"/>
        <family val="1"/>
      </rPr>
      <t xml:space="preserve">       </t>
    </r>
    <r>
      <rPr>
        <b/>
        <i/>
        <sz val="10.5"/>
        <rFont val="Arial"/>
        <family val="2"/>
      </rPr>
      <t>Add:</t>
    </r>
    <r>
      <rPr>
        <sz val="10.5"/>
        <rFont val="Arial"/>
        <family val="2"/>
      </rPr>
      <t xml:space="preserve"> TRIS entitlements</t>
    </r>
  </si>
  <si>
    <r>
      <t>·</t>
    </r>
    <r>
      <rPr>
        <sz val="7"/>
        <rFont val="Times New Roman"/>
        <family val="1"/>
      </rPr>
      <t xml:space="preserve">       </t>
    </r>
    <r>
      <rPr>
        <b/>
        <i/>
        <sz val="10.5"/>
        <rFont val="Arial"/>
        <family val="2"/>
      </rPr>
      <t>Add:</t>
    </r>
    <r>
      <rPr>
        <sz val="10.5"/>
        <rFont val="Arial"/>
        <family val="2"/>
      </rPr>
      <t xml:space="preserve"> Other superannuation interests</t>
    </r>
  </si>
  <si>
    <t>ADD: Adjusted/modified balance of any ‘transfer balance account’</t>
  </si>
  <si>
    <r>
      <t>·</t>
    </r>
    <r>
      <rPr>
        <sz val="7"/>
        <rFont val="Times New Roman"/>
        <family val="1"/>
      </rPr>
      <t xml:space="preserve">       </t>
    </r>
    <r>
      <rPr>
        <sz val="10.5"/>
        <rFont val="Arial"/>
        <family val="2"/>
      </rPr>
      <t>Actual balance of ‘transfer balance account’</t>
    </r>
  </si>
  <si>
    <r>
      <t>·</t>
    </r>
    <r>
      <rPr>
        <sz val="7"/>
        <rFont val="Times New Roman"/>
        <family val="1"/>
      </rPr>
      <t xml:space="preserve">       </t>
    </r>
    <r>
      <rPr>
        <b/>
        <i/>
        <sz val="10.5"/>
        <rFont val="Arial"/>
        <family val="2"/>
      </rPr>
      <t>Less:</t>
    </r>
    <r>
      <rPr>
        <sz val="10.5"/>
        <rFont val="Arial"/>
        <family val="2"/>
      </rPr>
      <t xml:space="preserve"> disregarded credits </t>
    </r>
    <r>
      <rPr>
        <sz val="10"/>
        <rFont val="Wingdings"/>
        <charset val="2"/>
      </rPr>
      <t></t>
    </r>
  </si>
  <si>
    <r>
      <t>·</t>
    </r>
    <r>
      <rPr>
        <sz val="7"/>
        <rFont val="Times New Roman"/>
        <family val="1"/>
      </rPr>
      <t xml:space="preserve">       </t>
    </r>
    <r>
      <rPr>
        <b/>
        <i/>
        <sz val="10.5"/>
        <rFont val="Arial"/>
        <family val="2"/>
      </rPr>
      <t>Add:</t>
    </r>
    <r>
      <rPr>
        <sz val="10.5"/>
        <rFont val="Arial"/>
        <family val="2"/>
      </rPr>
      <t xml:space="preserve"> disregarded debits </t>
    </r>
    <r>
      <rPr>
        <sz val="10"/>
        <rFont val="Wingdings"/>
        <charset val="2"/>
      </rPr>
      <t></t>
    </r>
  </si>
  <si>
    <r>
      <t>·</t>
    </r>
    <r>
      <rPr>
        <sz val="7"/>
        <rFont val="Times New Roman"/>
        <family val="1"/>
      </rPr>
      <t xml:space="preserve">       </t>
    </r>
    <r>
      <rPr>
        <b/>
        <i/>
        <sz val="10.5"/>
        <rFont val="Arial"/>
        <family val="2"/>
      </rPr>
      <t>Add:</t>
    </r>
    <r>
      <rPr>
        <sz val="10.5"/>
        <rFont val="Arial"/>
        <family val="2"/>
      </rPr>
      <t xml:space="preserve"> actual value of retirement phase pensions (e.g., ABPs) as at 30 June </t>
    </r>
    <r>
      <rPr>
        <sz val="10"/>
        <rFont val="Wingdings"/>
        <charset val="2"/>
      </rPr>
      <t></t>
    </r>
  </si>
  <si>
    <r>
      <t>Add:</t>
    </r>
    <r>
      <rPr>
        <sz val="12"/>
        <rFont val="Cambria"/>
        <family val="1"/>
      </rPr>
      <t xml:space="preserve"> structured settlement contributions</t>
    </r>
  </si>
  <si>
    <r>
      <t>Step 3</t>
    </r>
    <r>
      <rPr>
        <sz val="10.5"/>
        <rFont val="Arial"/>
        <family val="2"/>
      </rPr>
      <t xml:space="preserve"> – </t>
    </r>
    <r>
      <rPr>
        <b/>
        <i/>
        <sz val="10.5"/>
        <rFont val="Arial"/>
        <family val="2"/>
      </rPr>
      <t>Add:</t>
    </r>
    <r>
      <rPr>
        <b/>
        <sz val="10.5"/>
        <rFont val="Arial"/>
        <family val="2"/>
      </rPr>
      <t xml:space="preserve"> Roll-overs of superannuation benefits not reflected at Step 1 or Step 2</t>
    </r>
    <r>
      <rPr>
        <sz val="10.5"/>
        <rFont val="Arial"/>
        <family val="2"/>
      </rPr>
      <t xml:space="preserve"> </t>
    </r>
  </si>
  <si>
    <r>
      <t>Step 4</t>
    </r>
    <r>
      <rPr>
        <sz val="10.5"/>
        <rFont val="Arial"/>
        <family val="2"/>
      </rPr>
      <t xml:space="preserve"> – </t>
    </r>
    <r>
      <rPr>
        <b/>
        <i/>
        <sz val="10.5"/>
        <rFont val="Arial"/>
        <family val="2"/>
      </rPr>
      <t xml:space="preserve">Add: </t>
    </r>
    <r>
      <rPr>
        <b/>
        <sz val="10.5"/>
        <rFont val="Arial"/>
        <family val="2"/>
      </rPr>
      <t xml:space="preserve">Member’s share of prescribed outstanding LRBAs </t>
    </r>
  </si>
  <si>
    <r>
      <t>Step 5</t>
    </r>
    <r>
      <rPr>
        <sz val="10.5"/>
        <rFont val="Arial"/>
        <family val="2"/>
      </rPr>
      <t xml:space="preserve"> – </t>
    </r>
    <r>
      <rPr>
        <b/>
        <i/>
        <sz val="10.5"/>
        <rFont val="Arial"/>
        <family val="2"/>
      </rPr>
      <t xml:space="preserve">Less: </t>
    </r>
    <r>
      <rPr>
        <b/>
        <sz val="10.5"/>
        <rFont val="Arial"/>
        <family val="2"/>
      </rPr>
      <t>Structured settlement contributions</t>
    </r>
    <r>
      <rPr>
        <sz val="10.5"/>
        <rFont val="Arial"/>
        <family val="2"/>
      </rPr>
      <t xml:space="preserve"> </t>
    </r>
  </si>
  <si>
    <t>Total superannuation balance</t>
  </si>
  <si>
    <t>Please check this is matching with ATO records</t>
  </si>
  <si>
    <r>
      <t></t>
    </r>
    <r>
      <rPr>
        <sz val="7"/>
        <rFont val="Times New Roman"/>
        <family val="1"/>
      </rPr>
      <t xml:space="preserve"> </t>
    </r>
    <r>
      <rPr>
        <b/>
        <i/>
        <sz val="9"/>
        <rFont val="Arial"/>
        <family val="2"/>
      </rPr>
      <t>Disregarded credits</t>
    </r>
    <r>
      <rPr>
        <i/>
        <sz val="9"/>
        <rFont val="Arial"/>
        <family val="2"/>
      </rPr>
      <t xml:space="preserve"> basically comprise the value of:</t>
    </r>
  </si>
  <si>
    <r>
      <t>·</t>
    </r>
    <r>
      <rPr>
        <sz val="7"/>
        <rFont val="Times New Roman"/>
        <family val="1"/>
      </rPr>
      <t xml:space="preserve">       </t>
    </r>
    <r>
      <rPr>
        <i/>
        <sz val="9"/>
        <rFont val="Arial"/>
        <family val="2"/>
      </rPr>
      <t>any ABPs (i.e., account-based retirement pensions) as at 30 June 2017; and</t>
    </r>
  </si>
  <si>
    <r>
      <t>·</t>
    </r>
    <r>
      <rPr>
        <sz val="7"/>
        <rFont val="Times New Roman"/>
        <family val="1"/>
      </rPr>
      <t xml:space="preserve">       </t>
    </r>
    <r>
      <rPr>
        <i/>
        <sz val="9"/>
        <rFont val="Arial"/>
        <family val="2"/>
      </rPr>
      <t xml:space="preserve">ABPs on commencement (for an income stream that commenced on or after 1 July 2017). </t>
    </r>
    <r>
      <rPr>
        <sz val="9"/>
        <rFont val="Arial"/>
        <family val="2"/>
      </rPr>
      <t xml:space="preserve"> </t>
    </r>
  </si>
  <si>
    <r>
      <t></t>
    </r>
    <r>
      <rPr>
        <sz val="7"/>
        <rFont val="Times New Roman"/>
        <family val="1"/>
      </rPr>
      <t xml:space="preserve"> </t>
    </r>
    <r>
      <rPr>
        <b/>
        <i/>
        <sz val="9"/>
        <rFont val="Arial"/>
        <family val="2"/>
      </rPr>
      <t xml:space="preserve">Disregarded debits </t>
    </r>
    <r>
      <rPr>
        <i/>
        <sz val="9"/>
        <rFont val="Arial"/>
        <family val="2"/>
      </rPr>
      <t>basically comprise debits that arise when:</t>
    </r>
  </si>
  <si>
    <r>
      <t>·</t>
    </r>
    <r>
      <rPr>
        <sz val="7"/>
        <rFont val="Times New Roman"/>
        <family val="1"/>
      </rPr>
      <t xml:space="preserve">       </t>
    </r>
    <r>
      <rPr>
        <i/>
        <sz val="9"/>
        <rFont val="Arial"/>
        <family val="2"/>
      </rPr>
      <t>an ABP is commuted;</t>
    </r>
  </si>
  <si>
    <r>
      <t>·</t>
    </r>
    <r>
      <rPr>
        <sz val="7"/>
        <rFont val="Times New Roman"/>
        <family val="1"/>
      </rPr>
      <t xml:space="preserve">       </t>
    </r>
    <r>
      <rPr>
        <i/>
        <sz val="9"/>
        <rFont val="Arial"/>
        <family val="2"/>
      </rPr>
      <t>the value of an ABP is reduced as a result of certain events occurring, such as fraud or dishonesty, payments under the Bankruptcy Act 1966, and family law payment splits (e.g., as part of a divorce);</t>
    </r>
  </si>
  <si>
    <r>
      <t>·</t>
    </r>
    <r>
      <rPr>
        <sz val="7"/>
        <rFont val="Times New Roman"/>
        <family val="1"/>
      </rPr>
      <t xml:space="preserve">       </t>
    </r>
    <r>
      <rPr>
        <i/>
        <sz val="9"/>
        <rFont val="Arial"/>
        <family val="2"/>
      </rPr>
      <t xml:space="preserve">an ABP fails to satisfy the prescribed pension standards (e.g., where a fund fails to pay the required minimum annual pension amount); and </t>
    </r>
  </si>
  <si>
    <r>
      <t>·</t>
    </r>
    <r>
      <rPr>
        <sz val="7"/>
        <rFont val="Times New Roman"/>
        <family val="1"/>
      </rPr>
      <t xml:space="preserve">       </t>
    </r>
    <r>
      <rPr>
        <i/>
        <sz val="9"/>
        <rFont val="Arial"/>
        <family val="2"/>
      </rPr>
      <t>a fund fails to comply with a commutation authority for a breach of the ‘general transfer balance cap’.</t>
    </r>
  </si>
  <si>
    <t>This is the total amount of superannuation benefits that would be payable to the individual if their account-based superannuation income stream had ceased at the relevant time (e.g., as at 30 June</t>
  </si>
  <si>
    <t>TAX TIP – More changes create even greater flexibility for super</t>
  </si>
  <si>
    <t>contributions from 1 July 2022</t>
  </si>
  <si>
    <t>More recently, further changes affecting the super contribution rules will create even greater</t>
  </si>
  <si>
    <t>flexibility with making contributions from 1 July 2022. These changes include:</t>
  </si>
  <si>
    <t>• the removal of the ‘work test’ in respect of certain voluntary contributions;</t>
  </si>
  <si>
    <t>• increasing the age limit from which the ‘bring forward rule’ for NCCs cannot be accessed from</t>
  </si>
  <si>
    <t>age 67 to age 75;</t>
  </si>
  <si>
    <t>• reducing the minimum age from which ‘downsizer contributions’ can be made (by an eligible</t>
  </si>
  <si>
    <t>individual) from age 65 to age 60; and</t>
  </si>
  <si>
    <t>TBAR MOVEMENTS</t>
  </si>
  <si>
    <t>EVENT</t>
  </si>
  <si>
    <t>DR</t>
  </si>
  <si>
    <t>TRANSFER BALANCE</t>
  </si>
  <si>
    <t>01/07/2022???</t>
  </si>
  <si>
    <t>Commence ABP</t>
  </si>
  <si>
    <t>Partial commutation</t>
  </si>
  <si>
    <t>Need to update when we are doing</t>
  </si>
  <si>
    <t>Have to report any movements to ATO</t>
  </si>
  <si>
    <t xml:space="preserve">Investment strategy </t>
  </si>
  <si>
    <t>Yes</t>
  </si>
  <si>
    <t>see 2021, signed one as part of the signature pack.</t>
  </si>
  <si>
    <t>Death benefit nomination</t>
  </si>
  <si>
    <t>No</t>
  </si>
  <si>
    <t>Advise client to do one</t>
  </si>
  <si>
    <t>Contribution age limit</t>
  </si>
  <si>
    <t xml:space="preserve">under the threshhold </t>
  </si>
  <si>
    <t>Commence pension age</t>
  </si>
  <si>
    <t>N/A</t>
  </si>
  <si>
    <t>Member components updated</t>
  </si>
  <si>
    <t>GRUND SUPER FUND</t>
  </si>
  <si>
    <t>Rollover</t>
  </si>
  <si>
    <t>From Larissa's parents</t>
  </si>
  <si>
    <t>EG accidently paid into SF BAS account and ATO refunded that money to Grund SF.</t>
  </si>
  <si>
    <t>Then SF paid this back to EG in Oct 2022.</t>
  </si>
  <si>
    <t xml:space="preserve">Life Insurabce </t>
  </si>
  <si>
    <t xml:space="preserve">Life Insurance </t>
  </si>
  <si>
    <t xml:space="preserve">no adjustment done in 2022 for the payment maded in July 22. </t>
  </si>
  <si>
    <t>Opening Balance @ 01.07.2021</t>
  </si>
  <si>
    <t>DEPN CLAIM</t>
  </si>
  <si>
    <t>New Flooring</t>
  </si>
  <si>
    <t>Cost</t>
  </si>
  <si>
    <t>Depn</t>
  </si>
  <si>
    <t>Acc. Depn</t>
  </si>
  <si>
    <t>O.Acc.Depn</t>
  </si>
  <si>
    <t>Total Equity @30.06.2022</t>
  </si>
  <si>
    <t>(901-84-1445)</t>
  </si>
  <si>
    <t>ITA as at 01/07</t>
  </si>
  <si>
    <t>Tax 2022</t>
  </si>
  <si>
    <t>Super levy</t>
  </si>
  <si>
    <t>PAYGI 22</t>
  </si>
  <si>
    <t>As per ledger</t>
  </si>
  <si>
    <t>Adj for accrual</t>
  </si>
  <si>
    <t>Rent receivable</t>
  </si>
  <si>
    <t>on cash basis</t>
  </si>
  <si>
    <t>Net payable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</si>
</sst>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_);[Red]\(&quot;$&quot;#,##0.00\)"/>
    <numFmt numFmtId="165" formatCode="_-* #,##0_-;\-* #,##0_-;_-* &quot;-&quot;??_-;_-@_-"/>
    <numFmt numFmtId="166" formatCode="&quot;$&quot;#,##0.00;[Red]\(&quot;$&quot;#,##0.00\)"/>
    <numFmt numFmtId="167" formatCode="d/mm/yyyy;@"/>
    <numFmt numFmtId="168" formatCode="#,##0.000"/>
    <numFmt numFmtId="169" formatCode="&quot;$&quot;#,##0.00"/>
    <numFmt numFmtId="170" formatCode="d/m/yyyy;@"/>
    <numFmt numFmtId="171" formatCode="&quot;$&quot;#,##0.00;[Red]&quot;$&quot;#,##0.00"/>
    <numFmt numFmtId="172" formatCode="#,##0.00_ ;\-#,##0.00\ 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8"/>
      <name val="Arial"/>
      <family val="2"/>
    </font>
    <font>
      <b/>
      <sz val="10"/>
      <color indexed="16"/>
      <name val="Times New Roman"/>
      <family val="1"/>
    </font>
    <font>
      <b/>
      <sz val="8"/>
      <color indexed="16"/>
      <name val="Times New Roman"/>
      <family val="1"/>
    </font>
    <font>
      <i/>
      <sz val="9"/>
      <name val="Times New Roman"/>
      <family val="1"/>
    </font>
    <font>
      <i/>
      <sz val="8"/>
      <name val="Times New Roman"/>
      <family val="1"/>
    </font>
    <font>
      <b/>
      <sz val="16"/>
      <color indexed="16"/>
      <name val="Times New Roman"/>
      <family val="1"/>
    </font>
    <font>
      <b/>
      <sz val="9"/>
      <color indexed="16"/>
      <name val="Times New Roman"/>
      <family val="1"/>
    </font>
    <font>
      <b/>
      <sz val="10"/>
      <color indexed="9"/>
      <name val="Times New Roman"/>
      <family val="1"/>
    </font>
    <font>
      <sz val="9"/>
      <name val="Arial"/>
      <family val="2"/>
    </font>
    <font>
      <sz val="8"/>
      <color indexed="56"/>
      <name val="Arial"/>
      <family val="2"/>
    </font>
    <font>
      <b/>
      <sz val="10"/>
      <name val="Arial"/>
      <family val="2"/>
    </font>
    <font>
      <sz val="8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sz val="10"/>
      <color rgb="FFFF000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18"/>
      <name val="Arial"/>
      <family val="2"/>
    </font>
    <font>
      <b/>
      <sz val="8"/>
      <name val="Arial"/>
      <family val="2"/>
    </font>
    <font>
      <u/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0"/>
      <name val="Arial"/>
    </font>
    <font>
      <sz val="9"/>
      <color rgb="FFFF0000"/>
      <name val="Arial"/>
      <family val="2"/>
    </font>
    <font>
      <b/>
      <sz val="10.5"/>
      <name val="Arial"/>
      <family val="2"/>
    </font>
    <font>
      <sz val="10.5"/>
      <name val="Arial"/>
      <family val="2"/>
    </font>
    <font>
      <b/>
      <u/>
      <sz val="10.5"/>
      <name val="Arial"/>
      <family val="2"/>
    </font>
    <font>
      <sz val="9"/>
      <name val="Symbol"/>
      <family val="1"/>
      <charset val="2"/>
    </font>
    <font>
      <sz val="7"/>
      <name val="Times New Roman"/>
      <family val="1"/>
    </font>
    <font>
      <b/>
      <i/>
      <sz val="10.5"/>
      <name val="Arial"/>
      <family val="2"/>
    </font>
    <font>
      <sz val="10"/>
      <name val="Wingdings"/>
      <charset val="2"/>
    </font>
    <font>
      <b/>
      <i/>
      <sz val="12"/>
      <name val="Cambria"/>
      <family val="1"/>
    </font>
    <font>
      <sz val="12"/>
      <name val="Cambria"/>
      <family val="1"/>
    </font>
    <font>
      <b/>
      <i/>
      <sz val="9"/>
      <name val="Arial"/>
      <family val="2"/>
    </font>
    <font>
      <i/>
      <sz val="9"/>
      <name val="Arial"/>
      <family val="2"/>
    </font>
    <font>
      <i/>
      <sz val="9"/>
      <name val="Cambria"/>
      <family val="1"/>
    </font>
  </fonts>
  <fills count="4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4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indexed="64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70">
    <xf numFmtId="0" fontId="0" fillId="0" borderId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1" fillId="29" borderId="0" applyNumberFormat="0" applyBorder="0" applyAlignment="0" applyProtection="0"/>
    <xf numFmtId="0" fontId="22" fillId="30" borderId="11" applyNumberFormat="0" applyAlignment="0" applyProtection="0"/>
    <xf numFmtId="0" fontId="23" fillId="31" borderId="12" applyNumberFormat="0" applyAlignment="0" applyProtection="0"/>
    <xf numFmtId="0" fontId="24" fillId="0" borderId="0" applyNumberFormat="0" applyFill="0" applyBorder="0" applyAlignment="0" applyProtection="0"/>
    <xf numFmtId="0" fontId="25" fillId="32" borderId="0" applyNumberFormat="0" applyBorder="0" applyAlignment="0" applyProtection="0"/>
    <xf numFmtId="0" fontId="26" fillId="0" borderId="13" applyNumberFormat="0" applyFill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33" borderId="11" applyNumberFormat="0" applyAlignment="0" applyProtection="0"/>
    <xf numFmtId="0" fontId="31" fillId="0" borderId="16" applyNumberFormat="0" applyFill="0" applyAlignment="0" applyProtection="0"/>
    <xf numFmtId="0" fontId="32" fillId="34" borderId="0" applyNumberFormat="0" applyBorder="0" applyAlignment="0" applyProtection="0"/>
    <xf numFmtId="0" fontId="19" fillId="0" borderId="0"/>
    <xf numFmtId="0" fontId="19" fillId="35" borderId="17" applyNumberFormat="0" applyFont="0" applyAlignment="0" applyProtection="0"/>
    <xf numFmtId="0" fontId="33" fillId="30" borderId="18" applyNumberFormat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3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5" fillId="0" borderId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44" fontId="4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50" fillId="0" borderId="0" applyNumberForma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35" borderId="17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35" borderId="17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35" borderId="17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35" borderId="17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35" borderId="17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35" borderId="17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35" borderId="17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35" borderId="17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35" borderId="17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17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17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17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17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17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17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17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337">
    <xf numFmtId="0" fontId="0" fillId="0" borderId="0" xfId="0"/>
    <xf numFmtId="0" fontId="0" fillId="2" borderId="0" xfId="0" applyFill="1"/>
    <xf numFmtId="0" fontId="7" fillId="2" borderId="0" xfId="0" applyFont="1" applyFill="1" applyAlignment="1">
      <alignment horizontal="left"/>
    </xf>
    <xf numFmtId="0" fontId="7" fillId="2" borderId="0" xfId="0" applyFont="1" applyFill="1"/>
    <xf numFmtId="0" fontId="7" fillId="2" borderId="0" xfId="0" applyFont="1" applyFill="1" applyAlignment="1">
      <alignment horizontal="right"/>
    </xf>
    <xf numFmtId="0" fontId="0" fillId="3" borderId="1" xfId="0" applyFill="1" applyBorder="1"/>
    <xf numFmtId="0" fontId="7" fillId="3" borderId="1" xfId="0" applyFont="1" applyFill="1" applyBorder="1" applyAlignment="1">
      <alignment horizontal="centerContinuous"/>
    </xf>
    <xf numFmtId="49" fontId="8" fillId="3" borderId="1" xfId="0" applyNumberFormat="1" applyFont="1" applyFill="1" applyBorder="1" applyAlignment="1">
      <alignment horizontal="centerContinuous"/>
    </xf>
    <xf numFmtId="0" fontId="7" fillId="3" borderId="1" xfId="0" applyFont="1" applyFill="1" applyBorder="1"/>
    <xf numFmtId="0" fontId="9" fillId="3" borderId="2" xfId="0" applyFont="1" applyFill="1" applyBorder="1" applyAlignment="1">
      <alignment horizontal="right"/>
    </xf>
    <xf numFmtId="0" fontId="0" fillId="3" borderId="0" xfId="0" applyFill="1"/>
    <xf numFmtId="0" fontId="7" fillId="3" borderId="0" xfId="0" applyFont="1" applyFill="1" applyAlignment="1">
      <alignment horizontal="centerContinuous"/>
    </xf>
    <xf numFmtId="49" fontId="10" fillId="3" borderId="0" xfId="0" applyNumberFormat="1" applyFont="1" applyFill="1" applyAlignment="1">
      <alignment horizontal="centerContinuous"/>
    </xf>
    <xf numFmtId="0" fontId="7" fillId="3" borderId="0" xfId="0" applyFont="1" applyFill="1"/>
    <xf numFmtId="0" fontId="11" fillId="3" borderId="3" xfId="0" applyFont="1" applyFill="1" applyBorder="1" applyAlignment="1">
      <alignment horizontal="right"/>
    </xf>
    <xf numFmtId="49" fontId="12" fillId="3" borderId="0" xfId="0" applyNumberFormat="1" applyFont="1" applyFill="1" applyAlignment="1">
      <alignment horizontal="centerContinuous"/>
    </xf>
    <xf numFmtId="0" fontId="0" fillId="3" borderId="3" xfId="0" applyFill="1" applyBorder="1" applyAlignment="1">
      <alignment horizontal="right"/>
    </xf>
    <xf numFmtId="49" fontId="13" fillId="3" borderId="0" xfId="0" applyNumberFormat="1" applyFont="1" applyFill="1" applyAlignment="1">
      <alignment horizontal="centerContinuous"/>
    </xf>
    <xf numFmtId="0" fontId="7" fillId="3" borderId="3" xfId="0" applyFont="1" applyFill="1" applyBorder="1" applyAlignment="1">
      <alignment horizontal="right"/>
    </xf>
    <xf numFmtId="0" fontId="7" fillId="3" borderId="0" xfId="0" applyFont="1" applyFill="1" applyAlignment="1">
      <alignment horizontal="left"/>
    </xf>
    <xf numFmtId="49" fontId="14" fillId="4" borderId="4" xfId="0" applyNumberFormat="1" applyFont="1" applyFill="1" applyBorder="1" applyAlignment="1">
      <alignment horizontal="center"/>
    </xf>
    <xf numFmtId="49" fontId="14" fillId="4" borderId="0" xfId="0" applyNumberFormat="1" applyFont="1" applyFill="1" applyAlignment="1">
      <alignment horizontal="center"/>
    </xf>
    <xf numFmtId="49" fontId="16" fillId="4" borderId="5" xfId="0" applyNumberFormat="1" applyFont="1" applyFill="1" applyBorder="1"/>
    <xf numFmtId="0" fontId="16" fillId="4" borderId="6" xfId="0" applyFont="1" applyFill="1" applyBorder="1" applyAlignment="1">
      <alignment horizontal="left"/>
    </xf>
    <xf numFmtId="0" fontId="16" fillId="4" borderId="6" xfId="0" applyFont="1" applyFill="1" applyBorder="1"/>
    <xf numFmtId="0" fontId="16" fillId="4" borderId="6" xfId="0" applyFont="1" applyFill="1" applyBorder="1" applyAlignment="1">
      <alignment horizontal="right"/>
    </xf>
    <xf numFmtId="0" fontId="16" fillId="4" borderId="7" xfId="0" applyFont="1" applyFill="1" applyBorder="1" applyAlignment="1">
      <alignment horizontal="right"/>
    </xf>
    <xf numFmtId="0" fontId="7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164" fontId="0" fillId="0" borderId="0" xfId="0" applyNumberFormat="1"/>
    <xf numFmtId="0" fontId="8" fillId="3" borderId="1" xfId="0" applyFont="1" applyFill="1" applyBorder="1" applyAlignment="1">
      <alignment horizontal="centerContinuous"/>
    </xf>
    <xf numFmtId="0" fontId="10" fillId="3" borderId="0" xfId="0" applyFont="1" applyFill="1" applyAlignment="1">
      <alignment horizontal="centerContinuous"/>
    </xf>
    <xf numFmtId="0" fontId="12" fillId="3" borderId="0" xfId="0" applyFont="1" applyFill="1" applyAlignment="1">
      <alignment horizontal="centerContinuous"/>
    </xf>
    <xf numFmtId="0" fontId="13" fillId="3" borderId="0" xfId="0" applyFont="1" applyFill="1" applyAlignment="1">
      <alignment horizontal="centerContinuous"/>
    </xf>
    <xf numFmtId="49" fontId="15" fillId="2" borderId="4" xfId="0" applyNumberFormat="1" applyFont="1" applyFill="1" applyBorder="1" applyAlignment="1">
      <alignment horizontal="right" vertical="top" wrapText="1"/>
    </xf>
    <xf numFmtId="164" fontId="15" fillId="2" borderId="0" xfId="0" applyNumberFormat="1" applyFont="1" applyFill="1" applyAlignment="1">
      <alignment horizontal="right" vertical="top"/>
    </xf>
    <xf numFmtId="164" fontId="15" fillId="2" borderId="3" xfId="0" applyNumberFormat="1" applyFont="1" applyFill="1" applyBorder="1" applyAlignment="1">
      <alignment horizontal="right" vertical="top"/>
    </xf>
    <xf numFmtId="0" fontId="17" fillId="0" borderId="0" xfId="0" applyFont="1"/>
    <xf numFmtId="49" fontId="14" fillId="4" borderId="3" xfId="0" applyNumberFormat="1" applyFont="1" applyFill="1" applyBorder="1" applyAlignment="1">
      <alignment horizontal="center"/>
    </xf>
    <xf numFmtId="49" fontId="15" fillId="2" borderId="4" xfId="0" applyNumberFormat="1" applyFont="1" applyFill="1" applyBorder="1" applyAlignment="1">
      <alignment vertical="top" wrapText="1"/>
    </xf>
    <xf numFmtId="0" fontId="15" fillId="0" borderId="4" xfId="0" applyFont="1" applyBorder="1" applyAlignment="1">
      <alignment vertical="top" wrapText="1"/>
    </xf>
    <xf numFmtId="0" fontId="7" fillId="0" borderId="4" xfId="0" applyFont="1" applyBorder="1"/>
    <xf numFmtId="0" fontId="0" fillId="36" borderId="8" xfId="0" applyFill="1" applyBorder="1"/>
    <xf numFmtId="0" fontId="0" fillId="36" borderId="0" xfId="0" applyFill="1"/>
    <xf numFmtId="0" fontId="7" fillId="0" borderId="3" xfId="0" applyFont="1" applyBorder="1"/>
    <xf numFmtId="0" fontId="17" fillId="2" borderId="3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0" fontId="7" fillId="0" borderId="3" xfId="0" applyFont="1" applyBorder="1" applyAlignment="1">
      <alignment vertical="top" wrapText="1"/>
    </xf>
    <xf numFmtId="0" fontId="0" fillId="36" borderId="9" xfId="0" applyFill="1" applyBorder="1"/>
    <xf numFmtId="49" fontId="15" fillId="37" borderId="4" xfId="0" applyNumberFormat="1" applyFont="1" applyFill="1" applyBorder="1" applyAlignment="1">
      <alignment horizontal="right" vertical="top" wrapText="1"/>
    </xf>
    <xf numFmtId="0" fontId="18" fillId="3" borderId="0" xfId="0" applyFont="1" applyFill="1" applyAlignment="1">
      <alignment horizontal="right"/>
    </xf>
    <xf numFmtId="164" fontId="15" fillId="38" borderId="0" xfId="0" applyNumberFormat="1" applyFont="1" applyFill="1" applyAlignment="1">
      <alignment horizontal="right" vertical="top"/>
    </xf>
    <xf numFmtId="0" fontId="0" fillId="0" borderId="10" xfId="0" applyBorder="1"/>
    <xf numFmtId="0" fontId="4" fillId="0" borderId="10" xfId="0" applyFont="1" applyBorder="1"/>
    <xf numFmtId="0" fontId="4" fillId="0" borderId="10" xfId="0" applyFont="1" applyBorder="1" applyAlignment="1">
      <alignment horizontal="center"/>
    </xf>
    <xf numFmtId="15" fontId="4" fillId="0" borderId="10" xfId="0" applyNumberFormat="1" applyFont="1" applyBorder="1"/>
    <xf numFmtId="0" fontId="17" fillId="0" borderId="10" xfId="0" applyFont="1" applyBorder="1" applyAlignment="1">
      <alignment horizontal="center"/>
    </xf>
    <xf numFmtId="0" fontId="5" fillId="0" borderId="10" xfId="0" applyFont="1" applyBorder="1"/>
    <xf numFmtId="0" fontId="0" fillId="0" borderId="10" xfId="0" applyBorder="1" applyAlignment="1">
      <alignment horizontal="right"/>
    </xf>
    <xf numFmtId="0" fontId="37" fillId="0" borderId="10" xfId="0" applyFont="1" applyBorder="1"/>
    <xf numFmtId="0" fontId="6" fillId="0" borderId="0" xfId="0" applyFont="1"/>
    <xf numFmtId="0" fontId="37" fillId="0" borderId="0" xfId="0" applyFont="1"/>
    <xf numFmtId="0" fontId="5" fillId="0" borderId="0" xfId="0" applyFont="1"/>
    <xf numFmtId="0" fontId="6" fillId="0" borderId="20" xfId="0" applyFont="1" applyBorder="1"/>
    <xf numFmtId="15" fontId="37" fillId="0" borderId="10" xfId="0" applyNumberFormat="1" applyFont="1" applyBorder="1"/>
    <xf numFmtId="0" fontId="38" fillId="0" borderId="0" xfId="44" applyFill="1"/>
    <xf numFmtId="0" fontId="38" fillId="0" borderId="10" xfId="44" applyBorder="1"/>
    <xf numFmtId="0" fontId="38" fillId="0" borderId="10" xfId="44" applyBorder="1" applyAlignment="1">
      <alignment horizontal="right"/>
    </xf>
    <xf numFmtId="14" fontId="0" fillId="0" borderId="0" xfId="0" applyNumberFormat="1"/>
    <xf numFmtId="0" fontId="3" fillId="0" borderId="0" xfId="0" applyFont="1"/>
    <xf numFmtId="49" fontId="14" fillId="0" borderId="0" xfId="0" applyNumberFormat="1" applyFont="1" applyAlignment="1">
      <alignment horizontal="center"/>
    </xf>
    <xf numFmtId="49" fontId="15" fillId="2" borderId="22" xfId="0" applyNumberFormat="1" applyFont="1" applyFill="1" applyBorder="1" applyAlignment="1">
      <alignment horizontal="left" vertical="top" wrapText="1"/>
    </xf>
    <xf numFmtId="164" fontId="15" fillId="0" borderId="0" xfId="0" applyNumberFormat="1" applyFont="1" applyAlignment="1">
      <alignment vertical="top" wrapText="1"/>
    </xf>
    <xf numFmtId="49" fontId="15" fillId="2" borderId="22" xfId="0" applyNumberFormat="1" applyFont="1" applyFill="1" applyBorder="1" applyAlignment="1">
      <alignment horizontal="left" vertical="top"/>
    </xf>
    <xf numFmtId="166" fontId="15" fillId="2" borderId="22" xfId="0" applyNumberFormat="1" applyFont="1" applyFill="1" applyBorder="1" applyAlignment="1">
      <alignment horizontal="right" vertical="top"/>
    </xf>
    <xf numFmtId="49" fontId="15" fillId="2" borderId="22" xfId="0" applyNumberFormat="1" applyFont="1" applyFill="1" applyBorder="1" applyAlignment="1">
      <alignment horizontal="right" vertical="top"/>
    </xf>
    <xf numFmtId="0" fontId="14" fillId="0" borderId="0" xfId="0" applyFont="1" applyAlignment="1">
      <alignment horizontal="center"/>
    </xf>
    <xf numFmtId="49" fontId="15" fillId="0" borderId="0" xfId="0" applyNumberFormat="1" applyFont="1" applyAlignment="1">
      <alignment horizontal="right" vertical="top" wrapText="1"/>
    </xf>
    <xf numFmtId="49" fontId="17" fillId="39" borderId="29" xfId="0" applyNumberFormat="1" applyFont="1" applyFill="1" applyBorder="1" applyAlignment="1">
      <alignment horizontal="center"/>
    </xf>
    <xf numFmtId="49" fontId="16" fillId="39" borderId="30" xfId="0" applyNumberFormat="1" applyFont="1" applyFill="1" applyBorder="1"/>
    <xf numFmtId="49" fontId="16" fillId="39" borderId="31" xfId="0" applyNumberFormat="1" applyFont="1" applyFill="1" applyBorder="1"/>
    <xf numFmtId="49" fontId="15" fillId="0" borderId="0" xfId="0" applyNumberFormat="1" applyFont="1" applyAlignment="1">
      <alignment horizontal="left" vertical="top" wrapText="1"/>
    </xf>
    <xf numFmtId="164" fontId="15" fillId="0" borderId="0" xfId="0" applyNumberFormat="1" applyFont="1" applyAlignment="1">
      <alignment horizontal="right" vertical="top" wrapText="1"/>
    </xf>
    <xf numFmtId="0" fontId="17" fillId="0" borderId="0" xfId="0" applyFont="1" applyAlignment="1">
      <alignment horizontal="center"/>
    </xf>
    <xf numFmtId="166" fontId="15" fillId="0" borderId="0" xfId="0" applyNumberFormat="1" applyFont="1" applyAlignment="1">
      <alignment horizontal="right" vertical="top" wrapText="1"/>
    </xf>
    <xf numFmtId="166" fontId="41" fillId="0" borderId="0" xfId="0" applyNumberFormat="1" applyFont="1" applyAlignment="1">
      <alignment horizontal="right" vertical="top" wrapText="1"/>
    </xf>
    <xf numFmtId="49" fontId="16" fillId="0" borderId="0" xfId="0" applyNumberFormat="1" applyFont="1"/>
    <xf numFmtId="0" fontId="16" fillId="0" borderId="0" xfId="0" applyFont="1"/>
    <xf numFmtId="0" fontId="43" fillId="0" borderId="0" xfId="0" applyFont="1"/>
    <xf numFmtId="49" fontId="17" fillId="0" borderId="0" xfId="0" applyNumberFormat="1" applyFont="1" applyAlignment="1">
      <alignment horizontal="center"/>
    </xf>
    <xf numFmtId="0" fontId="3" fillId="0" borderId="24" xfId="0" applyFont="1" applyBorder="1"/>
    <xf numFmtId="49" fontId="14" fillId="0" borderId="24" xfId="0" applyNumberFormat="1" applyFont="1" applyBorder="1" applyAlignment="1">
      <alignment horizontal="center"/>
    </xf>
    <xf numFmtId="49" fontId="15" fillId="0" borderId="0" xfId="0" applyNumberFormat="1" applyFont="1" applyAlignment="1">
      <alignment vertical="top"/>
    </xf>
    <xf numFmtId="43" fontId="0" fillId="0" borderId="0" xfId="45" applyFont="1"/>
    <xf numFmtId="43" fontId="17" fillId="0" borderId="0" xfId="45" applyFont="1"/>
    <xf numFmtId="10" fontId="0" fillId="0" borderId="0" xfId="49" applyNumberFormat="1" applyFont="1"/>
    <xf numFmtId="10" fontId="17" fillId="0" borderId="0" xfId="49" applyNumberFormat="1" applyFont="1"/>
    <xf numFmtId="43" fontId="5" fillId="0" borderId="0" xfId="45"/>
    <xf numFmtId="43" fontId="17" fillId="0" borderId="31" xfId="0" applyNumberFormat="1" applyFont="1" applyBorder="1"/>
    <xf numFmtId="43" fontId="17" fillId="0" borderId="31" xfId="45" applyFont="1" applyBorder="1"/>
    <xf numFmtId="43" fontId="0" fillId="0" borderId="0" xfId="0" applyNumberFormat="1"/>
    <xf numFmtId="43" fontId="0" fillId="0" borderId="27" xfId="45" applyFont="1" applyBorder="1"/>
    <xf numFmtId="0" fontId="46" fillId="0" borderId="0" xfId="0" applyFont="1" applyAlignment="1">
      <alignment horizontal="right"/>
    </xf>
    <xf numFmtId="43" fontId="0" fillId="0" borderId="33" xfId="45" applyFont="1" applyBorder="1"/>
    <xf numFmtId="0" fontId="47" fillId="0" borderId="0" xfId="0" applyFont="1" applyAlignment="1">
      <alignment horizontal="left" indent="1"/>
    </xf>
    <xf numFmtId="43" fontId="17" fillId="0" borderId="27" xfId="45" applyFont="1" applyBorder="1"/>
    <xf numFmtId="0" fontId="17" fillId="40" borderId="0" xfId="0" applyFont="1" applyFill="1"/>
    <xf numFmtId="43" fontId="17" fillId="40" borderId="0" xfId="45" applyFont="1" applyFill="1"/>
    <xf numFmtId="0" fontId="5" fillId="0" borderId="0" xfId="0" applyFont="1" applyAlignment="1">
      <alignment horizontal="right"/>
    </xf>
    <xf numFmtId="43" fontId="17" fillId="0" borderId="0" xfId="0" applyNumberFormat="1" applyFont="1"/>
    <xf numFmtId="43" fontId="0" fillId="0" borderId="0" xfId="48" applyFont="1"/>
    <xf numFmtId="0" fontId="42" fillId="0" borderId="0" xfId="0" applyFont="1"/>
    <xf numFmtId="10" fontId="0" fillId="0" borderId="0" xfId="0" applyNumberFormat="1"/>
    <xf numFmtId="44" fontId="0" fillId="0" borderId="0" xfId="50" applyFont="1"/>
    <xf numFmtId="0" fontId="3" fillId="0" borderId="0" xfId="0" applyFont="1" applyAlignment="1">
      <alignment horizontal="left"/>
    </xf>
    <xf numFmtId="0" fontId="3" fillId="0" borderId="28" xfId="0" applyFont="1" applyBorder="1" applyAlignment="1">
      <alignment horizontal="right"/>
    </xf>
    <xf numFmtId="0" fontId="17" fillId="39" borderId="29" xfId="0" applyFont="1" applyFill="1" applyBorder="1" applyAlignment="1">
      <alignment horizontal="center"/>
    </xf>
    <xf numFmtId="49" fontId="15" fillId="0" borderId="24" xfId="0" applyNumberFormat="1" applyFont="1" applyBorder="1" applyAlignment="1">
      <alignment horizontal="right" vertical="top" wrapText="1"/>
    </xf>
    <xf numFmtId="164" fontId="15" fillId="0" borderId="0" xfId="0" applyNumberFormat="1" applyFont="1" applyAlignment="1">
      <alignment horizontal="right" vertical="top"/>
    </xf>
    <xf numFmtId="0" fontId="16" fillId="39" borderId="31" xfId="0" applyFont="1" applyFill="1" applyBorder="1" applyAlignment="1">
      <alignment horizontal="left"/>
    </xf>
    <xf numFmtId="0" fontId="16" fillId="39" borderId="31" xfId="0" applyFont="1" applyFill="1" applyBorder="1"/>
    <xf numFmtId="0" fontId="16" fillId="39" borderId="32" xfId="0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17" fillId="39" borderId="29" xfId="0" applyFont="1" applyFill="1" applyBorder="1" applyAlignment="1">
      <alignment horizontal="right"/>
    </xf>
    <xf numFmtId="0" fontId="14" fillId="0" borderId="28" xfId="0" applyFont="1" applyBorder="1" applyAlignment="1">
      <alignment horizontal="right"/>
    </xf>
    <xf numFmtId="49" fontId="15" fillId="2" borderId="21" xfId="0" applyNumberFormat="1" applyFont="1" applyFill="1" applyBorder="1" applyAlignment="1">
      <alignment horizontal="left" vertical="top" wrapText="1"/>
    </xf>
    <xf numFmtId="49" fontId="15" fillId="2" borderId="23" xfId="0" applyNumberFormat="1" applyFont="1" applyFill="1" applyBorder="1" applyAlignment="1">
      <alignment horizontal="left" vertical="top"/>
    </xf>
    <xf numFmtId="164" fontId="15" fillId="0" borderId="0" xfId="0" applyNumberFormat="1" applyFont="1" applyAlignment="1">
      <alignment horizontal="left" vertical="top"/>
    </xf>
    <xf numFmtId="49" fontId="15" fillId="0" borderId="0" xfId="0" applyNumberFormat="1" applyFont="1" applyAlignment="1">
      <alignment horizontal="right" vertical="top"/>
    </xf>
    <xf numFmtId="49" fontId="15" fillId="0" borderId="28" xfId="0" applyNumberFormat="1" applyFont="1" applyBorder="1" applyAlignment="1">
      <alignment horizontal="left" vertical="top"/>
    </xf>
    <xf numFmtId="165" fontId="49" fillId="0" borderId="0" xfId="45" applyNumberFormat="1" applyFont="1" applyBorder="1"/>
    <xf numFmtId="43" fontId="0" fillId="0" borderId="9" xfId="48" applyFont="1" applyBorder="1"/>
    <xf numFmtId="0" fontId="19" fillId="0" borderId="0" xfId="38"/>
    <xf numFmtId="0" fontId="19" fillId="0" borderId="0" xfId="38" applyAlignment="1">
      <alignment horizontal="center"/>
    </xf>
    <xf numFmtId="167" fontId="19" fillId="0" borderId="0" xfId="38" applyNumberFormat="1"/>
    <xf numFmtId="3" fontId="37" fillId="0" borderId="0" xfId="38" applyNumberFormat="1" applyFont="1"/>
    <xf numFmtId="168" fontId="37" fillId="0" borderId="0" xfId="38" applyNumberFormat="1" applyFont="1"/>
    <xf numFmtId="4" fontId="37" fillId="0" borderId="0" xfId="38" applyNumberFormat="1" applyFont="1"/>
    <xf numFmtId="4" fontId="5" fillId="0" borderId="0" xfId="38" applyNumberFormat="1" applyFont="1" applyAlignment="1">
      <alignment horizontal="right"/>
    </xf>
    <xf numFmtId="170" fontId="5" fillId="0" borderId="0" xfId="38" applyNumberFormat="1" applyFont="1" applyAlignment="1">
      <alignment horizontal="left"/>
    </xf>
    <xf numFmtId="169" fontId="19" fillId="0" borderId="0" xfId="38" applyNumberFormat="1"/>
    <xf numFmtId="168" fontId="19" fillId="0" borderId="0" xfId="38" applyNumberFormat="1"/>
    <xf numFmtId="4" fontId="19" fillId="0" borderId="0" xfId="38" applyNumberFormat="1"/>
    <xf numFmtId="3" fontId="19" fillId="0" borderId="0" xfId="38" applyNumberFormat="1"/>
    <xf numFmtId="0" fontId="17" fillId="0" borderId="0" xfId="38" applyFont="1" applyAlignment="1">
      <alignment horizontal="left"/>
    </xf>
    <xf numFmtId="0" fontId="19" fillId="0" borderId="34" xfId="38" applyBorder="1"/>
    <xf numFmtId="167" fontId="19" fillId="0" borderId="34" xfId="38" applyNumberFormat="1" applyBorder="1"/>
    <xf numFmtId="3" fontId="19" fillId="0" borderId="34" xfId="38" applyNumberFormat="1" applyBorder="1"/>
    <xf numFmtId="168" fontId="19" fillId="0" borderId="34" xfId="38" applyNumberFormat="1" applyBorder="1"/>
    <xf numFmtId="4" fontId="19" fillId="0" borderId="34" xfId="38" applyNumberFormat="1" applyBorder="1"/>
    <xf numFmtId="0" fontId="52" fillId="0" borderId="34" xfId="38" applyFont="1" applyBorder="1" applyAlignment="1">
      <alignment horizontal="center"/>
    </xf>
    <xf numFmtId="0" fontId="52" fillId="0" borderId="34" xfId="38" applyFont="1" applyBorder="1" applyAlignment="1">
      <alignment horizontal="center" wrapText="1"/>
    </xf>
    <xf numFmtId="167" fontId="52" fillId="0" borderId="0" xfId="38" applyNumberFormat="1" applyFont="1" applyAlignment="1">
      <alignment horizontal="center"/>
    </xf>
    <xf numFmtId="3" fontId="52" fillId="0" borderId="0" xfId="38" applyNumberFormat="1" applyFont="1" applyAlignment="1">
      <alignment horizontal="center"/>
    </xf>
    <xf numFmtId="168" fontId="52" fillId="0" borderId="0" xfId="38" applyNumberFormat="1" applyFont="1" applyAlignment="1">
      <alignment horizontal="center"/>
    </xf>
    <xf numFmtId="4" fontId="52" fillId="0" borderId="0" xfId="38" applyNumberFormat="1" applyFont="1" applyAlignment="1">
      <alignment horizontal="center"/>
    </xf>
    <xf numFmtId="0" fontId="52" fillId="0" borderId="0" xfId="38" applyFont="1" applyAlignment="1">
      <alignment horizontal="center" wrapText="1"/>
    </xf>
    <xf numFmtId="169" fontId="52" fillId="0" borderId="0" xfId="38" applyNumberFormat="1" applyFont="1" applyAlignment="1">
      <alignment horizontal="center"/>
    </xf>
    <xf numFmtId="0" fontId="19" fillId="0" borderId="35" xfId="38" applyBorder="1"/>
    <xf numFmtId="167" fontId="52" fillId="0" borderId="35" xfId="38" applyNumberFormat="1" applyFont="1" applyBorder="1" applyAlignment="1">
      <alignment horizontal="center"/>
    </xf>
    <xf numFmtId="3" fontId="52" fillId="0" borderId="35" xfId="38" applyNumberFormat="1" applyFont="1" applyBorder="1" applyAlignment="1">
      <alignment horizontal="center"/>
    </xf>
    <xf numFmtId="168" fontId="52" fillId="0" borderId="35" xfId="38" applyNumberFormat="1" applyFont="1" applyBorder="1" applyAlignment="1">
      <alignment horizontal="center"/>
    </xf>
    <xf numFmtId="4" fontId="52" fillId="0" borderId="35" xfId="38" applyNumberFormat="1" applyFont="1" applyBorder="1" applyAlignment="1">
      <alignment horizontal="center"/>
    </xf>
    <xf numFmtId="3" fontId="52" fillId="0" borderId="35" xfId="38" applyNumberFormat="1" applyFont="1" applyBorder="1" applyAlignment="1">
      <alignment horizontal="center" wrapText="1"/>
    </xf>
    <xf numFmtId="169" fontId="52" fillId="0" borderId="35" xfId="38" applyNumberFormat="1" applyFont="1" applyBorder="1" applyAlignment="1">
      <alignment horizontal="center"/>
    </xf>
    <xf numFmtId="0" fontId="5" fillId="0" borderId="0" xfId="38" applyFont="1"/>
    <xf numFmtId="168" fontId="17" fillId="0" borderId="0" xfId="38" applyNumberFormat="1" applyFont="1" applyAlignment="1">
      <alignment horizontal="right"/>
    </xf>
    <xf numFmtId="3" fontId="19" fillId="0" borderId="36" xfId="38" applyNumberFormat="1" applyBorder="1"/>
    <xf numFmtId="169" fontId="3" fillId="0" borderId="0" xfId="38" applyNumberFormat="1" applyFont="1" applyAlignment="1">
      <alignment horizontal="right"/>
    </xf>
    <xf numFmtId="3" fontId="19" fillId="0" borderId="9" xfId="38" applyNumberFormat="1" applyBorder="1"/>
    <xf numFmtId="0" fontId="19" fillId="0" borderId="9" xfId="38" applyBorder="1"/>
    <xf numFmtId="168" fontId="19" fillId="0" borderId="9" xfId="38" applyNumberFormat="1" applyBorder="1"/>
    <xf numFmtId="3" fontId="54" fillId="0" borderId="0" xfId="38" applyNumberFormat="1" applyFont="1"/>
    <xf numFmtId="0" fontId="37" fillId="0" borderId="0" xfId="38" applyFont="1" applyAlignment="1">
      <alignment horizontal="left"/>
    </xf>
    <xf numFmtId="0" fontId="52" fillId="0" borderId="0" xfId="38" applyFont="1" applyAlignment="1">
      <alignment horizontal="center"/>
    </xf>
    <xf numFmtId="167" fontId="37" fillId="0" borderId="0" xfId="38" applyNumberFormat="1" applyFont="1"/>
    <xf numFmtId="0" fontId="53" fillId="0" borderId="0" xfId="38" applyFont="1"/>
    <xf numFmtId="3" fontId="51" fillId="0" borderId="0" xfId="38" applyNumberFormat="1" applyFont="1"/>
    <xf numFmtId="167" fontId="19" fillId="0" borderId="0" xfId="38" applyNumberFormat="1" applyAlignment="1">
      <alignment horizontal="center"/>
    </xf>
    <xf numFmtId="168" fontId="51" fillId="0" borderId="0" xfId="38" applyNumberFormat="1" applyFont="1"/>
    <xf numFmtId="4" fontId="51" fillId="0" borderId="0" xfId="38" applyNumberFormat="1" applyFont="1"/>
    <xf numFmtId="4" fontId="19" fillId="0" borderId="0" xfId="38" applyNumberFormat="1" applyAlignment="1">
      <alignment horizontal="right"/>
    </xf>
    <xf numFmtId="4" fontId="5" fillId="0" borderId="0" xfId="38" applyNumberFormat="1" applyFont="1" applyAlignment="1">
      <alignment horizontal="left"/>
    </xf>
    <xf numFmtId="10" fontId="19" fillId="0" borderId="0" xfId="38" applyNumberFormat="1"/>
    <xf numFmtId="10" fontId="19" fillId="0" borderId="34" xfId="38" applyNumberFormat="1" applyBorder="1"/>
    <xf numFmtId="10" fontId="52" fillId="0" borderId="0" xfId="38" applyNumberFormat="1" applyFont="1" applyAlignment="1">
      <alignment horizontal="center"/>
    </xf>
    <xf numFmtId="10" fontId="52" fillId="0" borderId="35" xfId="38" applyNumberFormat="1" applyFont="1" applyBorder="1" applyAlignment="1">
      <alignment horizontal="center"/>
    </xf>
    <xf numFmtId="10" fontId="19" fillId="0" borderId="36" xfId="68" applyNumberFormat="1" applyFont="1" applyFill="1" applyBorder="1" applyAlignment="1">
      <alignment horizontal="right"/>
    </xf>
    <xf numFmtId="4" fontId="19" fillId="0" borderId="9" xfId="38" applyNumberFormat="1" applyBorder="1"/>
    <xf numFmtId="4" fontId="19" fillId="0" borderId="36" xfId="38" applyNumberFormat="1" applyBorder="1"/>
    <xf numFmtId="4" fontId="19" fillId="42" borderId="36" xfId="38" applyNumberFormat="1" applyFill="1" applyBorder="1"/>
    <xf numFmtId="43" fontId="19" fillId="0" borderId="0" xfId="66" applyFont="1" applyFill="1" applyBorder="1"/>
    <xf numFmtId="43" fontId="19" fillId="0" borderId="9" xfId="66" applyFont="1" applyFill="1" applyBorder="1"/>
    <xf numFmtId="43" fontId="17" fillId="43" borderId="0" xfId="66" applyFont="1" applyFill="1" applyBorder="1"/>
    <xf numFmtId="43" fontId="35" fillId="0" borderId="0" xfId="70" applyFont="1" applyFill="1" applyBorder="1"/>
    <xf numFmtId="43" fontId="19" fillId="0" borderId="0" xfId="70" applyFont="1"/>
    <xf numFmtId="0" fontId="35" fillId="0" borderId="0" xfId="38" applyFont="1"/>
    <xf numFmtId="0" fontId="35" fillId="0" borderId="9" xfId="38" applyFont="1" applyBorder="1"/>
    <xf numFmtId="14" fontId="19" fillId="0" borderId="0" xfId="38" applyNumberFormat="1"/>
    <xf numFmtId="43" fontId="19" fillId="0" borderId="0" xfId="69" applyFont="1"/>
    <xf numFmtId="0" fontId="19" fillId="0" borderId="36" xfId="38" applyBorder="1"/>
    <xf numFmtId="43" fontId="19" fillId="0" borderId="36" xfId="38" applyNumberFormat="1" applyBorder="1"/>
    <xf numFmtId="43" fontId="19" fillId="0" borderId="0" xfId="69" applyFont="1" applyFill="1" applyBorder="1"/>
    <xf numFmtId="43" fontId="19" fillId="0" borderId="0" xfId="38" applyNumberFormat="1"/>
    <xf numFmtId="169" fontId="19" fillId="0" borderId="0" xfId="69" applyNumberFormat="1" applyFont="1"/>
    <xf numFmtId="0" fontId="19" fillId="0" borderId="0" xfId="38" applyAlignment="1">
      <alignment horizontal="right"/>
    </xf>
    <xf numFmtId="171" fontId="0" fillId="0" borderId="0" xfId="0" applyNumberFormat="1"/>
    <xf numFmtId="0" fontId="5" fillId="36" borderId="0" xfId="0" applyFont="1" applyFill="1"/>
    <xf numFmtId="0" fontId="38" fillId="0" borderId="0" xfId="44"/>
    <xf numFmtId="43" fontId="0" fillId="36" borderId="36" xfId="48" applyFont="1" applyFill="1" applyBorder="1"/>
    <xf numFmtId="43" fontId="0" fillId="0" borderId="36" xfId="48" applyFont="1" applyBorder="1"/>
    <xf numFmtId="43" fontId="0" fillId="36" borderId="36" xfId="0" applyNumberFormat="1" applyFill="1" applyBorder="1"/>
    <xf numFmtId="43" fontId="17" fillId="0" borderId="0" xfId="48" applyFont="1" applyFill="1"/>
    <xf numFmtId="43" fontId="52" fillId="0" borderId="35" xfId="48" applyFont="1" applyBorder="1" applyAlignment="1">
      <alignment horizontal="center" wrapText="1"/>
    </xf>
    <xf numFmtId="0" fontId="3" fillId="2" borderId="0" xfId="0" applyFont="1" applyFill="1"/>
    <xf numFmtId="0" fontId="3" fillId="2" borderId="0" xfId="0" applyFont="1" applyFill="1" applyAlignment="1">
      <alignment horizontal="justify"/>
    </xf>
    <xf numFmtId="169" fontId="15" fillId="0" borderId="0" xfId="0" applyNumberFormat="1" applyFont="1" applyAlignment="1">
      <alignment vertical="top" wrapText="1"/>
    </xf>
    <xf numFmtId="8" fontId="15" fillId="0" borderId="0" xfId="0" applyNumberFormat="1" applyFont="1" applyAlignment="1">
      <alignment vertical="top" wrapText="1"/>
    </xf>
    <xf numFmtId="0" fontId="3" fillId="0" borderId="0" xfId="0" applyFont="1" applyAlignment="1">
      <alignment vertical="top" wrapText="1"/>
    </xf>
    <xf numFmtId="0" fontId="55" fillId="2" borderId="0" xfId="0" applyFont="1" applyFill="1" applyAlignment="1">
      <alignment horizontal="center"/>
    </xf>
    <xf numFmtId="0" fontId="55" fillId="0" borderId="0" xfId="0" applyFont="1" applyAlignment="1">
      <alignment horizontal="center"/>
    </xf>
    <xf numFmtId="49" fontId="15" fillId="0" borderId="24" xfId="0" applyNumberFormat="1" applyFont="1" applyBorder="1" applyAlignment="1">
      <alignment vertical="top"/>
    </xf>
    <xf numFmtId="0" fontId="3" fillId="0" borderId="28" xfId="0" applyFont="1" applyBorder="1" applyAlignment="1">
      <alignment horizontal="justify"/>
    </xf>
    <xf numFmtId="0" fontId="14" fillId="0" borderId="28" xfId="0" applyFont="1" applyBorder="1" applyAlignment="1">
      <alignment horizontal="justify"/>
    </xf>
    <xf numFmtId="8" fontId="15" fillId="0" borderId="28" xfId="0" applyNumberFormat="1" applyFont="1" applyBorder="1" applyAlignment="1">
      <alignment horizontal="right" vertical="top" wrapText="1"/>
    </xf>
    <xf numFmtId="0" fontId="17" fillId="39" borderId="29" xfId="0" applyFont="1" applyFill="1" applyBorder="1" applyAlignment="1">
      <alignment horizontal="justify"/>
    </xf>
    <xf numFmtId="0" fontId="16" fillId="39" borderId="32" xfId="0" applyFont="1" applyFill="1" applyBorder="1" applyAlignment="1">
      <alignment horizontal="justify"/>
    </xf>
    <xf numFmtId="49" fontId="15" fillId="2" borderId="21" xfId="0" applyNumberFormat="1" applyFont="1" applyFill="1" applyBorder="1" applyAlignment="1">
      <alignment horizontal="left" vertical="top"/>
    </xf>
    <xf numFmtId="166" fontId="15" fillId="2" borderId="22" xfId="0" applyNumberFormat="1" applyFont="1" applyFill="1" applyBorder="1" applyAlignment="1">
      <alignment horizontal="right" vertical="top" wrapText="1"/>
    </xf>
    <xf numFmtId="166" fontId="15" fillId="2" borderId="23" xfId="0" applyNumberFormat="1" applyFont="1" applyFill="1" applyBorder="1" applyAlignment="1">
      <alignment horizontal="right" vertical="top" wrapText="1"/>
    </xf>
    <xf numFmtId="8" fontId="15" fillId="0" borderId="0" xfId="0" applyNumberFormat="1" applyFont="1" applyAlignment="1">
      <alignment vertical="top"/>
    </xf>
    <xf numFmtId="8" fontId="15" fillId="0" borderId="28" xfId="0" applyNumberFormat="1" applyFont="1" applyBorder="1" applyAlignment="1">
      <alignment vertical="top" wrapText="1"/>
    </xf>
    <xf numFmtId="8" fontId="15" fillId="2" borderId="23" xfId="0" applyNumberFormat="1" applyFont="1" applyFill="1" applyBorder="1" applyAlignment="1">
      <alignment vertical="top" wrapText="1"/>
    </xf>
    <xf numFmtId="17" fontId="5" fillId="0" borderId="0" xfId="0" applyNumberFormat="1" applyFont="1" applyAlignment="1">
      <alignment horizontal="center"/>
    </xf>
    <xf numFmtId="43" fontId="17" fillId="0" borderId="0" xfId="48" applyFont="1"/>
    <xf numFmtId="43" fontId="19" fillId="41" borderId="36" xfId="48" applyFont="1" applyFill="1" applyBorder="1" applyAlignment="1">
      <alignment horizontal="right"/>
    </xf>
    <xf numFmtId="43" fontId="19" fillId="0" borderId="9" xfId="48" applyFont="1" applyBorder="1"/>
    <xf numFmtId="43" fontId="52" fillId="0" borderId="0" xfId="48" applyFont="1" applyAlignment="1">
      <alignment horizontal="center"/>
    </xf>
    <xf numFmtId="43" fontId="52" fillId="0" borderId="34" xfId="48" applyFont="1" applyBorder="1" applyAlignment="1">
      <alignment horizontal="center" wrapText="1"/>
    </xf>
    <xf numFmtId="168" fontId="2" fillId="0" borderId="0" xfId="38" applyNumberFormat="1" applyFont="1"/>
    <xf numFmtId="43" fontId="52" fillId="0" borderId="0" xfId="48" applyFont="1" applyAlignment="1">
      <alignment horizontal="center" wrapText="1"/>
    </xf>
    <xf numFmtId="43" fontId="37" fillId="0" borderId="0" xfId="48" applyFont="1"/>
    <xf numFmtId="43" fontId="19" fillId="0" borderId="0" xfId="48" applyFont="1"/>
    <xf numFmtId="43" fontId="19" fillId="0" borderId="0" xfId="48" applyFont="1" applyBorder="1"/>
    <xf numFmtId="43" fontId="19" fillId="0" borderId="0" xfId="48" applyFont="1" applyAlignment="1">
      <alignment horizontal="center"/>
    </xf>
    <xf numFmtId="0" fontId="5" fillId="0" borderId="0" xfId="0" applyFont="1" applyAlignment="1">
      <alignment horizontal="center"/>
    </xf>
    <xf numFmtId="166" fontId="15" fillId="2" borderId="23" xfId="0" applyNumberFormat="1" applyFont="1" applyFill="1" applyBorder="1" applyAlignment="1">
      <alignment horizontal="right" vertical="top"/>
    </xf>
    <xf numFmtId="49" fontId="15" fillId="2" borderId="21" xfId="0" applyNumberFormat="1" applyFont="1" applyFill="1" applyBorder="1" applyAlignment="1">
      <alignment horizontal="right" vertical="top"/>
    </xf>
    <xf numFmtId="0" fontId="3" fillId="0" borderId="28" xfId="0" applyFont="1" applyBorder="1"/>
    <xf numFmtId="0" fontId="14" fillId="0" borderId="28" xfId="0" applyFont="1" applyBorder="1" applyAlignment="1">
      <alignment horizontal="center"/>
    </xf>
    <xf numFmtId="49" fontId="15" fillId="0" borderId="24" xfId="0" applyNumberFormat="1" applyFont="1" applyBorder="1" applyAlignment="1">
      <alignment horizontal="left" vertical="top"/>
    </xf>
    <xf numFmtId="8" fontId="15" fillId="0" borderId="28" xfId="0" applyNumberFormat="1" applyFont="1" applyBorder="1" applyAlignment="1">
      <alignment horizontal="right" vertical="top"/>
    </xf>
    <xf numFmtId="0" fontId="16" fillId="39" borderId="32" xfId="0" applyFont="1" applyFill="1" applyBorder="1"/>
    <xf numFmtId="43" fontId="0" fillId="0" borderId="0" xfId="150" applyFont="1"/>
    <xf numFmtId="43" fontId="5" fillId="0" borderId="0" xfId="150" applyFont="1"/>
    <xf numFmtId="43" fontId="0" fillId="0" borderId="36" xfId="150" applyFont="1" applyBorder="1"/>
    <xf numFmtId="0" fontId="0" fillId="0" borderId="35" xfId="0" applyBorder="1"/>
    <xf numFmtId="9" fontId="0" fillId="0" borderId="35" xfId="150" applyNumberFormat="1" applyFont="1" applyBorder="1"/>
    <xf numFmtId="9" fontId="0" fillId="0" borderId="35" xfId="62" applyFont="1" applyBorder="1"/>
    <xf numFmtId="9" fontId="0" fillId="0" borderId="0" xfId="150" applyNumberFormat="1" applyFont="1" applyBorder="1"/>
    <xf numFmtId="9" fontId="0" fillId="0" borderId="0" xfId="62" applyFont="1" applyBorder="1"/>
    <xf numFmtId="43" fontId="0" fillId="0" borderId="0" xfId="150" applyFont="1" applyBorder="1"/>
    <xf numFmtId="43" fontId="0" fillId="44" borderId="0" xfId="150" applyFont="1" applyFill="1" applyBorder="1"/>
    <xf numFmtId="43" fontId="0" fillId="45" borderId="36" xfId="150" applyFont="1" applyFill="1" applyBorder="1"/>
    <xf numFmtId="43" fontId="0" fillId="0" borderId="0" xfId="150" applyFont="1" applyFill="1" applyBorder="1"/>
    <xf numFmtId="43" fontId="0" fillId="0" borderId="0" xfId="150" applyFont="1" applyFill="1"/>
    <xf numFmtId="43" fontId="0" fillId="41" borderId="36" xfId="150" applyFont="1" applyFill="1" applyBorder="1"/>
    <xf numFmtId="9" fontId="0" fillId="41" borderId="35" xfId="150" applyNumberFormat="1" applyFont="1" applyFill="1" applyBorder="1"/>
    <xf numFmtId="0" fontId="0" fillId="41" borderId="35" xfId="0" applyFill="1" applyBorder="1"/>
    <xf numFmtId="9" fontId="0" fillId="41" borderId="35" xfId="62" applyFont="1" applyFill="1" applyBorder="1"/>
    <xf numFmtId="43" fontId="17" fillId="0" borderId="0" xfId="150" applyFont="1"/>
    <xf numFmtId="0" fontId="56" fillId="0" borderId="0" xfId="0" applyFont="1" applyAlignment="1">
      <alignment horizontal="left" vertical="center"/>
    </xf>
    <xf numFmtId="0" fontId="57" fillId="0" borderId="39" xfId="0" applyFont="1" applyBorder="1" applyAlignment="1">
      <alignment horizontal="justify" vertical="center" wrapText="1"/>
    </xf>
    <xf numFmtId="43" fontId="0" fillId="0" borderId="40" xfId="150" applyFont="1" applyBorder="1"/>
    <xf numFmtId="43" fontId="0" fillId="0" borderId="41" xfId="150" applyFont="1" applyBorder="1"/>
    <xf numFmtId="0" fontId="60" fillId="0" borderId="42" xfId="0" applyFont="1" applyBorder="1" applyAlignment="1">
      <alignment horizontal="justify" vertical="center" wrapText="1"/>
    </xf>
    <xf numFmtId="43" fontId="0" fillId="0" borderId="43" xfId="150" applyFont="1" applyBorder="1"/>
    <xf numFmtId="43" fontId="0" fillId="0" borderId="44" xfId="150" applyFont="1" applyBorder="1"/>
    <xf numFmtId="0" fontId="60" fillId="0" borderId="45" xfId="0" applyFont="1" applyBorder="1" applyAlignment="1">
      <alignment horizontal="justify" vertical="center" wrapText="1"/>
    </xf>
    <xf numFmtId="43" fontId="0" fillId="0" borderId="46" xfId="150" applyFont="1" applyBorder="1"/>
    <xf numFmtId="0" fontId="57" fillId="0" borderId="47" xfId="0" applyFont="1" applyBorder="1" applyAlignment="1">
      <alignment horizontal="justify" vertical="center"/>
    </xf>
    <xf numFmtId="43" fontId="57" fillId="0" borderId="43" xfId="150" applyFont="1" applyBorder="1" applyAlignment="1">
      <alignment horizontal="justify" vertical="center"/>
    </xf>
    <xf numFmtId="0" fontId="60" fillId="0" borderId="48" xfId="0" applyFont="1" applyBorder="1" applyAlignment="1">
      <alignment horizontal="justify" vertical="center"/>
    </xf>
    <xf numFmtId="0" fontId="64" fillId="0" borderId="49" xfId="0" applyFont="1" applyBorder="1"/>
    <xf numFmtId="0" fontId="57" fillId="0" borderId="50" xfId="0" applyFont="1" applyBorder="1" applyAlignment="1">
      <alignment horizontal="justify" vertical="center" wrapText="1"/>
    </xf>
    <xf numFmtId="0" fontId="57" fillId="0" borderId="45" xfId="0" applyFont="1" applyBorder="1" applyAlignment="1">
      <alignment horizontal="justify" vertical="center" wrapText="1"/>
    </xf>
    <xf numFmtId="0" fontId="57" fillId="0" borderId="51" xfId="0" applyFont="1" applyBorder="1" applyAlignment="1">
      <alignment horizontal="justify" vertical="center" wrapText="1"/>
    </xf>
    <xf numFmtId="43" fontId="0" fillId="0" borderId="52" xfId="150" applyFont="1" applyBorder="1"/>
    <xf numFmtId="43" fontId="17" fillId="0" borderId="53" xfId="150" applyFont="1" applyBorder="1"/>
    <xf numFmtId="0" fontId="63" fillId="0" borderId="0" xfId="0" applyFont="1" applyAlignment="1">
      <alignment horizontal="justify" vertical="center"/>
    </xf>
    <xf numFmtId="0" fontId="60" fillId="0" borderId="0" xfId="0" applyFont="1" applyAlignment="1">
      <alignment horizontal="justify" vertical="center"/>
    </xf>
    <xf numFmtId="0" fontId="68" fillId="0" borderId="0" xfId="0" applyFont="1"/>
    <xf numFmtId="0" fontId="42" fillId="0" borderId="47" xfId="0" applyFont="1" applyBorder="1"/>
    <xf numFmtId="43" fontId="42" fillId="0" borderId="41" xfId="150" applyFont="1" applyBorder="1"/>
    <xf numFmtId="0" fontId="42" fillId="0" borderId="48" xfId="0" applyFont="1" applyBorder="1"/>
    <xf numFmtId="43" fontId="42" fillId="0" borderId="44" xfId="150" applyFont="1" applyBorder="1"/>
    <xf numFmtId="0" fontId="42" fillId="0" borderId="49" xfId="0" applyFont="1" applyBorder="1"/>
    <xf numFmtId="43" fontId="42" fillId="0" borderId="53" xfId="150" applyFont="1" applyBorder="1"/>
    <xf numFmtId="43" fontId="0" fillId="41" borderId="0" xfId="150" applyFont="1" applyFill="1"/>
    <xf numFmtId="0" fontId="5" fillId="41" borderId="0" xfId="0" applyFont="1" applyFill="1"/>
    <xf numFmtId="43" fontId="0" fillId="0" borderId="0" xfId="48" applyFont="1" applyBorder="1"/>
    <xf numFmtId="43" fontId="0" fillId="0" borderId="0" xfId="48" applyFont="1" applyFill="1"/>
    <xf numFmtId="43" fontId="0" fillId="44" borderId="0" xfId="48" applyFont="1" applyFill="1" applyBorder="1"/>
    <xf numFmtId="43" fontId="0" fillId="45" borderId="36" xfId="48" applyFont="1" applyFill="1" applyBorder="1"/>
    <xf numFmtId="43" fontId="5" fillId="0" borderId="0" xfId="48" applyFont="1"/>
    <xf numFmtId="9" fontId="0" fillId="40" borderId="0" xfId="150" applyNumberFormat="1" applyFont="1" applyFill="1" applyBorder="1" applyAlignment="1">
      <alignment horizontal="center"/>
    </xf>
    <xf numFmtId="43" fontId="0" fillId="0" borderId="9" xfId="150" applyFont="1" applyFill="1" applyBorder="1"/>
    <xf numFmtId="43" fontId="0" fillId="0" borderId="35" xfId="48" applyFont="1" applyBorder="1"/>
    <xf numFmtId="43" fontId="0" fillId="40" borderId="0" xfId="48" applyFont="1" applyFill="1" applyBorder="1" applyAlignment="1">
      <alignment horizontal="center"/>
    </xf>
    <xf numFmtId="172" fontId="0" fillId="40" borderId="9" xfId="48" applyNumberFormat="1" applyFont="1" applyFill="1" applyBorder="1"/>
    <xf numFmtId="43" fontId="0" fillId="41" borderId="36" xfId="48" applyFont="1" applyFill="1" applyBorder="1"/>
    <xf numFmtId="43" fontId="0" fillId="0" borderId="0" xfId="312" applyFont="1"/>
    <xf numFmtId="43" fontId="5" fillId="0" borderId="0" xfId="312" applyFont="1"/>
    <xf numFmtId="49" fontId="41" fillId="0" borderId="24" xfId="0" applyNumberFormat="1" applyFont="1" applyBorder="1" applyAlignment="1">
      <alignment horizontal="center"/>
    </xf>
    <xf numFmtId="49" fontId="41" fillId="0" borderId="0" xfId="0" applyNumberFormat="1" applyFont="1" applyAlignment="1">
      <alignment horizontal="center"/>
    </xf>
    <xf numFmtId="49" fontId="41" fillId="0" borderId="28" xfId="0" applyNumberFormat="1" applyFont="1" applyBorder="1" applyAlignment="1">
      <alignment horizontal="center"/>
    </xf>
    <xf numFmtId="49" fontId="17" fillId="0" borderId="25" xfId="0" applyNumberFormat="1" applyFont="1" applyBorder="1" applyAlignment="1">
      <alignment horizontal="center"/>
    </xf>
    <xf numFmtId="49" fontId="17" fillId="0" borderId="27" xfId="0" applyNumberFormat="1" applyFont="1" applyBorder="1" applyAlignment="1">
      <alignment horizontal="center"/>
    </xf>
    <xf numFmtId="49" fontId="17" fillId="0" borderId="26" xfId="0" applyNumberFormat="1" applyFont="1" applyBorder="1" applyAlignment="1">
      <alignment horizontal="center"/>
    </xf>
    <xf numFmtId="49" fontId="15" fillId="0" borderId="24" xfId="0" applyNumberFormat="1" applyFont="1" applyBorder="1" applyAlignment="1">
      <alignment horizontal="center"/>
    </xf>
    <xf numFmtId="49" fontId="15" fillId="0" borderId="0" xfId="0" applyNumberFormat="1" applyFont="1" applyAlignment="1">
      <alignment horizontal="center"/>
    </xf>
    <xf numFmtId="49" fontId="15" fillId="0" borderId="28" xfId="0" applyNumberFormat="1" applyFont="1" applyBorder="1" applyAlignment="1">
      <alignment horizontal="center"/>
    </xf>
    <xf numFmtId="49" fontId="40" fillId="0" borderId="24" xfId="0" applyNumberFormat="1" applyFont="1" applyBorder="1" applyAlignment="1">
      <alignment horizontal="center"/>
    </xf>
    <xf numFmtId="49" fontId="40" fillId="0" borderId="0" xfId="0" applyNumberFormat="1" applyFont="1" applyAlignment="1">
      <alignment horizontal="center"/>
    </xf>
    <xf numFmtId="49" fontId="40" fillId="0" borderId="28" xfId="0" applyNumberFormat="1" applyFont="1" applyBorder="1" applyAlignment="1">
      <alignment horizontal="center"/>
    </xf>
    <xf numFmtId="0" fontId="37" fillId="0" borderId="0" xfId="38" applyFont="1" applyAlignment="1">
      <alignment horizontal="left"/>
    </xf>
    <xf numFmtId="0" fontId="52" fillId="0" borderId="0" xfId="38" applyFont="1" applyAlignment="1">
      <alignment horizontal="left"/>
    </xf>
    <xf numFmtId="0" fontId="45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43" fontId="17" fillId="0" borderId="0" xfId="150" applyFont="1" applyAlignment="1">
      <alignment horizontal="center"/>
    </xf>
    <xf numFmtId="43" fontId="17" fillId="41" borderId="0" xfId="150" applyFont="1" applyFill="1" applyAlignment="1">
      <alignment horizontal="center"/>
    </xf>
    <xf numFmtId="9" fontId="0" fillId="41" borderId="0" xfId="150" applyNumberFormat="1" applyFont="1" applyFill="1" applyBorder="1" applyAlignment="1">
      <alignment horizontal="center"/>
    </xf>
    <xf numFmtId="43" fontId="5" fillId="41" borderId="37" xfId="150" applyFont="1" applyFill="1" applyBorder="1" applyAlignment="1">
      <alignment horizontal="center"/>
    </xf>
    <xf numFmtId="43" fontId="0" fillId="41" borderId="38" xfId="150" applyFont="1" applyFill="1" applyBorder="1" applyAlignment="1">
      <alignment horizontal="center"/>
    </xf>
    <xf numFmtId="0" fontId="37" fillId="0" borderId="0" xfId="0" applyFont="1" applyAlignment="1">
      <alignment horizontal="left"/>
    </xf>
    <xf numFmtId="43" fontId="0" fillId="36" borderId="0" xfId="48" applyFont="1" applyFill="1"/>
  </cellXfs>
  <cellStyles count="470">
    <cellStyle name="20% - Accent1" xfId="1" builtinId="30" customBuiltin="1"/>
    <cellStyle name="20% - Accent1 2" xfId="178" xr:uid="{97C76A27-4303-4845-B3B2-7D62DDA406CF}"/>
    <cellStyle name="20% - Accent1 2 2" xfId="238" xr:uid="{6C1CFFC9-B53D-402D-9E1C-85DBE0C25442}"/>
    <cellStyle name="20% - Accent1 2 2 2" xfId="452" xr:uid="{77A388F6-D663-485C-AFB5-D0F65DB12720}"/>
    <cellStyle name="20% - Accent1 2 3" xfId="272" xr:uid="{027E4343-B031-481B-BCC1-8B5228545904}"/>
    <cellStyle name="20% - Accent1 2 4" xfId="333" xr:uid="{C394661B-84F2-4E58-8653-C9E7F2CE8C17}"/>
    <cellStyle name="20% - Accent1 3" xfId="162" xr:uid="{C3E8A559-EF03-419A-9FA8-4CC7EE4AA2E9}"/>
    <cellStyle name="20% - Accent1 3 2" xfId="222" xr:uid="{A2A913AF-2CC8-44CF-8042-CD6527E083FB}"/>
    <cellStyle name="20% - Accent1 3 3" xfId="434" xr:uid="{A15139D2-0BBF-4116-8E32-06270D5A8C7F}"/>
    <cellStyle name="20% - Accent1 4" xfId="197" xr:uid="{5A51F286-66BF-4CC1-BE91-CF767D23EC39}"/>
    <cellStyle name="20% - Accent1 4 2" xfId="388" xr:uid="{D5C5EF78-FFE5-4686-A7B6-446DE5FCAE8F}"/>
    <cellStyle name="20% - Accent1 5" xfId="256" xr:uid="{0B66D685-2FA8-49F7-AB5E-2F25CA4A1281}"/>
    <cellStyle name="20% - Accent1 5 2" xfId="351" xr:uid="{F89DF231-BD29-457B-BB08-B230825CC0B4}"/>
    <cellStyle name="20% - Accent1 6" xfId="136" xr:uid="{59389094-A3C1-4066-A433-038D129790D4}"/>
    <cellStyle name="20% - Accent1 6 2" xfId="314" xr:uid="{51A1C0C7-187C-4A32-970C-3394FDE00FE3}"/>
    <cellStyle name="20% - Accent1 7" xfId="74" xr:uid="{FDA56B29-C77E-4DA0-BE6E-48E40F8E1A38}"/>
    <cellStyle name="20% - Accent1 8" xfId="296" xr:uid="{F9EFFA12-7110-4A12-9F29-CCA63443A8F6}"/>
    <cellStyle name="20% - Accent2" xfId="2" builtinId="34" customBuiltin="1"/>
    <cellStyle name="20% - Accent2 2" xfId="179" xr:uid="{4D7329FE-9523-4893-966B-EDC413B64505}"/>
    <cellStyle name="20% - Accent2 2 2" xfId="239" xr:uid="{DBDAA7D1-3C9F-4A3B-B684-E8DF50CBE382}"/>
    <cellStyle name="20% - Accent2 2 2 2" xfId="453" xr:uid="{D4089737-9B9D-4A4A-A5AB-312A7DCF576A}"/>
    <cellStyle name="20% - Accent2 2 3" xfId="273" xr:uid="{2467B1FF-6B3D-486E-A6F9-E31097765B3B}"/>
    <cellStyle name="20% - Accent2 2 4" xfId="334" xr:uid="{BB54F344-1FEE-4B0D-B7B4-A00A141B5329}"/>
    <cellStyle name="20% - Accent2 3" xfId="163" xr:uid="{C13CF8AF-6534-4BCB-BF45-4DEB11881DE1}"/>
    <cellStyle name="20% - Accent2 3 2" xfId="223" xr:uid="{0145E9D4-B994-4F69-BA72-A99B68F77D76}"/>
    <cellStyle name="20% - Accent2 3 3" xfId="435" xr:uid="{88FA02A6-BE19-4778-89BC-4E233EF9C687}"/>
    <cellStyle name="20% - Accent2 4" xfId="198" xr:uid="{0C95B903-1F45-4A50-B6EB-6AC2A168127D}"/>
    <cellStyle name="20% - Accent2 4 2" xfId="389" xr:uid="{EA68AB0B-9134-4BA6-B033-640CE93ED388}"/>
    <cellStyle name="20% - Accent2 5" xfId="257" xr:uid="{1E132854-EA53-4273-B024-BBECA119FB49}"/>
    <cellStyle name="20% - Accent2 5 2" xfId="352" xr:uid="{58BE1A00-5963-44B8-86E5-43DF16608B3A}"/>
    <cellStyle name="20% - Accent2 6" xfId="137" xr:uid="{79FD4D34-8E6F-423D-8533-E9809B5D09EE}"/>
    <cellStyle name="20% - Accent2 6 2" xfId="315" xr:uid="{E3F69292-10E9-417D-B390-6E1A5EBF7952}"/>
    <cellStyle name="20% - Accent2 7" xfId="75" xr:uid="{921484C5-585C-46C4-8254-C0876F2F04EC}"/>
    <cellStyle name="20% - Accent2 8" xfId="297" xr:uid="{C57545DF-3D52-4F1F-B7AA-10575246C220}"/>
    <cellStyle name="20% - Accent3" xfId="3" builtinId="38" customBuiltin="1"/>
    <cellStyle name="20% - Accent3 2" xfId="180" xr:uid="{D78B36D6-03FD-4E50-A5B5-DCD495ECDDAD}"/>
    <cellStyle name="20% - Accent3 2 2" xfId="240" xr:uid="{485A0786-125E-43E1-8DD9-37D53887B903}"/>
    <cellStyle name="20% - Accent3 2 2 2" xfId="454" xr:uid="{864A1B42-6803-486D-861C-1AE9BAB30175}"/>
    <cellStyle name="20% - Accent3 2 3" xfId="274" xr:uid="{C75BA896-D607-4E25-AD80-5B9B3E473617}"/>
    <cellStyle name="20% - Accent3 2 4" xfId="335" xr:uid="{A1A8BFCC-134A-4671-820B-150D83F98649}"/>
    <cellStyle name="20% - Accent3 3" xfId="164" xr:uid="{C0BA2FBE-FD44-4AFF-89FD-FDCB04ACF5CB}"/>
    <cellStyle name="20% - Accent3 3 2" xfId="224" xr:uid="{6479F48E-9F82-494E-8208-2B5B1A23A677}"/>
    <cellStyle name="20% - Accent3 3 3" xfId="436" xr:uid="{FD96F0AD-346F-45D1-91A5-D2541981953D}"/>
    <cellStyle name="20% - Accent3 4" xfId="199" xr:uid="{8D9E748D-001B-49E3-9FA4-655F7DF6D653}"/>
    <cellStyle name="20% - Accent3 4 2" xfId="390" xr:uid="{6593BEA6-81CC-4484-BD52-5F764C3CB04A}"/>
    <cellStyle name="20% - Accent3 5" xfId="258" xr:uid="{5E1C1EAF-2F28-41F1-AF67-894808335D66}"/>
    <cellStyle name="20% - Accent3 5 2" xfId="353" xr:uid="{C3C63238-12E4-4652-8F8F-8380687B5E9D}"/>
    <cellStyle name="20% - Accent3 6" xfId="138" xr:uid="{8DF93B63-5895-4ABF-8D81-284A90498123}"/>
    <cellStyle name="20% - Accent3 6 2" xfId="316" xr:uid="{008B029E-4130-49AE-8C63-5874AF83A4CF}"/>
    <cellStyle name="20% - Accent3 7" xfId="76" xr:uid="{2A4AE110-B337-4C13-9E20-5459FDC816B7}"/>
    <cellStyle name="20% - Accent3 8" xfId="298" xr:uid="{F8ED65B6-865E-4044-A78A-AAA28F28B308}"/>
    <cellStyle name="20% - Accent4" xfId="4" builtinId="42" customBuiltin="1"/>
    <cellStyle name="20% - Accent4 2" xfId="181" xr:uid="{1A68AC38-E958-4B31-AC1D-407E67898164}"/>
    <cellStyle name="20% - Accent4 2 2" xfId="241" xr:uid="{9A6279DD-0A9C-479E-90DC-742594B5A960}"/>
    <cellStyle name="20% - Accent4 2 2 2" xfId="455" xr:uid="{B3F9AB30-C07C-4286-9CDF-1A9E8BB7DA93}"/>
    <cellStyle name="20% - Accent4 2 3" xfId="275" xr:uid="{FF0BE518-B28E-40DE-8A33-CEA766B238DC}"/>
    <cellStyle name="20% - Accent4 2 4" xfId="336" xr:uid="{014B0F9E-D4E4-4CE2-A24B-9FD6F98E04E3}"/>
    <cellStyle name="20% - Accent4 3" xfId="165" xr:uid="{45B30989-8C32-4BC1-8693-A1449837E2D0}"/>
    <cellStyle name="20% - Accent4 3 2" xfId="225" xr:uid="{010C6489-18B7-4418-9755-FF4EC21AA946}"/>
    <cellStyle name="20% - Accent4 3 3" xfId="437" xr:uid="{F3BFE555-EC09-4382-962F-BE994F21E181}"/>
    <cellStyle name="20% - Accent4 4" xfId="200" xr:uid="{25C4858F-5805-4E79-B0E0-E4BA724F883C}"/>
    <cellStyle name="20% - Accent4 4 2" xfId="391" xr:uid="{09EDF92C-577C-40BB-A547-09CBDB3C029E}"/>
    <cellStyle name="20% - Accent4 5" xfId="259" xr:uid="{D01E480F-4249-4ABC-92D7-81861001831C}"/>
    <cellStyle name="20% - Accent4 5 2" xfId="354" xr:uid="{E89B46B6-0761-4154-B906-FF26E77D4779}"/>
    <cellStyle name="20% - Accent4 6" xfId="139" xr:uid="{88247B16-9F9B-4158-9909-634C3029C3A8}"/>
    <cellStyle name="20% - Accent4 6 2" xfId="317" xr:uid="{43CCCD45-3BB9-47BD-A93B-A147843A2599}"/>
    <cellStyle name="20% - Accent4 7" xfId="77" xr:uid="{A394F5F6-A18B-49BD-8893-CE546B05416B}"/>
    <cellStyle name="20% - Accent4 8" xfId="299" xr:uid="{17160E09-FC41-4CAD-A9BE-371C3B474D71}"/>
    <cellStyle name="20% - Accent5" xfId="5" builtinId="46" customBuiltin="1"/>
    <cellStyle name="20% - Accent5 2" xfId="182" xr:uid="{9D3C310D-1843-4B91-A8DD-84EAC53D820D}"/>
    <cellStyle name="20% - Accent5 2 2" xfId="242" xr:uid="{26F195A2-A3EB-4043-A52F-2D16B59ECCD0}"/>
    <cellStyle name="20% - Accent5 2 2 2" xfId="456" xr:uid="{860D1AC3-87B1-40EF-85E4-A76996D8696F}"/>
    <cellStyle name="20% - Accent5 2 3" xfId="276" xr:uid="{053C1765-0EC5-4DDC-9AC7-CDDE727F9CDC}"/>
    <cellStyle name="20% - Accent5 2 4" xfId="337" xr:uid="{53B92264-B36C-456D-BD44-3BF11855D4FF}"/>
    <cellStyle name="20% - Accent5 3" xfId="166" xr:uid="{E1633AE2-B9B3-45D2-9B5E-C62DB8B41B5E}"/>
    <cellStyle name="20% - Accent5 3 2" xfId="226" xr:uid="{0F2449CE-9F0F-4DDF-8DC3-F21E4A031366}"/>
    <cellStyle name="20% - Accent5 3 3" xfId="438" xr:uid="{1A396A96-7E59-4716-B562-58620E0F490D}"/>
    <cellStyle name="20% - Accent5 4" xfId="201" xr:uid="{76150CC8-D9D6-470E-B9E8-DCB01EFDFB38}"/>
    <cellStyle name="20% - Accent5 4 2" xfId="392" xr:uid="{03E81072-8F34-4891-BDDA-C649A9AB5EB2}"/>
    <cellStyle name="20% - Accent5 5" xfId="260" xr:uid="{D70D03CE-6BFC-4DB4-935C-91F3D9B51AC1}"/>
    <cellStyle name="20% - Accent5 5 2" xfId="355" xr:uid="{0713A90A-5672-47A6-9CCD-B6BD3FDED2A1}"/>
    <cellStyle name="20% - Accent5 6" xfId="140" xr:uid="{CE82EE6B-63BC-4F97-B9C0-0126E1351898}"/>
    <cellStyle name="20% - Accent5 6 2" xfId="318" xr:uid="{6AA1AD1F-CF3A-471F-B57F-B1EDD5A990F0}"/>
    <cellStyle name="20% - Accent5 7" xfId="78" xr:uid="{0BD709BE-31F7-4CA3-A7A6-BAC8AD6C53D0}"/>
    <cellStyle name="20% - Accent5 8" xfId="300" xr:uid="{280ACD69-281D-4B60-86EE-2445BD9AEE32}"/>
    <cellStyle name="20% - Accent6" xfId="6" builtinId="50" customBuiltin="1"/>
    <cellStyle name="20% - Accent6 2" xfId="183" xr:uid="{CE65802F-EF95-4A1E-AA3B-AD244F7E5A4B}"/>
    <cellStyle name="20% - Accent6 2 2" xfId="243" xr:uid="{3C3CE04F-5B8B-4D89-AFB2-6FEA63AFF830}"/>
    <cellStyle name="20% - Accent6 2 2 2" xfId="457" xr:uid="{826D1D83-7EBB-410D-8FE2-63D5B638186B}"/>
    <cellStyle name="20% - Accent6 2 3" xfId="277" xr:uid="{F033589C-BFD2-4DD2-BEEB-1ABB21396FB3}"/>
    <cellStyle name="20% - Accent6 2 4" xfId="338" xr:uid="{8D1BB76E-C09C-452A-AAC5-1CD16EE060AC}"/>
    <cellStyle name="20% - Accent6 3" xfId="167" xr:uid="{BE6D5825-A558-41DF-A786-6A6F96E04BCF}"/>
    <cellStyle name="20% - Accent6 3 2" xfId="227" xr:uid="{90AE2AF6-677E-4278-9589-D380094B7D88}"/>
    <cellStyle name="20% - Accent6 3 3" xfId="439" xr:uid="{2A54A91E-B2CE-4DFE-B260-0011C63C4452}"/>
    <cellStyle name="20% - Accent6 4" xfId="202" xr:uid="{3E97A972-69C7-42F7-9FE1-22AA6A066F1F}"/>
    <cellStyle name="20% - Accent6 4 2" xfId="393" xr:uid="{1D645AB2-CD07-4C60-BF6D-638F9A446EB9}"/>
    <cellStyle name="20% - Accent6 5" xfId="261" xr:uid="{5A446240-53CA-45AB-B41B-07DC8CB43F51}"/>
    <cellStyle name="20% - Accent6 5 2" xfId="356" xr:uid="{97C9ADD4-AF16-46B3-A354-19A9F616BB2B}"/>
    <cellStyle name="20% - Accent6 6" xfId="141" xr:uid="{28430B24-3DAC-4DBE-8EB9-BECCEBA9C2FD}"/>
    <cellStyle name="20% - Accent6 6 2" xfId="319" xr:uid="{7C380416-47EA-4B4A-AE58-37A12065D181}"/>
    <cellStyle name="20% - Accent6 7" xfId="79" xr:uid="{01512CBC-9BBB-4DB1-8CB0-75425EF00BB3}"/>
    <cellStyle name="20% - Accent6 8" xfId="301" xr:uid="{9BACB451-3E80-4A9E-AA16-58DA51986C61}"/>
    <cellStyle name="40% - Accent1" xfId="7" builtinId="31" customBuiltin="1"/>
    <cellStyle name="40% - Accent1 2" xfId="184" xr:uid="{CB4FE08D-3CD1-4984-A840-C1AF48455B8B}"/>
    <cellStyle name="40% - Accent1 2 2" xfId="244" xr:uid="{E2790B5B-6567-4ADE-A7FF-E2237A935917}"/>
    <cellStyle name="40% - Accent1 2 2 2" xfId="458" xr:uid="{A7AF361E-9BC5-4AE1-ACF7-55867BA3533A}"/>
    <cellStyle name="40% - Accent1 2 3" xfId="278" xr:uid="{092B085A-CF84-4AA5-851A-4F90DFA4EC1C}"/>
    <cellStyle name="40% - Accent1 2 4" xfId="339" xr:uid="{07B7247E-4EC9-4FC5-9EC7-C9B4897B08DD}"/>
    <cellStyle name="40% - Accent1 3" xfId="168" xr:uid="{94CB678E-691A-442D-A062-D2051087F18F}"/>
    <cellStyle name="40% - Accent1 3 2" xfId="228" xr:uid="{75F2CBA7-0748-4499-A84C-533695412DE3}"/>
    <cellStyle name="40% - Accent1 3 3" xfId="440" xr:uid="{7574DCF4-86F0-4594-AF87-1AC477984BDC}"/>
    <cellStyle name="40% - Accent1 4" xfId="203" xr:uid="{1C2ED9E1-FC13-4E49-83AA-C4B5A2653D3D}"/>
    <cellStyle name="40% - Accent1 4 2" xfId="394" xr:uid="{59B6FAF3-765A-468E-9A0F-BD459314884C}"/>
    <cellStyle name="40% - Accent1 5" xfId="262" xr:uid="{B787BB89-44F7-4A00-B120-096B45C75BFD}"/>
    <cellStyle name="40% - Accent1 5 2" xfId="357" xr:uid="{485F0D7F-2EFA-438C-92BB-30FAA872FC03}"/>
    <cellStyle name="40% - Accent1 6" xfId="142" xr:uid="{64487F1A-6E5F-44A6-B2B1-861ED5893DB1}"/>
    <cellStyle name="40% - Accent1 6 2" xfId="320" xr:uid="{2A4D36B7-D1EE-445E-BFE6-D968867F0385}"/>
    <cellStyle name="40% - Accent1 7" xfId="80" xr:uid="{8857F628-95AE-42E3-A927-46C491BF009C}"/>
    <cellStyle name="40% - Accent1 8" xfId="302" xr:uid="{43AC94EE-2B62-4F7B-8952-0C1A2636186B}"/>
    <cellStyle name="40% - Accent2" xfId="8" builtinId="35" customBuiltin="1"/>
    <cellStyle name="40% - Accent2 2" xfId="185" xr:uid="{8E1BEF0C-83AD-4663-AE04-747235A9A486}"/>
    <cellStyle name="40% - Accent2 2 2" xfId="245" xr:uid="{D81021EF-2717-4315-B5BB-82DCD2C435BC}"/>
    <cellStyle name="40% - Accent2 2 2 2" xfId="459" xr:uid="{06788BE8-9796-4C7C-B3A8-4D91018C70C4}"/>
    <cellStyle name="40% - Accent2 2 3" xfId="279" xr:uid="{23EA5B46-BCC1-472A-A977-CE9A25211E45}"/>
    <cellStyle name="40% - Accent2 2 4" xfId="340" xr:uid="{2C361684-B363-4978-8C81-A546D46A65E0}"/>
    <cellStyle name="40% - Accent2 3" xfId="169" xr:uid="{644C764F-23F5-4353-ACDC-19BA1193647B}"/>
    <cellStyle name="40% - Accent2 3 2" xfId="229" xr:uid="{E8E6B794-7CE4-49D4-A31E-D0BB047D4B19}"/>
    <cellStyle name="40% - Accent2 3 3" xfId="441" xr:uid="{73BA0D75-73F6-4FD0-BF6A-FEB75EDE6009}"/>
    <cellStyle name="40% - Accent2 4" xfId="204" xr:uid="{9D2794F6-8F49-4E35-A9F9-85093A61554E}"/>
    <cellStyle name="40% - Accent2 4 2" xfId="395" xr:uid="{211A0BC4-9D86-4133-97B3-4CFF9EE31BB4}"/>
    <cellStyle name="40% - Accent2 5" xfId="263" xr:uid="{932FE56A-DDDB-4E10-B84C-7B5F9A304F9A}"/>
    <cellStyle name="40% - Accent2 5 2" xfId="358" xr:uid="{4A247C10-8ABB-485A-8DE9-6C3B361AA0F2}"/>
    <cellStyle name="40% - Accent2 6" xfId="143" xr:uid="{E7DB9179-2425-499A-9E89-42F18875ED11}"/>
    <cellStyle name="40% - Accent2 6 2" xfId="321" xr:uid="{135872FD-3969-4CB7-896F-A746005DD1FD}"/>
    <cellStyle name="40% - Accent2 7" xfId="81" xr:uid="{743643DA-AAAA-4231-9E10-C0722DAB2B9C}"/>
    <cellStyle name="40% - Accent2 8" xfId="303" xr:uid="{A2E815C7-2ECC-49B3-81E6-72E58DFA4EEF}"/>
    <cellStyle name="40% - Accent3" xfId="9" builtinId="39" customBuiltin="1"/>
    <cellStyle name="40% - Accent3 2" xfId="186" xr:uid="{E2414CD9-FF1D-4BE2-AA8C-20BADDFC92C2}"/>
    <cellStyle name="40% - Accent3 2 2" xfId="246" xr:uid="{7841B8AC-F3E0-440B-9946-39843D08AFA3}"/>
    <cellStyle name="40% - Accent3 2 2 2" xfId="460" xr:uid="{5B522EA4-B1C9-4184-920F-14C41EA61AE4}"/>
    <cellStyle name="40% - Accent3 2 3" xfId="280" xr:uid="{EDE3F1A9-39B7-46E0-89AF-2707FCD1B6AC}"/>
    <cellStyle name="40% - Accent3 2 4" xfId="341" xr:uid="{77ABA353-AB88-41D1-9F0B-574B26A8F7B0}"/>
    <cellStyle name="40% - Accent3 3" xfId="170" xr:uid="{DDB57D7D-C875-4F7D-992A-932B94B0B42F}"/>
    <cellStyle name="40% - Accent3 3 2" xfId="230" xr:uid="{8A3E6ED7-0676-478C-A730-0A4F1AD0F83E}"/>
    <cellStyle name="40% - Accent3 3 3" xfId="442" xr:uid="{234FA31A-61BB-4215-ACB6-96685E1481B5}"/>
    <cellStyle name="40% - Accent3 4" xfId="205" xr:uid="{3E8D7333-756E-4C9B-81C9-8116D102845C}"/>
    <cellStyle name="40% - Accent3 4 2" xfId="396" xr:uid="{6A0B098F-6EC2-402C-B076-FA458D73BC33}"/>
    <cellStyle name="40% - Accent3 5" xfId="264" xr:uid="{C59EA971-6DBB-483B-AC1F-F09EAB1EE4FB}"/>
    <cellStyle name="40% - Accent3 5 2" xfId="359" xr:uid="{66189A17-A1BA-45E6-B4AE-41DAF651FDFA}"/>
    <cellStyle name="40% - Accent3 6" xfId="144" xr:uid="{5F0F2D9D-1540-4B3C-8CDA-F17E1297557F}"/>
    <cellStyle name="40% - Accent3 6 2" xfId="322" xr:uid="{244F3721-5B70-457D-8E69-4ADA32229032}"/>
    <cellStyle name="40% - Accent3 7" xfId="82" xr:uid="{9B42453F-7654-431B-AA63-B6F76F0B5CFA}"/>
    <cellStyle name="40% - Accent3 8" xfId="304" xr:uid="{2F69D75F-8073-4434-B26B-0C5306FB0763}"/>
    <cellStyle name="40% - Accent4" xfId="10" builtinId="43" customBuiltin="1"/>
    <cellStyle name="40% - Accent4 2" xfId="187" xr:uid="{9709B92F-CB5B-4E9D-8EE4-AD6CB1C67FC3}"/>
    <cellStyle name="40% - Accent4 2 2" xfId="247" xr:uid="{23C6EC91-E230-4E95-BB31-B8D027E56AAB}"/>
    <cellStyle name="40% - Accent4 2 2 2" xfId="461" xr:uid="{FCE83D6E-41A3-4E38-92FB-B0441DF26727}"/>
    <cellStyle name="40% - Accent4 2 3" xfId="281" xr:uid="{359B24F2-D350-4359-B28C-6BD1765F3BCB}"/>
    <cellStyle name="40% - Accent4 2 4" xfId="342" xr:uid="{9A0B6744-201B-487F-BCE8-5D8AFDEC2A6F}"/>
    <cellStyle name="40% - Accent4 3" xfId="171" xr:uid="{D97D0E86-FE41-4FB6-A33F-87C9659CB8B1}"/>
    <cellStyle name="40% - Accent4 3 2" xfId="231" xr:uid="{C39991F7-4FD5-4255-A40E-2B6E4CE3B267}"/>
    <cellStyle name="40% - Accent4 3 3" xfId="443" xr:uid="{4EB775C3-9B29-4434-98E5-575B9D44AF29}"/>
    <cellStyle name="40% - Accent4 4" xfId="206" xr:uid="{66890EEE-4067-4236-A4F5-D4D1FB429CE7}"/>
    <cellStyle name="40% - Accent4 4 2" xfId="397" xr:uid="{A36152EE-3A43-4F84-AA56-E75E29CB59CF}"/>
    <cellStyle name="40% - Accent4 5" xfId="265" xr:uid="{3DD7F384-2A1D-4BAF-8DF3-802096E414AB}"/>
    <cellStyle name="40% - Accent4 5 2" xfId="360" xr:uid="{7391BAFC-19D6-4D56-BB4E-344A9949ECE0}"/>
    <cellStyle name="40% - Accent4 6" xfId="145" xr:uid="{54DFF5CD-C87E-4D18-A3F8-EE8543056B01}"/>
    <cellStyle name="40% - Accent4 6 2" xfId="323" xr:uid="{41B3E5B3-6217-4B80-A3BB-7E8299F9F0C0}"/>
    <cellStyle name="40% - Accent4 7" xfId="83" xr:uid="{D1B85CB5-5306-4B83-9292-FEC6D7D69C9F}"/>
    <cellStyle name="40% - Accent4 8" xfId="305" xr:uid="{E3AC7359-4D6F-40A0-AEBA-C50EA352BF6A}"/>
    <cellStyle name="40% - Accent5" xfId="11" builtinId="47" customBuiltin="1"/>
    <cellStyle name="40% - Accent5 2" xfId="188" xr:uid="{DBB92A7E-BD6B-40EB-9564-E25D0E15CBF9}"/>
    <cellStyle name="40% - Accent5 2 2" xfId="248" xr:uid="{4436D912-1FE5-488B-A0A1-DBE5FF6F77BB}"/>
    <cellStyle name="40% - Accent5 2 2 2" xfId="462" xr:uid="{804F2E60-45E5-4BFB-8433-EF2EC1A39A18}"/>
    <cellStyle name="40% - Accent5 2 3" xfId="282" xr:uid="{3B94F452-B033-4CD5-B193-2D60B576E194}"/>
    <cellStyle name="40% - Accent5 2 4" xfId="343" xr:uid="{E8EF0443-B941-4E99-B2AA-5EE5B1279293}"/>
    <cellStyle name="40% - Accent5 3" xfId="172" xr:uid="{B367AA75-B337-4EA9-AB61-4F820578455D}"/>
    <cellStyle name="40% - Accent5 3 2" xfId="232" xr:uid="{A02C0F51-04D3-4AFC-9354-861B5137F12B}"/>
    <cellStyle name="40% - Accent5 3 3" xfId="444" xr:uid="{4E2705E2-736F-46FC-BF03-F7EFC2B06AB3}"/>
    <cellStyle name="40% - Accent5 4" xfId="207" xr:uid="{B536D9FE-C640-46D0-8D32-495DD1660EA0}"/>
    <cellStyle name="40% - Accent5 4 2" xfId="398" xr:uid="{3C08CA6A-E1A1-49F4-A039-BC7FDEB4D5B0}"/>
    <cellStyle name="40% - Accent5 5" xfId="266" xr:uid="{7D9C19B7-3DFF-4822-B57F-B5D6CBC53C32}"/>
    <cellStyle name="40% - Accent5 5 2" xfId="361" xr:uid="{A0AA046F-E8DE-4F4B-B80E-8BBC71F68599}"/>
    <cellStyle name="40% - Accent5 6" xfId="146" xr:uid="{E536A6ED-C50B-4DEF-9C14-4E1C20F0BEB2}"/>
    <cellStyle name="40% - Accent5 6 2" xfId="324" xr:uid="{E966B0CC-5965-474E-9FAA-39D786C2EADC}"/>
    <cellStyle name="40% - Accent5 7" xfId="84" xr:uid="{0BBFF914-614A-48D4-AF40-2C4494D0D158}"/>
    <cellStyle name="40% - Accent5 8" xfId="306" xr:uid="{2B602323-5306-42B5-8DE3-1C2AF69FC839}"/>
    <cellStyle name="40% - Accent6" xfId="12" builtinId="51" customBuiltin="1"/>
    <cellStyle name="40% - Accent6 2" xfId="189" xr:uid="{755E54A1-6D19-4654-B246-44542B86924F}"/>
    <cellStyle name="40% - Accent6 2 2" xfId="249" xr:uid="{D34F06B2-A496-4C48-8D41-BABC9017C22D}"/>
    <cellStyle name="40% - Accent6 2 2 2" xfId="463" xr:uid="{F39AF418-99CA-4265-B4F8-D55D4629E1A2}"/>
    <cellStyle name="40% - Accent6 2 3" xfId="283" xr:uid="{76AB9DBE-C6F5-4837-A415-0E843A06AF48}"/>
    <cellStyle name="40% - Accent6 2 4" xfId="344" xr:uid="{D67602F3-2BB5-4FFA-9DC8-62AEEAE9B37A}"/>
    <cellStyle name="40% - Accent6 3" xfId="173" xr:uid="{8AA4B876-B1C2-4BB9-81AE-B47BF2B0578B}"/>
    <cellStyle name="40% - Accent6 3 2" xfId="233" xr:uid="{142B979C-50D7-4039-A6A4-217B62A17ADD}"/>
    <cellStyle name="40% - Accent6 3 3" xfId="445" xr:uid="{5B0CE047-0BAB-4782-9E9B-2879693DCACA}"/>
    <cellStyle name="40% - Accent6 4" xfId="208" xr:uid="{B356E596-7C47-4AFB-955F-87FB6D0B019E}"/>
    <cellStyle name="40% - Accent6 4 2" xfId="399" xr:uid="{BCA9745C-A579-479A-A090-CF779CB20D08}"/>
    <cellStyle name="40% - Accent6 5" xfId="267" xr:uid="{69095A2C-3A0D-4511-8A7F-5DFC02B58808}"/>
    <cellStyle name="40% - Accent6 5 2" xfId="362" xr:uid="{BEF641E9-C0B7-4727-BE01-DD19FF7D4F4B}"/>
    <cellStyle name="40% - Accent6 6" xfId="147" xr:uid="{B075C5F0-B6E6-4AF2-BCAA-D97CDE69366F}"/>
    <cellStyle name="40% - Accent6 6 2" xfId="325" xr:uid="{27945435-19A6-477A-8107-87E68F627DF1}"/>
    <cellStyle name="40% - Accent6 7" xfId="85" xr:uid="{5306C339-BD75-4F47-B6C3-F3AA1E3E3824}"/>
    <cellStyle name="40% - Accent6 8" xfId="307" xr:uid="{8F6516FF-95FA-4958-976F-731F3F7D4AFA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8" builtinId="3"/>
    <cellStyle name="Comma 10" xfId="150" xr:uid="{D6389917-C51D-4DC3-99B0-4B15241D4BD3}"/>
    <cellStyle name="Comma 10 2" xfId="450" xr:uid="{394B25DD-3C1C-4267-B37E-B6FB0887BABD}"/>
    <cellStyle name="Comma 11" xfId="90" xr:uid="{3A2C2132-B1A4-42EF-91D8-C178035531DD}"/>
    <cellStyle name="Comma 11 2" xfId="404" xr:uid="{E4ECAED3-018C-4110-A2DF-5DC88F3F38E1}"/>
    <cellStyle name="Comma 12" xfId="367" xr:uid="{15C53DDB-B965-4571-ABA4-55994A99285D}"/>
    <cellStyle name="Comma 13" xfId="330" xr:uid="{D7C8456C-DF67-4AAB-8460-AE31162ECD73}"/>
    <cellStyle name="Comma 14" xfId="312" xr:uid="{261065BE-504E-4E23-B28C-E665331CFDB4}"/>
    <cellStyle name="Comma 2" xfId="45" xr:uid="{D85BDF61-6B82-4620-93C2-78E5676F984F}"/>
    <cellStyle name="Comma 2 10" xfId="328" xr:uid="{FA571879-AB8D-4EA7-BE24-C663D9743DD8}"/>
    <cellStyle name="Comma 2 11" xfId="310" xr:uid="{10EB6EA6-A489-4296-BDF0-2D8FF3C0A756}"/>
    <cellStyle name="Comma 2 2" xfId="59" xr:uid="{58684E46-A182-4AE1-B7FA-A55033D25E96}"/>
    <cellStyle name="Comma 2 2 2" xfId="70" xr:uid="{7E5CA5BD-822E-4865-91DF-BFAC72B560E4}"/>
    <cellStyle name="Comma 2 2 2 2" xfId="132" xr:uid="{D66D3089-326C-4822-A961-0D12D4F5A8BA}"/>
    <cellStyle name="Comma 2 2 2 2 2" xfId="422" xr:uid="{D8C8DBB0-B991-4FC3-BDF8-B132AD3DE0D8}"/>
    <cellStyle name="Comma 2 2 2 3" xfId="217" xr:uid="{99BAE229-A9CF-4FB7-BA1B-9363BF8DA699}"/>
    <cellStyle name="Comma 2 2 2 4" xfId="108" xr:uid="{6FDE5C23-AA30-4913-9CF6-05A434DE1EBC}"/>
    <cellStyle name="Comma 2 2 2 5" xfId="384" xr:uid="{53378291-D2B8-4E2F-921A-FB1509AE187F}"/>
    <cellStyle name="Comma 2 2 3" xfId="122" xr:uid="{B42BB4DF-8DEF-48E4-887A-3BE1681CC37C}"/>
    <cellStyle name="Comma 2 2 3 2" xfId="292" xr:uid="{600BC159-1DF6-44C3-9F2F-161E41747CA4}"/>
    <cellStyle name="Comma 2 2 3 3" xfId="466" xr:uid="{0A1CD007-8382-4682-B02A-FB93A1141B2E}"/>
    <cellStyle name="Comma 2 2 4" xfId="157" xr:uid="{E15FAF03-CB7E-46E2-93B2-44B57DE101A1}"/>
    <cellStyle name="Comma 2 2 4 2" xfId="412" xr:uid="{20A27E76-ED08-4F2D-B4C9-28A37A541CD6}"/>
    <cellStyle name="Comma 2 2 5" xfId="98" xr:uid="{B5A79136-7A82-4ACA-8A1B-4C864FCBD910}"/>
    <cellStyle name="Comma 2 2 5 2" xfId="374" xr:uid="{9CFD3569-C32F-4A10-BF41-4A5F68373216}"/>
    <cellStyle name="Comma 2 2 6" xfId="347" xr:uid="{6654EFF5-6F63-414A-B42C-0A4D74BA71F0}"/>
    <cellStyle name="Comma 2 3" xfId="51" xr:uid="{4F0FE89D-B3C1-4C48-AF72-8630D1E19F94}"/>
    <cellStyle name="Comma 2 3 2" xfId="116" xr:uid="{7F613FAF-4495-49EC-AB0A-E938586CD2FF}"/>
    <cellStyle name="Comma 2 3 2 2" xfId="252" xr:uid="{A743836C-2BA9-4908-9F18-DE2C26E19DCA}"/>
    <cellStyle name="Comma 2 3 2 3" xfId="406" xr:uid="{5EDB6778-54FC-4B37-9BDB-5168F2B0B40B}"/>
    <cellStyle name="Comma 2 3 3" xfId="192" xr:uid="{B6CFD794-B9D3-4257-AA06-D59841818C2B}"/>
    <cellStyle name="Comma 2 3 4" xfId="92" xr:uid="{29997E0F-6BC7-43DD-AF96-470E5D7E7870}"/>
    <cellStyle name="Comma 2 3 5" xfId="368" xr:uid="{82C7AB30-3DDE-4AAB-BAB2-BDE94FB741B4}"/>
    <cellStyle name="Comma 2 4" xfId="64" xr:uid="{EF9659CD-16F7-4B3C-91BF-688C1A4C7102}"/>
    <cellStyle name="Comma 2 4 2" xfId="126" xr:uid="{FAD93DC1-3523-4A89-A18D-660F6025F837}"/>
    <cellStyle name="Comma 2 4 2 2" xfId="416" xr:uid="{A3738E38-211D-4C30-980C-2B94663C4C31}"/>
    <cellStyle name="Comma 2 4 3" xfId="212" xr:uid="{7BE46810-8F33-49AA-BE36-D21D03D62534}"/>
    <cellStyle name="Comma 2 4 4" xfId="102" xr:uid="{FF071D6E-8887-43F0-A584-993EC38BB4D3}"/>
    <cellStyle name="Comma 2 4 5" xfId="378" xr:uid="{D9111611-AC7D-44A3-8051-94D319C28FB7}"/>
    <cellStyle name="Comma 2 5" xfId="112" xr:uid="{C22C9F8F-93C5-4B66-92BE-8B69AC2E3923}"/>
    <cellStyle name="Comma 2 5 2" xfId="286" xr:uid="{2D8B5263-9902-41AF-A4EF-F2525641EF64}"/>
    <cellStyle name="Comma 2 5 3" xfId="426" xr:uid="{72D86547-162F-47F0-9EDE-F1AC543F98F7}"/>
    <cellStyle name="Comma 2 6" xfId="152" xr:uid="{CD745020-96CB-4BCF-BB19-E1501D94BCC8}"/>
    <cellStyle name="Comma 2 6 2" xfId="430" xr:uid="{348447E6-2454-455D-862D-C364E32F39D5}"/>
    <cellStyle name="Comma 2 7" xfId="88" xr:uid="{128F2DBD-2BB2-4ECD-B8D3-64890214459B}"/>
    <cellStyle name="Comma 2 7 2" xfId="448" xr:uid="{4C933A51-2EDA-4362-83FB-8A64C954F156}"/>
    <cellStyle name="Comma 2 8" xfId="402" xr:uid="{C180908C-06BE-489C-B408-9EE371F7CB01}"/>
    <cellStyle name="Comma 2 9" xfId="365" xr:uid="{B064C47B-1D43-462E-BC6C-E3D403ADE254}"/>
    <cellStyle name="Comma 3" xfId="46" xr:uid="{FDEA7DEA-0BA7-43B6-9B9E-86754C590B73}"/>
    <cellStyle name="Comma 3 10" xfId="329" xr:uid="{6F1E54BC-5799-4B94-B37C-332B0CF26B0B}"/>
    <cellStyle name="Comma 3 11" xfId="311" xr:uid="{2CBB6ECF-C156-46FF-92FB-EC1BBB5BD91F}"/>
    <cellStyle name="Comma 3 2" xfId="60" xr:uid="{9B741333-4710-412F-B549-43762688AEBE}"/>
    <cellStyle name="Comma 3 2 2" xfId="71" xr:uid="{D26A7FA5-5D01-47CB-8E56-6CAE59555170}"/>
    <cellStyle name="Comma 3 2 2 2" xfId="133" xr:uid="{A3FB9E70-F10A-4869-A720-E8680D897EF8}"/>
    <cellStyle name="Comma 3 2 2 2 2" xfId="423" xr:uid="{E8C6EEA1-7AC5-44EF-9E9D-D7AAF6408C1F}"/>
    <cellStyle name="Comma 3 2 2 3" xfId="219" xr:uid="{3DEA4324-8219-4443-8BC7-98A14FC72601}"/>
    <cellStyle name="Comma 3 2 2 4" xfId="109" xr:uid="{953A02F6-2623-453B-B66E-4853B02243FE}"/>
    <cellStyle name="Comma 3 2 2 5" xfId="385" xr:uid="{816A3CC7-9B59-4ACD-BE4F-CE033C71EACA}"/>
    <cellStyle name="Comma 3 2 3" xfId="123" xr:uid="{13C8B031-3BBB-4957-A24F-B48DB5FB121B}"/>
    <cellStyle name="Comma 3 2 3 2" xfId="294" xr:uid="{55CDE294-9FAB-4C21-907D-827C12A45DA0}"/>
    <cellStyle name="Comma 3 2 3 3" xfId="467" xr:uid="{C29AB9FE-95C6-44CE-AED3-DA83DDE99125}"/>
    <cellStyle name="Comma 3 2 4" xfId="159" xr:uid="{D38268BA-2D41-4CEF-BC75-AE179B0FF81A}"/>
    <cellStyle name="Comma 3 2 4 2" xfId="413" xr:uid="{27B05FC5-CD3E-4A88-9871-A07E9BB8DF6A}"/>
    <cellStyle name="Comma 3 2 5" xfId="99" xr:uid="{32B5F252-B475-4151-8D3E-DF5338003EC1}"/>
    <cellStyle name="Comma 3 2 5 2" xfId="375" xr:uid="{1F4893FD-0B7A-4747-9EB1-17FB7FD1DE52}"/>
    <cellStyle name="Comma 3 2 6" xfId="348" xr:uid="{36BFB2A0-2294-4625-AFF5-3EFFE642667E}"/>
    <cellStyle name="Comma 3 3" xfId="52" xr:uid="{2D021C0F-C565-44FD-8ED1-BBC109FF7B90}"/>
    <cellStyle name="Comma 3 3 2" xfId="117" xr:uid="{3CB18351-0FDE-4F55-842F-4080911BF168}"/>
    <cellStyle name="Comma 3 3 2 2" xfId="254" xr:uid="{B5FC3914-D27E-426D-84EC-A52B30F66F92}"/>
    <cellStyle name="Comma 3 3 2 3" xfId="407" xr:uid="{3A82173A-9356-45EF-BD4D-E70641368AFE}"/>
    <cellStyle name="Comma 3 3 3" xfId="194" xr:uid="{DEE9BCAC-26E9-4001-AC79-4E6988390919}"/>
    <cellStyle name="Comma 3 3 4" xfId="93" xr:uid="{253B0F88-AD97-436F-938C-BBC754BD68EB}"/>
    <cellStyle name="Comma 3 3 5" xfId="369" xr:uid="{0E7535A8-86DB-4F9A-A849-049980066751}"/>
    <cellStyle name="Comma 3 4" xfId="65" xr:uid="{1CFBA4F2-2220-4C6A-B7D3-4E4E466E17DE}"/>
    <cellStyle name="Comma 3 4 2" xfId="127" xr:uid="{44B6C514-0992-41CB-8B50-BCF434717540}"/>
    <cellStyle name="Comma 3 4 2 2" xfId="417" xr:uid="{2206EB9D-4A06-4BF2-B0F2-F01C15A4DD82}"/>
    <cellStyle name="Comma 3 4 3" xfId="213" xr:uid="{2E0030B3-6831-4B31-B592-73B9E3AA2F1D}"/>
    <cellStyle name="Comma 3 4 4" xfId="103" xr:uid="{E5BB15F4-6FCF-4463-8BA5-EC3D4D0CAFC4}"/>
    <cellStyle name="Comma 3 4 5" xfId="379" xr:uid="{9DA15699-A072-4C5F-9157-9E09B08AAC0D}"/>
    <cellStyle name="Comma 3 5" xfId="113" xr:uid="{96175D3C-1D25-4B9C-9615-3E771D278516}"/>
    <cellStyle name="Comma 3 5 2" xfId="288" xr:uid="{395DF624-1C2C-4BC0-8399-A43B57C90CB9}"/>
    <cellStyle name="Comma 3 5 3" xfId="427" xr:uid="{C57A507C-2AAD-41AE-9847-009FBF0A89A0}"/>
    <cellStyle name="Comma 3 6" xfId="153" xr:uid="{121757B4-98D3-4259-8C07-596D35ABCAFF}"/>
    <cellStyle name="Comma 3 6 2" xfId="431" xr:uid="{2AD0A8E9-758D-4489-A74D-1622A750ABB4}"/>
    <cellStyle name="Comma 3 7" xfId="89" xr:uid="{17E39CA0-F839-434A-BD22-416DDE56A83E}"/>
    <cellStyle name="Comma 3 7 2" xfId="449" xr:uid="{74159ED1-2448-4D9C-80BF-6F2E4E0AADAF}"/>
    <cellStyle name="Comma 3 8" xfId="403" xr:uid="{25CD1835-5D51-4F86-BAF7-4913C3026971}"/>
    <cellStyle name="Comma 3 9" xfId="366" xr:uid="{CF4F4186-A935-4BF1-AD9B-B6F42DB1723E}"/>
    <cellStyle name="Comma 4" xfId="58" xr:uid="{DE62E7F5-E5CA-463F-A14C-890F0D493919}"/>
    <cellStyle name="Comma 4 2" xfId="69" xr:uid="{D1B702F6-82F4-419D-B23D-9ABC4D534B63}"/>
    <cellStyle name="Comma 4 2 2" xfId="131" xr:uid="{ABF13A93-0F11-4459-B338-8664D8A77C43}"/>
    <cellStyle name="Comma 4 2 2 2" xfId="220" xr:uid="{DB20B3E2-D34A-4ACD-AE34-6F2BD7FC446B}"/>
    <cellStyle name="Comma 4 2 2 3" xfId="421" xr:uid="{B81880FD-5938-45A7-9F7F-A3BDF39A8BB1}"/>
    <cellStyle name="Comma 4 2 3" xfId="295" xr:uid="{4607813D-8524-42E7-A545-E457429A509E}"/>
    <cellStyle name="Comma 4 2 4" xfId="160" xr:uid="{B22C246C-51BB-4756-A08F-379BAB4EB7E4}"/>
    <cellStyle name="Comma 4 2 5" xfId="107" xr:uid="{D0C801F9-A1CA-4B15-99AC-A42C3CACD9E4}"/>
    <cellStyle name="Comma 4 2 6" xfId="383" xr:uid="{3EABAAFA-1982-42C5-BE73-0596C3EE5959}"/>
    <cellStyle name="Comma 4 3" xfId="121" xr:uid="{648314B1-E0E1-43A9-B762-F6C32EAE205A}"/>
    <cellStyle name="Comma 4 3 2" xfId="255" xr:uid="{4B6BCB97-B4E8-4571-A041-200660AC820C}"/>
    <cellStyle name="Comma 4 3 3" xfId="196" xr:uid="{179FEE31-80AF-4F75-8915-17FB9282F8A1}"/>
    <cellStyle name="Comma 4 3 4" xfId="468" xr:uid="{43A5A74C-7984-497A-86CC-84473D143FD6}"/>
    <cellStyle name="Comma 4 4" xfId="214" xr:uid="{F26ECFC7-3E48-497F-B8AA-034CA0F8F80F}"/>
    <cellStyle name="Comma 4 4 2" xfId="411" xr:uid="{109983B8-E984-4D09-A49A-57D3DD88C415}"/>
    <cellStyle name="Comma 4 5" xfId="289" xr:uid="{45E88698-21FC-4461-ABD1-23E203A88B9C}"/>
    <cellStyle name="Comma 4 5 2" xfId="373" xr:uid="{F7C7E3DA-AFD3-4660-88E3-510476CD956B}"/>
    <cellStyle name="Comma 4 6" xfId="154" xr:uid="{6D226CB5-05DE-48F8-9565-494E296CB77D}"/>
    <cellStyle name="Comma 4 7" xfId="97" xr:uid="{482A6243-FE81-43BC-9611-1FA81DE2085A}"/>
    <cellStyle name="Comma 4 8" xfId="349" xr:uid="{14107CA4-0718-4FA8-926E-8B303CCB31CE}"/>
    <cellStyle name="Comma 5" xfId="61" xr:uid="{A32868E4-A5F4-44B6-BA09-37D09D888B5E}"/>
    <cellStyle name="Comma 5 2" xfId="72" xr:uid="{BCDF9140-B50F-465E-AA5C-A849EB29ADB3}"/>
    <cellStyle name="Comma 5 2 2" xfId="134" xr:uid="{4A3CBAAD-7B0A-4DB3-AA94-E3699677EF97}"/>
    <cellStyle name="Comma 5 2 2 2" xfId="424" xr:uid="{3C97A1EC-6B2C-4E23-A061-758307BB43D6}"/>
    <cellStyle name="Comma 5 2 3" xfId="216" xr:uid="{B75CC460-4455-437C-AC9E-AFA1C7FFC6EC}"/>
    <cellStyle name="Comma 5 2 4" xfId="110" xr:uid="{DF5E40FB-131F-4F7B-B512-5AFC1DB54243}"/>
    <cellStyle name="Comma 5 2 5" xfId="386" xr:uid="{30787E42-8418-410A-A42E-E05C5EE25C67}"/>
    <cellStyle name="Comma 5 3" xfId="124" xr:uid="{14F8A5E4-09C8-430C-9831-E2CF82D340BC}"/>
    <cellStyle name="Comma 5 3 2" xfId="290" xr:uid="{C2CE089D-E90F-43FF-8108-40EE43B94400}"/>
    <cellStyle name="Comma 5 3 3" xfId="414" xr:uid="{D7C6DA31-878D-49F8-96BB-73749D6BCF45}"/>
    <cellStyle name="Comma 5 4" xfId="156" xr:uid="{AB5C7307-16C7-466C-B419-63CF0B849762}"/>
    <cellStyle name="Comma 5 5" xfId="100" xr:uid="{CD7059FD-65C2-49BC-ABC7-64868F4DE010}"/>
    <cellStyle name="Comma 5 6" xfId="376" xr:uid="{1E5F5F5E-C224-4D3C-9210-DE5A541F37C8}"/>
    <cellStyle name="Comma 6" xfId="53" xr:uid="{D241BBA0-27BF-4E9C-A961-920C45167524}"/>
    <cellStyle name="Comma 6 2" xfId="118" xr:uid="{5976E86B-6A6A-4F11-B06A-4BBE6442A3D5}"/>
    <cellStyle name="Comma 6 2 2" xfId="218" xr:uid="{E1891318-160D-49AB-ADFF-E816D8263CBC}"/>
    <cellStyle name="Comma 6 2 3" xfId="408" xr:uid="{0F0A61BF-7A27-43C9-BA45-EF271CDAD38B}"/>
    <cellStyle name="Comma 6 3" xfId="158" xr:uid="{A32F5FD1-25C3-4CA0-9CFB-630715B2EE33}"/>
    <cellStyle name="Comma 6 4" xfId="94" xr:uid="{17804A7C-083A-45CE-B848-21692B8E7CBB}"/>
    <cellStyle name="Comma 6 5" xfId="370" xr:uid="{8BA4AAEE-39CD-44DA-AC57-6C5F729F394D}"/>
    <cellStyle name="Comma 7" xfId="66" xr:uid="{1669AEAE-1E90-4B7C-8761-99DC6ED3AD3E}"/>
    <cellStyle name="Comma 7 2" xfId="128" xr:uid="{5E615223-BCA2-4167-BCBB-1379D799761B}"/>
    <cellStyle name="Comma 7 2 2" xfId="236" xr:uid="{ACD40E8D-1B26-4CDB-8E21-EECDB978661C}"/>
    <cellStyle name="Comma 7 2 3" xfId="418" xr:uid="{63E9107C-CFB0-4777-8A4D-CD21AD28B0DE}"/>
    <cellStyle name="Comma 7 3" xfId="176" xr:uid="{E4DB591C-E653-4A80-AD41-D555C253A89C}"/>
    <cellStyle name="Comma 7 4" xfId="104" xr:uid="{5BE29B2B-4F2F-4F3F-A6DA-518DEDF65E72}"/>
    <cellStyle name="Comma 7 5" xfId="380" xr:uid="{4DE32FEC-F872-4E74-B624-87796B3C346A}"/>
    <cellStyle name="Comma 8" xfId="114" xr:uid="{05CCF456-6E07-459B-9E32-5EED048A361D}"/>
    <cellStyle name="Comma 8 2" xfId="211" xr:uid="{D9C62FEA-AF8C-463F-B908-32AF7CA99292}"/>
    <cellStyle name="Comma 8 3" xfId="428" xr:uid="{D812558F-6D0A-46FE-BDE1-1E4F255A3ABF}"/>
    <cellStyle name="Comma 9" xfId="270" xr:uid="{D80258B0-D1F2-4213-95C6-8CD48FDDF200}"/>
    <cellStyle name="Comma 9 2" xfId="432" xr:uid="{E6DE991E-8274-433F-8C01-66F69935CDA1}"/>
    <cellStyle name="Currency" xfId="50" builtinId="4"/>
    <cellStyle name="Currency 10" xfId="332" xr:uid="{32ADE64F-742F-411C-8905-E797AE8AB785}"/>
    <cellStyle name="Currency 11" xfId="313" xr:uid="{25011A0F-B4F6-4DD6-A292-1241E4323605}"/>
    <cellStyle name="Currency 2" xfId="56" xr:uid="{EB2E7EA7-AE89-4EC3-9387-DD144D55AFDA}"/>
    <cellStyle name="Currency 2 2" xfId="68" xr:uid="{A4B87B76-A3D5-4F44-8C4D-D1C77B91645A}"/>
    <cellStyle name="Currency 2 2 2" xfId="130" xr:uid="{3EA24935-3DC1-4A56-9E9E-BA563E2E59C5}"/>
    <cellStyle name="Currency 2 2 2 2" xfId="221" xr:uid="{3E6176DA-7F4E-461F-AD3F-7732E3B7F521}"/>
    <cellStyle name="Currency 2 2 2 3" xfId="420" xr:uid="{774BC62A-14DD-4E96-8FAB-0D4EDB1D692B}"/>
    <cellStyle name="Currency 2 2 3" xfId="293" xr:uid="{8B9396C5-D227-4CE5-8ADC-968B169E8E2F}"/>
    <cellStyle name="Currency 2 2 4" xfId="161" xr:uid="{090E9A54-EDC8-47C9-90B8-AE7C9BA58433}"/>
    <cellStyle name="Currency 2 2 5" xfId="106" xr:uid="{DDC3B740-C344-4CBC-B644-84BA4CA44059}"/>
    <cellStyle name="Currency 2 2 6" xfId="382" xr:uid="{2809D64D-242D-461E-9D49-F404B7EC89C8}"/>
    <cellStyle name="Currency 2 3" xfId="120" xr:uid="{859A710B-2F0A-4C1E-8845-EB5BC82712EA}"/>
    <cellStyle name="Currency 2 3 2" xfId="253" xr:uid="{6B599EC2-9295-4EFC-B085-A13A20D675E3}"/>
    <cellStyle name="Currency 2 3 3" xfId="193" xr:uid="{8BD58910-365B-4E52-AA1D-53FA13A7862C}"/>
    <cellStyle name="Currency 2 3 4" xfId="469" xr:uid="{0F8154DE-963E-47AF-9C44-D54FEAF27B18}"/>
    <cellStyle name="Currency 2 4" xfId="215" xr:uid="{15430F47-2A4E-46B5-8948-6BDCA3B261BB}"/>
    <cellStyle name="Currency 2 4 2" xfId="410" xr:uid="{B632B72C-B837-41E5-9B00-C95BC09C477D}"/>
    <cellStyle name="Currency 2 5" xfId="287" xr:uid="{33D7336B-F20C-4F0F-851B-C705F62481D0}"/>
    <cellStyle name="Currency 2 5 2" xfId="372" xr:uid="{E5FB3A29-761A-4255-96CA-4DFC82907174}"/>
    <cellStyle name="Currency 2 6" xfId="155" xr:uid="{FDCD564B-C6A3-467E-942E-586E2332ECAD}"/>
    <cellStyle name="Currency 2 7" xfId="96" xr:uid="{FC59AA7A-BB63-4C39-A4A7-14D7FF7D1B6A}"/>
    <cellStyle name="Currency 2 8" xfId="350" xr:uid="{4A547EE7-6974-4DCE-875A-A3FB68FD69DA}"/>
    <cellStyle name="Currency 3" xfId="63" xr:uid="{217A723E-BFE1-4142-8988-FB898BB9F9F9}"/>
    <cellStyle name="Currency 3 2" xfId="73" xr:uid="{D908048C-32C7-49C9-8A1E-69043B2253B1}"/>
    <cellStyle name="Currency 3 2 2" xfId="135" xr:uid="{DD8A6CC8-A179-4C9E-863A-0A88FAB7B801}"/>
    <cellStyle name="Currency 3 2 2 2" xfId="425" xr:uid="{CC45BF03-B0E8-491A-B6BC-C80E748D7CCB}"/>
    <cellStyle name="Currency 3 2 3" xfId="237" xr:uid="{DFC8CFD8-FE76-47FA-A4A7-A99A3FAF8373}"/>
    <cellStyle name="Currency 3 2 4" xfId="111" xr:uid="{C43EBFF8-17EE-4C92-AB0B-241B304C4133}"/>
    <cellStyle name="Currency 3 2 5" xfId="387" xr:uid="{334540F5-35A9-4E68-A064-E3848FB199B4}"/>
    <cellStyle name="Currency 3 3" xfId="125" xr:uid="{62FE5542-D4C9-4B62-92F7-941E00A41ADC}"/>
    <cellStyle name="Currency 3 3 2" xfId="291" xr:uid="{C237D1AE-F4A6-4BAD-A6C2-B5BD43E24836}"/>
    <cellStyle name="Currency 3 3 3" xfId="415" xr:uid="{4FF93BDC-73A1-426A-AD00-D6BA492BEC9D}"/>
    <cellStyle name="Currency 3 4" xfId="177" xr:uid="{74B9F6AC-49D1-43DE-A677-C5D5A82715A1}"/>
    <cellStyle name="Currency 3 5" xfId="101" xr:uid="{60E32649-6B2E-4308-8E84-C1D66194B788}"/>
    <cellStyle name="Currency 3 6" xfId="377" xr:uid="{6B0BDDD2-AC38-4256-AD19-CC549B383965}"/>
    <cellStyle name="Currency 4" xfId="55" xr:uid="{2EDC897E-9EB2-4448-A691-A93523FE4376}"/>
    <cellStyle name="Currency 4 2" xfId="119" xr:uid="{655A878C-0975-4E76-BDB8-6F5A65A2A7BE}"/>
    <cellStyle name="Currency 4 2 2" xfId="409" xr:uid="{3045C5D0-3B39-4DAD-A782-044F056BC8DA}"/>
    <cellStyle name="Currency 4 3" xfId="271" xr:uid="{E4466B69-8512-4281-B66F-717EA9C097C1}"/>
    <cellStyle name="Currency 4 4" xfId="95" xr:uid="{82451908-646A-4384-84BF-8F88EA56F453}"/>
    <cellStyle name="Currency 4 5" xfId="371" xr:uid="{C6CE34CD-4A35-4AA1-9B4B-EB77C2E4B662}"/>
    <cellStyle name="Currency 5" xfId="67" xr:uid="{FE3D5BF8-74B1-4383-B2A7-C1B5F95CEF9A}"/>
    <cellStyle name="Currency 5 2" xfId="129" xr:uid="{E724DB3A-D527-4DF8-B392-A629896D4EE3}"/>
    <cellStyle name="Currency 5 2 2" xfId="419" xr:uid="{31225C77-52CA-4F7C-BBAF-2AF092EC8F63}"/>
    <cellStyle name="Currency 5 3" xfId="105" xr:uid="{A20B88BC-B719-45A9-91AF-285D16A0DBBE}"/>
    <cellStyle name="Currency 5 4" xfId="381" xr:uid="{333A55E5-A7D2-409A-873A-C4F4BD93BB74}"/>
    <cellStyle name="Currency 6" xfId="115" xr:uid="{85EA5B54-D0BA-498E-B506-05D627668EB5}"/>
    <cellStyle name="Currency 6 2" xfId="429" xr:uid="{4B6E1C03-C161-47C9-8EC4-B1E99789D4CF}"/>
    <cellStyle name="Currency 7" xfId="91" xr:uid="{E02EB12E-8191-414A-828A-B4760A98621D}"/>
    <cellStyle name="Currency 7 2" xfId="433" xr:uid="{F9B34DB4-6CD5-4C5B-9D02-72F9A6BA4D34}"/>
    <cellStyle name="Currency 8" xfId="451" xr:uid="{C057F321-1D59-4663-9BB3-A5A9FEBA4A85}"/>
    <cellStyle name="Currency 9" xfId="405" xr:uid="{278AC49F-176E-4C98-A3F2-3D38F85BCC1D}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4" builtinId="8"/>
    <cellStyle name="Hyperlink 2" xfId="34" xr:uid="{00000000-0005-0000-0000-000021000000}"/>
    <cellStyle name="Hyperlink 3" xfId="57" xr:uid="{5C0B79D7-8311-491C-8E3F-79ECC4EBFA54}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 xr:uid="{00000000-0005-0000-0000-000026000000}"/>
    <cellStyle name="Normal 2 2" xfId="47" xr:uid="{FDE15292-4DE5-4FD6-9879-71461C9735AB}"/>
    <cellStyle name="Normal 2 2 2" xfId="195" xr:uid="{24466EE4-42C1-4895-8412-0E79206423E7}"/>
    <cellStyle name="Normal 2 2 3" xfId="190" xr:uid="{7C12728C-DBFA-4019-A838-92C3D323D4E7}"/>
    <cellStyle name="Normal 2 2 3 2" xfId="250" xr:uid="{9A3B6AE7-3141-4B94-97E6-4D86C648548C}"/>
    <cellStyle name="Normal 2 2 4" xfId="284" xr:uid="{C5DE1542-91B9-4387-89DE-8C8FA237AAE0}"/>
    <cellStyle name="Normal 2 3" xfId="174" xr:uid="{B3940C4F-5C89-46A7-B434-E4255CE2F0F2}"/>
    <cellStyle name="Normal 2 3 2" xfId="234" xr:uid="{0D3E7923-AE16-455A-A677-078BAC276D9C}"/>
    <cellStyle name="Normal 2 3 2 2" xfId="464" xr:uid="{E419BFFE-3A6C-498F-9164-F86848DBA4D0}"/>
    <cellStyle name="Normal 2 3 3" xfId="345" xr:uid="{D4087DD0-6D18-43F4-BB99-F2940D5BA2B8}"/>
    <cellStyle name="Normal 2 4" xfId="209" xr:uid="{0F867BDA-0E79-44A6-8C5E-092AA0249151}"/>
    <cellStyle name="Normal 2 4 2" xfId="446" xr:uid="{45606D84-574C-4CF0-A941-BB68BD96F3B9}"/>
    <cellStyle name="Normal 2 5" xfId="268" xr:uid="{C7BD1178-A4CD-4C17-B4FD-C57CFE71176E}"/>
    <cellStyle name="Normal 2 5 2" xfId="400" xr:uid="{09A04FD3-FA0E-4904-AEB9-2B123A6F87D6}"/>
    <cellStyle name="Normal 2 6" xfId="148" xr:uid="{B635E755-3A8B-4DB9-A46C-DD4CA21F4119}"/>
    <cellStyle name="Normal 2 6 2" xfId="363" xr:uid="{8B89E05F-BBB8-4CD8-ABEE-86639F5D6807}"/>
    <cellStyle name="Normal 2 7" xfId="86" xr:uid="{256D4F89-FBBA-496F-9BA6-6708B1DA0C74}"/>
    <cellStyle name="Normal 2 7 2" xfId="326" xr:uid="{13ED98D9-8FBB-44B0-9B2E-050E89D61A6F}"/>
    <cellStyle name="Normal 2 8" xfId="308" xr:uid="{A5F4E6CF-25B4-4F25-89CD-69DA4E124169}"/>
    <cellStyle name="Normal 3" xfId="151" xr:uid="{86BF4DA0-1530-482A-9012-F8D2F3527297}"/>
    <cellStyle name="Note 2" xfId="39" xr:uid="{00000000-0005-0000-0000-000027000000}"/>
    <cellStyle name="Note 2 2" xfId="191" xr:uid="{F3F0E74D-5D09-4196-AB51-BDB38C654E92}"/>
    <cellStyle name="Note 2 2 2" xfId="251" xr:uid="{0D2775E0-9D80-4C58-AA38-5E95C70C3701}"/>
    <cellStyle name="Note 2 2 2 2" xfId="465" xr:uid="{EBBFDD77-24A9-4A9A-BFA4-428E2450896E}"/>
    <cellStyle name="Note 2 2 3" xfId="285" xr:uid="{993792F1-9064-4E44-9563-324B6083494B}"/>
    <cellStyle name="Note 2 2 4" xfId="346" xr:uid="{07F11E7B-3B42-4634-A770-9A52677AF288}"/>
    <cellStyle name="Note 2 3" xfId="175" xr:uid="{888A4058-AFB0-48C1-849E-C6B8B00CA5F2}"/>
    <cellStyle name="Note 2 3 2" xfId="235" xr:uid="{44F55652-87A2-4FE0-87DA-00ECAE74AB0F}"/>
    <cellStyle name="Note 2 3 3" xfId="447" xr:uid="{A0502A8E-07C9-4F91-863C-DCDAAF0A4B6B}"/>
    <cellStyle name="Note 2 4" xfId="210" xr:uid="{2C6B5C55-18AD-41B6-9056-B8C39A60D2CD}"/>
    <cellStyle name="Note 2 4 2" xfId="401" xr:uid="{18B6F013-B61B-469F-84B3-F3A3570C03C9}"/>
    <cellStyle name="Note 2 5" xfId="269" xr:uid="{F55FBD2E-32CD-4BFA-A009-C6A2469367E7}"/>
    <cellStyle name="Note 2 5 2" xfId="364" xr:uid="{202FFE02-2B92-47A1-B4A0-28398C3CA2A4}"/>
    <cellStyle name="Note 2 6" xfId="149" xr:uid="{F62BFA91-8870-4E02-89E7-1F1C5A273AB4}"/>
    <cellStyle name="Note 2 6 2" xfId="327" xr:uid="{0F3E1453-79BA-4AB2-9E41-B21D6D91A885}"/>
    <cellStyle name="Note 2 7" xfId="87" xr:uid="{6D933CFE-3659-4825-AB9D-540CF3584876}"/>
    <cellStyle name="Note 2 8" xfId="309" xr:uid="{F567B187-920B-4752-A2C4-3A9E74D14326}"/>
    <cellStyle name="Output" xfId="40" builtinId="21" customBuiltin="1"/>
    <cellStyle name="Percent" xfId="49" builtinId="5"/>
    <cellStyle name="Percent 2" xfId="62" xr:uid="{CAE3022C-EB1B-4864-A683-A18FDF045C8E}"/>
    <cellStyle name="Percent 3" xfId="54" xr:uid="{26DE64B8-F89B-4DCF-867F-53C4BB68A09D}"/>
    <cellStyle name="Percent 4" xfId="331" xr:uid="{5D5A3107-DEDB-40F5-9683-0DEFDB430D70}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103477</xdr:colOff>
      <xdr:row>57</xdr:row>
      <xdr:rowOff>84642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5D5A13-0BBF-A0E3-A171-59ABA6F24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7700"/>
          <a:ext cx="10380952" cy="86666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18133</xdr:colOff>
      <xdr:row>18</xdr:row>
      <xdr:rowOff>56799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80AF13-5C8E-8FF2-2E0B-45F956AC8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7333333" cy="28095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22</xdr:col>
      <xdr:colOff>275276</xdr:colOff>
      <xdr:row>38</xdr:row>
      <xdr:rowOff>8683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8385786-7143-DA1D-AB91-4789B1FC1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2475" y="381000"/>
          <a:ext cx="7590476" cy="6733333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40</xdr:row>
      <xdr:rowOff>0</xdr:rowOff>
    </xdr:from>
    <xdr:to>
      <xdr:col>22</xdr:col>
      <xdr:colOff>189562</xdr:colOff>
      <xdr:row>82</xdr:row>
      <xdr:rowOff>27721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A525853-37CF-3A96-DF8E-576C76F5B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2475" y="7429500"/>
          <a:ext cx="7504762" cy="6828571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</xdr:row>
      <xdr:rowOff>0</xdr:rowOff>
    </xdr:from>
    <xdr:to>
      <xdr:col>35</xdr:col>
      <xdr:colOff>27657</xdr:colOff>
      <xdr:row>37</xdr:row>
      <xdr:rowOff>18227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BB1EBEC-2FED-0173-0301-A3E90AC03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97275" y="381000"/>
          <a:ext cx="7342857" cy="6580952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41</xdr:row>
      <xdr:rowOff>0</xdr:rowOff>
    </xdr:from>
    <xdr:to>
      <xdr:col>35</xdr:col>
      <xdr:colOff>122895</xdr:colOff>
      <xdr:row>83</xdr:row>
      <xdr:rowOff>113436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32F39B7-7ADF-A30C-4EFD-C2069C4F3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97275" y="7591425"/>
          <a:ext cx="7438095" cy="69142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303848</xdr:colOff>
      <xdr:row>25</xdr:row>
      <xdr:rowOff>151895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B47003-893B-304F-E81A-E6B1A531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7619048" cy="40380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16</xdr:col>
      <xdr:colOff>160464</xdr:colOff>
      <xdr:row>29</xdr:row>
      <xdr:rowOff>104951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79EC07-65C9-7215-11C5-CA7B7D4AD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97923"/>
          <a:ext cx="11685714" cy="445714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16</xdr:col>
      <xdr:colOff>132114</xdr:colOff>
      <xdr:row>43</xdr:row>
      <xdr:rowOff>18279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AEED4B-C08E-B082-4991-A21ACB4A8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5775"/>
          <a:ext cx="9885714" cy="617142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514350</xdr:colOff>
      <xdr:row>16</xdr:row>
      <xdr:rowOff>114301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5FD39D-BCFE-49B4-AAAE-29B70F93D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060" t="17790" r="17793" b="54899"/>
        <a:stretch/>
      </xdr:blipFill>
      <xdr:spPr>
        <a:xfrm>
          <a:off x="0" y="0"/>
          <a:ext cx="7219950" cy="270510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323850</xdr:colOff>
      <xdr:row>15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06EE77-0632-46B6-A956-CCE27EFA9F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77" t="19329" r="9221" b="55956"/>
        <a:stretch/>
      </xdr:blipFill>
      <xdr:spPr>
        <a:xfrm>
          <a:off x="0" y="0"/>
          <a:ext cx="7029450" cy="244792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57150</xdr:colOff>
      <xdr:row>53</xdr:row>
      <xdr:rowOff>133350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B1B49ABA-5CC6-418C-BB04-05B20EC96BF4}"/>
            </a:ext>
          </a:extLst>
        </xdr:cNvPr>
        <xdr:cNvGrpSpPr/>
      </xdr:nvGrpSpPr>
      <xdr:grpSpPr>
        <a:xfrm>
          <a:off x="0" y="0"/>
          <a:ext cx="6153150" cy="8715375"/>
          <a:chOff x="0" y="0"/>
          <a:chExt cx="6153150" cy="8715375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A9ABA936-19F6-4D2B-82DB-1AAE8CFC507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28024" t="16156" r="38325" b="7200"/>
          <a:stretch/>
        </xdr:blipFill>
        <xdr:spPr>
          <a:xfrm>
            <a:off x="0" y="0"/>
            <a:ext cx="6153150" cy="7591425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FF2FDB04-FD82-454C-9392-FE02607009F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7972" t="24041" r="38951" b="63265"/>
          <a:stretch/>
        </xdr:blipFill>
        <xdr:spPr>
          <a:xfrm>
            <a:off x="0" y="7458075"/>
            <a:ext cx="6048376" cy="1257300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600075</xdr:colOff>
      <xdr:row>0</xdr:row>
      <xdr:rowOff>0</xdr:rowOff>
    </xdr:from>
    <xdr:to>
      <xdr:col>22</xdr:col>
      <xdr:colOff>0</xdr:colOff>
      <xdr:row>33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1DF5A6-846B-4822-9DEF-CA58FD510D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8129" t="24041" r="38482" b="21817"/>
        <a:stretch/>
      </xdr:blipFill>
      <xdr:spPr>
        <a:xfrm>
          <a:off x="7305675" y="0"/>
          <a:ext cx="6105525" cy="5362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</xdr:row>
      <xdr:rowOff>38100</xdr:rowOff>
    </xdr:from>
    <xdr:to>
      <xdr:col>11</xdr:col>
      <xdr:colOff>209550</xdr:colOff>
      <xdr:row>81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7CB113-CB18-4177-B354-1DD7CC632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672" t="9844" r="37759" b="24006"/>
        <a:stretch/>
      </xdr:blipFill>
      <xdr:spPr>
        <a:xfrm>
          <a:off x="7953375" y="6838950"/>
          <a:ext cx="6915150" cy="6400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123824</xdr:rowOff>
    </xdr:from>
    <xdr:to>
      <xdr:col>4</xdr:col>
      <xdr:colOff>521589</xdr:colOff>
      <xdr:row>160</xdr:row>
      <xdr:rowOff>160686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D4F91E1E-7FBB-4562-9D0B-D1B112A97AED}"/>
            </a:ext>
          </a:extLst>
        </xdr:cNvPr>
        <xdr:cNvGrpSpPr/>
      </xdr:nvGrpSpPr>
      <xdr:grpSpPr>
        <a:xfrm>
          <a:off x="0" y="16478249"/>
          <a:ext cx="2959989" cy="9590437"/>
          <a:chOff x="0" y="16449674"/>
          <a:chExt cx="18285714" cy="9590437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EEE85235-21A1-4F25-9854-25408821F6C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3174"/>
          <a:stretch/>
        </xdr:blipFill>
        <xdr:spPr>
          <a:xfrm>
            <a:off x="0" y="16449674"/>
            <a:ext cx="18285714" cy="9590437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5B1FA55-ED8F-4A5F-A807-0AC0EEF8B2C4}"/>
              </a:ext>
            </a:extLst>
          </xdr:cNvPr>
          <xdr:cNvSpPr txBox="1"/>
        </xdr:nvSpPr>
        <xdr:spPr>
          <a:xfrm>
            <a:off x="6877050" y="20974050"/>
            <a:ext cx="2409825" cy="2857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100"/>
              <a:t>X00077383824</a:t>
            </a:r>
          </a:p>
        </xdr:txBody>
      </xdr:sp>
    </xdr:grpSp>
    <xdr:clientData/>
  </xdr:twoCellAnchor>
  <xdr:twoCellAnchor>
    <xdr:from>
      <xdr:col>0</xdr:col>
      <xdr:colOff>0</xdr:colOff>
      <xdr:row>164</xdr:row>
      <xdr:rowOff>142875</xdr:rowOff>
    </xdr:from>
    <xdr:to>
      <xdr:col>4</xdr:col>
      <xdr:colOff>521589</xdr:colOff>
      <xdr:row>224</xdr:row>
      <xdr:rowOff>27337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9FF00A5-4314-4519-AD74-9344D160B0D1}"/>
            </a:ext>
          </a:extLst>
        </xdr:cNvPr>
        <xdr:cNvGrpSpPr/>
      </xdr:nvGrpSpPr>
      <xdr:grpSpPr>
        <a:xfrm>
          <a:off x="0" y="26698575"/>
          <a:ext cx="2959989" cy="9599962"/>
          <a:chOff x="0" y="26698575"/>
          <a:chExt cx="18285714" cy="9599962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BB8264D8-CA26-4E4F-A3D1-F08213BED43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3078"/>
          <a:stretch/>
        </xdr:blipFill>
        <xdr:spPr>
          <a:xfrm>
            <a:off x="0" y="26698575"/>
            <a:ext cx="18285714" cy="9599962"/>
          </a:xfrm>
          <a:prstGeom prst="rect">
            <a:avLst/>
          </a:prstGeom>
        </xdr:spPr>
      </xdr:pic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AA76BAC-53D5-4CD4-A03A-CB305DD8E38A}"/>
              </a:ext>
            </a:extLst>
          </xdr:cNvPr>
          <xdr:cNvSpPr txBox="1"/>
        </xdr:nvSpPr>
        <xdr:spPr>
          <a:xfrm>
            <a:off x="6562725" y="30832425"/>
            <a:ext cx="2428875" cy="2381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100"/>
              <a:t>GRUND SUPERANNUATION FUND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409575</xdr:colOff>
      <xdr:row>7</xdr:row>
      <xdr:rowOff>85725</xdr:rowOff>
    </xdr:from>
    <xdr:to>
      <xdr:col>30</xdr:col>
      <xdr:colOff>284775</xdr:colOff>
      <xdr:row>22</xdr:row>
      <xdr:rowOff>56767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A07BCB-5753-BB5F-DC1E-77F3B0462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92350" y="1552575"/>
          <a:ext cx="7800000" cy="3066667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24</xdr:row>
      <xdr:rowOff>0</xdr:rowOff>
    </xdr:from>
    <xdr:to>
      <xdr:col>30</xdr:col>
      <xdr:colOff>361067</xdr:colOff>
      <xdr:row>41</xdr:row>
      <xdr:rowOff>28181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A09F70-E9A5-FE77-0882-B8C76F02F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01975" y="4943475"/>
          <a:ext cx="7066667" cy="315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447675</xdr:colOff>
      <xdr:row>15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E1AEDB-03BA-4CE7-91F7-802E479AA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388" t="19041" r="18059" b="55090"/>
        <a:stretch/>
      </xdr:blipFill>
      <xdr:spPr>
        <a:xfrm>
          <a:off x="0" y="0"/>
          <a:ext cx="7048500" cy="2562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152401</xdr:colOff>
      <xdr:row>16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419216-B582-4F1F-AE9D-E886490E2F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748" t="16444" r="10464" b="56245"/>
        <a:stretch/>
      </xdr:blipFill>
      <xdr:spPr>
        <a:xfrm>
          <a:off x="0" y="0"/>
          <a:ext cx="7124701" cy="2705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19050</xdr:rowOff>
    </xdr:from>
    <xdr:to>
      <xdr:col>7</xdr:col>
      <xdr:colOff>265906</xdr:colOff>
      <xdr:row>32</xdr:row>
      <xdr:rowOff>85352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558A3B-E7DA-CD74-1CBB-12C1490D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6352381" cy="29809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15</xdr:col>
      <xdr:colOff>474789</xdr:colOff>
      <xdr:row>51</xdr:row>
      <xdr:rowOff>85168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2ADD23-C0D3-4AEA-BDDA-87CCF747E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86200"/>
          <a:ext cx="11685714" cy="44571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13</xdr:col>
      <xdr:colOff>360826</xdr:colOff>
      <xdr:row>68</xdr:row>
      <xdr:rowOff>84601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558DD7-0C3C-B7AD-6313-D285EF5EA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81400"/>
          <a:ext cx="8990476" cy="89904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15</xdr:col>
      <xdr:colOff>513119</xdr:colOff>
      <xdr:row>63</xdr:row>
      <xdr:rowOff>27514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9DB2D4E-5FD0-30DE-1502-0A5E81F46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81175"/>
          <a:ext cx="9847619" cy="84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81"/>
  <sheetViews>
    <sheetView topLeftCell="A23" workbookViewId="0">
      <selection activeCell="C64" sqref="C64"/>
    </sheetView>
  </sheetViews>
  <sheetFormatPr defaultRowHeight="12.75" x14ac:dyDescent="0.2"/>
  <cols>
    <col min="1" max="1" width="14.85546875" customWidth="1"/>
    <col min="2" max="2" width="38.7109375" customWidth="1"/>
    <col min="3" max="3" width="14.140625" customWidth="1"/>
    <col min="4" max="4" width="8.28515625" customWidth="1"/>
    <col min="5" max="5" width="30.28515625" customWidth="1"/>
    <col min="6" max="6" width="22.7109375" customWidth="1"/>
    <col min="7" max="7" width="24.42578125" customWidth="1"/>
    <col min="8" max="8" width="10.140625" bestFit="1" customWidth="1"/>
  </cols>
  <sheetData>
    <row r="1" spans="1:8" x14ac:dyDescent="0.2">
      <c r="G1" s="63" t="s">
        <v>113</v>
      </c>
      <c r="H1" s="63" t="s">
        <v>114</v>
      </c>
    </row>
    <row r="2" spans="1:8" ht="18" x14ac:dyDescent="0.25">
      <c r="A2" s="53"/>
      <c r="B2" s="54" t="s">
        <v>0</v>
      </c>
      <c r="C2" s="54"/>
      <c r="F2" s="65" t="s">
        <v>106</v>
      </c>
      <c r="G2" s="60" t="s">
        <v>186</v>
      </c>
      <c r="H2" s="69">
        <v>43803</v>
      </c>
    </row>
    <row r="3" spans="1:8" ht="18" x14ac:dyDescent="0.25">
      <c r="A3" s="53"/>
      <c r="B3" s="55" t="s">
        <v>66</v>
      </c>
      <c r="C3" s="54"/>
      <c r="D3" s="64"/>
      <c r="E3" s="61"/>
      <c r="F3" s="60" t="s">
        <v>107</v>
      </c>
      <c r="G3" s="60"/>
    </row>
    <row r="4" spans="1:8" ht="18" x14ac:dyDescent="0.25">
      <c r="A4" s="53"/>
      <c r="B4" s="55"/>
      <c r="C4" s="54"/>
      <c r="D4" s="61"/>
      <c r="E4" s="61"/>
      <c r="F4" s="62"/>
      <c r="G4" s="62"/>
    </row>
    <row r="5" spans="1:8" ht="18" x14ac:dyDescent="0.25">
      <c r="A5" s="53"/>
      <c r="B5" s="56"/>
      <c r="C5" s="57" t="s">
        <v>67</v>
      </c>
      <c r="E5" s="38" t="s">
        <v>108</v>
      </c>
    </row>
    <row r="6" spans="1:8" x14ac:dyDescent="0.2">
      <c r="A6" s="53"/>
      <c r="B6" s="53"/>
      <c r="C6" s="57" t="s">
        <v>68</v>
      </c>
      <c r="E6" s="63" t="s">
        <v>109</v>
      </c>
    </row>
    <row r="7" spans="1:8" x14ac:dyDescent="0.2">
      <c r="A7" s="53"/>
      <c r="B7" s="53"/>
      <c r="C7" s="53"/>
      <c r="E7" s="63" t="s">
        <v>110</v>
      </c>
    </row>
    <row r="8" spans="1:8" x14ac:dyDescent="0.2">
      <c r="A8" s="53" t="s">
        <v>69</v>
      </c>
      <c r="B8" s="53"/>
      <c r="C8" s="53"/>
      <c r="E8" s="63" t="s">
        <v>111</v>
      </c>
    </row>
    <row r="9" spans="1:8" x14ac:dyDescent="0.2">
      <c r="A9" s="53"/>
      <c r="B9" s="53" t="s">
        <v>70</v>
      </c>
      <c r="C9" s="53">
        <v>1</v>
      </c>
      <c r="E9" s="63" t="s">
        <v>112</v>
      </c>
    </row>
    <row r="10" spans="1:8" x14ac:dyDescent="0.2">
      <c r="A10" s="53"/>
      <c r="B10" s="53" t="s">
        <v>71</v>
      </c>
      <c r="C10" s="53">
        <v>2</v>
      </c>
    </row>
    <row r="11" spans="1:8" x14ac:dyDescent="0.2">
      <c r="A11" s="53"/>
      <c r="B11" s="53" t="s">
        <v>72</v>
      </c>
      <c r="C11" s="53">
        <v>3</v>
      </c>
    </row>
    <row r="12" spans="1:8" x14ac:dyDescent="0.2">
      <c r="A12" s="53"/>
      <c r="B12" s="53" t="s">
        <v>73</v>
      </c>
      <c r="C12" s="53">
        <v>4</v>
      </c>
    </row>
    <row r="13" spans="1:8" x14ac:dyDescent="0.2">
      <c r="A13" s="53"/>
      <c r="B13" s="58" t="s">
        <v>74</v>
      </c>
      <c r="C13" s="53">
        <v>5</v>
      </c>
    </row>
    <row r="14" spans="1:8" x14ac:dyDescent="0.2">
      <c r="A14" s="53"/>
      <c r="B14" s="53"/>
      <c r="C14" s="53"/>
    </row>
    <row r="15" spans="1:8" x14ac:dyDescent="0.2">
      <c r="A15" s="53"/>
      <c r="B15" s="53" t="s">
        <v>75</v>
      </c>
      <c r="C15" s="53">
        <v>6</v>
      </c>
    </row>
    <row r="16" spans="1:8" x14ac:dyDescent="0.2">
      <c r="A16" s="53"/>
      <c r="B16" s="53"/>
      <c r="C16" s="53"/>
    </row>
    <row r="17" spans="1:4" x14ac:dyDescent="0.2">
      <c r="A17" s="53"/>
      <c r="B17" s="53" t="s">
        <v>76</v>
      </c>
      <c r="C17" s="53">
        <v>7</v>
      </c>
    </row>
    <row r="18" spans="1:4" x14ac:dyDescent="0.2">
      <c r="A18" s="53"/>
      <c r="B18" s="53"/>
      <c r="C18" s="53"/>
    </row>
    <row r="19" spans="1:4" x14ac:dyDescent="0.2">
      <c r="A19" s="53"/>
      <c r="B19" s="53" t="s">
        <v>65</v>
      </c>
      <c r="C19" s="53">
        <v>8</v>
      </c>
    </row>
    <row r="20" spans="1:4" x14ac:dyDescent="0.2">
      <c r="A20" s="53"/>
      <c r="B20" s="53"/>
      <c r="C20" s="53"/>
    </row>
    <row r="21" spans="1:4" x14ac:dyDescent="0.2">
      <c r="A21" s="53"/>
      <c r="B21" s="53" t="s">
        <v>6</v>
      </c>
      <c r="C21" s="67">
        <v>10</v>
      </c>
    </row>
    <row r="22" spans="1:4" x14ac:dyDescent="0.2">
      <c r="A22" s="53"/>
      <c r="B22" s="53"/>
      <c r="C22" s="53"/>
    </row>
    <row r="23" spans="1:4" x14ac:dyDescent="0.2">
      <c r="A23" s="53" t="s">
        <v>2</v>
      </c>
      <c r="B23" s="53"/>
      <c r="C23" s="53"/>
    </row>
    <row r="24" spans="1:4" x14ac:dyDescent="0.2">
      <c r="A24" s="53"/>
      <c r="B24" s="53" t="s">
        <v>77</v>
      </c>
      <c r="C24" s="67">
        <v>20</v>
      </c>
    </row>
    <row r="25" spans="1:4" x14ac:dyDescent="0.2">
      <c r="A25" s="53"/>
      <c r="B25" s="53" t="s">
        <v>78</v>
      </c>
      <c r="C25" s="53">
        <v>21</v>
      </c>
    </row>
    <row r="26" spans="1:4" x14ac:dyDescent="0.2">
      <c r="A26" s="53"/>
      <c r="B26" s="53" t="s">
        <v>79</v>
      </c>
      <c r="C26" s="53">
        <v>22</v>
      </c>
    </row>
    <row r="27" spans="1:4" x14ac:dyDescent="0.2">
      <c r="A27" s="53"/>
      <c r="B27" s="53" t="s">
        <v>15</v>
      </c>
      <c r="C27" s="67">
        <v>23</v>
      </c>
      <c r="D27" t="s">
        <v>335</v>
      </c>
    </row>
    <row r="28" spans="1:4" x14ac:dyDescent="0.2">
      <c r="A28" s="53"/>
      <c r="B28" s="53" t="s">
        <v>80</v>
      </c>
      <c r="C28" s="53">
        <v>24</v>
      </c>
    </row>
    <row r="29" spans="1:4" x14ac:dyDescent="0.2">
      <c r="A29" s="53"/>
      <c r="B29" s="53" t="s">
        <v>81</v>
      </c>
      <c r="C29" s="53">
        <v>25</v>
      </c>
    </row>
    <row r="30" spans="1:4" x14ac:dyDescent="0.2">
      <c r="A30" s="53"/>
      <c r="B30" s="53" t="s">
        <v>169</v>
      </c>
      <c r="C30" s="67">
        <v>26</v>
      </c>
    </row>
    <row r="31" spans="1:4" x14ac:dyDescent="0.2">
      <c r="A31" s="53"/>
      <c r="B31" s="53" t="s">
        <v>82</v>
      </c>
      <c r="C31" s="66">
        <v>27</v>
      </c>
    </row>
    <row r="32" spans="1:4" x14ac:dyDescent="0.2">
      <c r="A32" s="53"/>
      <c r="B32" s="53" t="s">
        <v>83</v>
      </c>
      <c r="C32" s="53">
        <v>28</v>
      </c>
    </row>
    <row r="33" spans="1:3" x14ac:dyDescent="0.2">
      <c r="A33" s="53"/>
      <c r="B33" s="53" t="s">
        <v>84</v>
      </c>
      <c r="C33" s="67">
        <v>29</v>
      </c>
    </row>
    <row r="34" spans="1:3" x14ac:dyDescent="0.2">
      <c r="A34" s="53"/>
      <c r="B34" s="53"/>
      <c r="C34" s="53"/>
    </row>
    <row r="35" spans="1:3" x14ac:dyDescent="0.2">
      <c r="A35" s="53" t="s">
        <v>1</v>
      </c>
      <c r="B35" s="53"/>
      <c r="C35" s="53"/>
    </row>
    <row r="36" spans="1:3" x14ac:dyDescent="0.2">
      <c r="A36" s="53"/>
      <c r="B36" s="53" t="s">
        <v>9</v>
      </c>
      <c r="C36" s="67">
        <v>30</v>
      </c>
    </row>
    <row r="37" spans="1:3" x14ac:dyDescent="0.2">
      <c r="A37" s="53"/>
      <c r="B37" s="53" t="s">
        <v>85</v>
      </c>
      <c r="C37" s="67">
        <v>31</v>
      </c>
    </row>
    <row r="38" spans="1:3" x14ac:dyDescent="0.2">
      <c r="A38" s="53"/>
      <c r="B38" s="53"/>
      <c r="C38" s="53">
        <v>32</v>
      </c>
    </row>
    <row r="39" spans="1:3" x14ac:dyDescent="0.2">
      <c r="A39" s="53"/>
      <c r="B39" s="53" t="s">
        <v>86</v>
      </c>
      <c r="C39" s="67">
        <v>33</v>
      </c>
    </row>
    <row r="40" spans="1:3" x14ac:dyDescent="0.2">
      <c r="A40" s="53"/>
      <c r="B40" s="53" t="s">
        <v>87</v>
      </c>
      <c r="C40" s="68" t="s">
        <v>7</v>
      </c>
    </row>
    <row r="41" spans="1:3" x14ac:dyDescent="0.2">
      <c r="A41" s="53"/>
      <c r="B41" s="53"/>
      <c r="C41" s="53">
        <v>35</v>
      </c>
    </row>
    <row r="42" spans="1:3" x14ac:dyDescent="0.2">
      <c r="A42" s="53"/>
      <c r="B42" s="53" t="s">
        <v>88</v>
      </c>
      <c r="C42" s="67">
        <v>36</v>
      </c>
    </row>
    <row r="43" spans="1:3" x14ac:dyDescent="0.2">
      <c r="A43" s="53"/>
      <c r="B43" s="53" t="s">
        <v>89</v>
      </c>
      <c r="C43" s="67">
        <v>37</v>
      </c>
    </row>
    <row r="44" spans="1:3" x14ac:dyDescent="0.2">
      <c r="A44" s="53"/>
      <c r="B44" s="53"/>
      <c r="C44" s="53"/>
    </row>
    <row r="45" spans="1:3" x14ac:dyDescent="0.2">
      <c r="A45" s="53"/>
      <c r="B45" s="53" t="s">
        <v>90</v>
      </c>
      <c r="C45" s="67">
        <v>38</v>
      </c>
    </row>
    <row r="46" spans="1:3" x14ac:dyDescent="0.2">
      <c r="A46" s="53"/>
      <c r="B46" s="53" t="s">
        <v>91</v>
      </c>
      <c r="C46" s="59" t="s">
        <v>8</v>
      </c>
    </row>
    <row r="47" spans="1:3" x14ac:dyDescent="0.2">
      <c r="A47" s="53"/>
      <c r="B47" s="53" t="s">
        <v>92</v>
      </c>
      <c r="C47" s="68">
        <v>39</v>
      </c>
    </row>
    <row r="48" spans="1:3" x14ac:dyDescent="0.2">
      <c r="A48" s="53"/>
      <c r="B48" s="53" t="s">
        <v>93</v>
      </c>
      <c r="C48" s="67">
        <v>40</v>
      </c>
    </row>
    <row r="49" spans="1:3" x14ac:dyDescent="0.2">
      <c r="A49" s="53"/>
      <c r="B49" s="53"/>
      <c r="C49" s="53"/>
    </row>
    <row r="50" spans="1:3" x14ac:dyDescent="0.2">
      <c r="A50" s="58" t="s">
        <v>3</v>
      </c>
      <c r="B50" s="53"/>
      <c r="C50" s="53"/>
    </row>
    <row r="51" spans="1:3" x14ac:dyDescent="0.2">
      <c r="A51" s="53"/>
      <c r="B51" s="53" t="s">
        <v>94</v>
      </c>
      <c r="C51" s="53">
        <v>41</v>
      </c>
    </row>
    <row r="52" spans="1:3" x14ac:dyDescent="0.2">
      <c r="A52" s="53"/>
      <c r="B52" s="53" t="s">
        <v>95</v>
      </c>
      <c r="C52" s="53">
        <v>42</v>
      </c>
    </row>
    <row r="53" spans="1:3" x14ac:dyDescent="0.2">
      <c r="A53" s="53"/>
      <c r="B53" s="58" t="s">
        <v>96</v>
      </c>
      <c r="C53" s="53">
        <v>45</v>
      </c>
    </row>
    <row r="54" spans="1:3" x14ac:dyDescent="0.2">
      <c r="A54" s="58" t="s">
        <v>4</v>
      </c>
      <c r="B54" s="53"/>
      <c r="C54" s="53"/>
    </row>
    <row r="55" spans="1:3" x14ac:dyDescent="0.2">
      <c r="A55" s="53"/>
      <c r="B55" s="58" t="s">
        <v>361</v>
      </c>
      <c r="C55" s="67">
        <v>50</v>
      </c>
    </row>
    <row r="56" spans="1:3" x14ac:dyDescent="0.2">
      <c r="A56" s="53"/>
      <c r="B56" s="53" t="s">
        <v>97</v>
      </c>
      <c r="C56" s="53">
        <v>51</v>
      </c>
    </row>
    <row r="57" spans="1:3" x14ac:dyDescent="0.2">
      <c r="A57" s="53"/>
      <c r="B57" s="53" t="s">
        <v>98</v>
      </c>
      <c r="C57" s="67">
        <v>52</v>
      </c>
    </row>
    <row r="58" spans="1:3" x14ac:dyDescent="0.2">
      <c r="A58" s="53"/>
      <c r="B58" s="53" t="s">
        <v>362</v>
      </c>
      <c r="C58" s="67">
        <v>53</v>
      </c>
    </row>
    <row r="59" spans="1:3" x14ac:dyDescent="0.2">
      <c r="A59" s="53"/>
      <c r="B59" s="53" t="s">
        <v>99</v>
      </c>
      <c r="C59" s="53">
        <v>54</v>
      </c>
    </row>
    <row r="60" spans="1:3" x14ac:dyDescent="0.2">
      <c r="A60" s="53"/>
      <c r="B60" s="53" t="s">
        <v>48</v>
      </c>
      <c r="C60" s="53">
        <v>55</v>
      </c>
    </row>
    <row r="61" spans="1:3" x14ac:dyDescent="0.2">
      <c r="A61" s="58" t="s">
        <v>5</v>
      </c>
      <c r="B61" s="53"/>
      <c r="C61" s="53"/>
    </row>
    <row r="62" spans="1:3" x14ac:dyDescent="0.2">
      <c r="A62" s="53"/>
      <c r="B62" s="53" t="s">
        <v>25</v>
      </c>
      <c r="C62" s="67">
        <v>64</v>
      </c>
    </row>
    <row r="63" spans="1:3" x14ac:dyDescent="0.2">
      <c r="A63" s="53"/>
      <c r="B63" s="53" t="s">
        <v>48</v>
      </c>
      <c r="C63" s="53">
        <v>61</v>
      </c>
    </row>
    <row r="64" spans="1:3" x14ac:dyDescent="0.2">
      <c r="A64" s="53"/>
      <c r="B64" s="53" t="s">
        <v>185</v>
      </c>
      <c r="C64" s="67">
        <v>62</v>
      </c>
    </row>
    <row r="65" spans="1:3" x14ac:dyDescent="0.2">
      <c r="A65" s="53"/>
      <c r="B65" s="58" t="s">
        <v>100</v>
      </c>
      <c r="C65" s="53">
        <v>64</v>
      </c>
    </row>
    <row r="66" spans="1:3" x14ac:dyDescent="0.2">
      <c r="A66" s="53"/>
      <c r="B66" s="53" t="s">
        <v>438</v>
      </c>
      <c r="C66" s="67">
        <v>65</v>
      </c>
    </row>
    <row r="67" spans="1:3" x14ac:dyDescent="0.2">
      <c r="A67" s="53"/>
      <c r="B67" s="58" t="s">
        <v>101</v>
      </c>
      <c r="C67" s="66">
        <v>69</v>
      </c>
    </row>
    <row r="68" spans="1:3" x14ac:dyDescent="0.2">
      <c r="A68" s="53"/>
      <c r="B68" s="53"/>
      <c r="C68" s="53"/>
    </row>
    <row r="69" spans="1:3" x14ac:dyDescent="0.2">
      <c r="A69" s="53"/>
      <c r="B69" s="58" t="s">
        <v>102</v>
      </c>
      <c r="C69" s="66">
        <v>80</v>
      </c>
    </row>
    <row r="70" spans="1:3" x14ac:dyDescent="0.2">
      <c r="A70" s="53"/>
      <c r="B70" s="53"/>
      <c r="C70" s="53"/>
    </row>
    <row r="71" spans="1:3" x14ac:dyDescent="0.2">
      <c r="A71" s="53"/>
      <c r="B71" s="58" t="s">
        <v>103</v>
      </c>
      <c r="C71" s="53">
        <v>90</v>
      </c>
    </row>
    <row r="72" spans="1:3" x14ac:dyDescent="0.2">
      <c r="A72" s="53"/>
      <c r="B72" s="58" t="s">
        <v>104</v>
      </c>
      <c r="C72" s="53">
        <v>91</v>
      </c>
    </row>
    <row r="73" spans="1:3" x14ac:dyDescent="0.2">
      <c r="A73" s="53"/>
      <c r="B73" s="58" t="s">
        <v>105</v>
      </c>
      <c r="C73" s="53">
        <v>92</v>
      </c>
    </row>
    <row r="74" spans="1:3" x14ac:dyDescent="0.2">
      <c r="A74" s="53"/>
      <c r="B74" s="53"/>
      <c r="C74" s="53">
        <v>63</v>
      </c>
    </row>
    <row r="75" spans="1:3" x14ac:dyDescent="0.2">
      <c r="A75" s="53"/>
      <c r="B75" s="53"/>
      <c r="C75" s="53">
        <v>64</v>
      </c>
    </row>
    <row r="76" spans="1:3" x14ac:dyDescent="0.2">
      <c r="A76" s="53"/>
      <c r="B76" s="53"/>
      <c r="C76" s="53">
        <v>65</v>
      </c>
    </row>
    <row r="77" spans="1:3" x14ac:dyDescent="0.2">
      <c r="A77" s="53"/>
      <c r="B77" s="53"/>
      <c r="C77" s="53">
        <v>66</v>
      </c>
    </row>
    <row r="78" spans="1:3" x14ac:dyDescent="0.2">
      <c r="A78" s="53"/>
      <c r="B78" s="53"/>
      <c r="C78" s="53">
        <v>67</v>
      </c>
    </row>
    <row r="79" spans="1:3" x14ac:dyDescent="0.2">
      <c r="A79" s="53"/>
      <c r="B79" s="53"/>
      <c r="C79" s="53">
        <v>68</v>
      </c>
    </row>
    <row r="80" spans="1:3" x14ac:dyDescent="0.2">
      <c r="A80" s="53"/>
      <c r="B80" s="53"/>
      <c r="C80" s="53">
        <v>69</v>
      </c>
    </row>
    <row r="81" spans="1:3" x14ac:dyDescent="0.2">
      <c r="A81" s="53"/>
      <c r="B81" s="53"/>
      <c r="C81" s="53">
        <v>80</v>
      </c>
    </row>
  </sheetData>
  <phoneticPr fontId="3" type="noConversion"/>
  <hyperlinks>
    <hyperlink ref="C21" location="'10.Queries'!A1" display="'10.Queries'!A1" xr:uid="{CD78376A-168D-4E68-9283-DF2B50062578}"/>
    <hyperlink ref="C27" location="'23.'!A1" display="'23.'!A1" xr:uid="{186668D0-4194-4F86-8AC3-461BD254B21D}"/>
    <hyperlink ref="C24" location="'20.'!A1" display="'20.'!A1" xr:uid="{C1C332CA-1DF4-41A6-B6C8-06508D71C82B}"/>
    <hyperlink ref="C33" location="'29.'!A1" display="'29.'!A1" xr:uid="{BB48B202-A0EC-47F8-B91A-A68A1CF2AF74}"/>
    <hyperlink ref="C36" location="'30.'!A1" display="'30.'!A1" xr:uid="{1C5BA690-F61A-41DF-B82D-B855FC58EED4}"/>
    <hyperlink ref="C37" location="'31.'!A1" display="'31.'!A1" xr:uid="{376E9464-385D-4DE3-8B48-A90FAD29FE0E}"/>
    <hyperlink ref="C39" location="'33.'!A1" display="'33.'!A1" xr:uid="{E0069F6C-22E2-4FB5-97D9-EF1A4EB119E7}"/>
    <hyperlink ref="C40" location="'33.1'!A1" display="33-1" xr:uid="{E742592C-41A1-46E4-A2BE-6A875DF22156}"/>
    <hyperlink ref="C42" location="'36.'!A1" display="'36.'!A1" xr:uid="{72E81E7B-005D-45B8-A73E-A5B431B04236}"/>
    <hyperlink ref="C43" location="'37.'!A1" display="'37.'!A1" xr:uid="{00A93FA8-933C-4583-AA0E-BC14B367EC60}"/>
    <hyperlink ref="C45" location="'38.'!A1" display="'38.'!A1" xr:uid="{0144DB1A-04DB-4B37-ACC3-687B14930D85}"/>
    <hyperlink ref="C47" location="'39.'!A1" display="'39.'!A1" xr:uid="{508CB2D6-494F-41FA-9F24-E8405D898F79}"/>
    <hyperlink ref="C48" location="'40'!A1" display="'40'!A1" xr:uid="{ADEDBCAE-14F2-4118-833C-C502D75F84B8}"/>
    <hyperlink ref="C57" location="'52.'!A1" display="'52.'!A1" xr:uid="{7D0A1593-97F9-4829-802D-C765C409F374}"/>
    <hyperlink ref="C62" location="'64.'!A1" display="'64.'!A1" xr:uid="{D21BE44F-F46D-4A2E-AC37-01CCDFDBD65E}"/>
    <hyperlink ref="C67" location="'69.'!A1" display="'69.'!A1" xr:uid="{C97C401A-7C76-4665-A0E0-49F7C335ADBC}"/>
    <hyperlink ref="C69" location="'80.GJ'!A1" display="'80.GJ'!A1" xr:uid="{E0084BEE-DEDB-4F5C-B364-5FA675BAE0A2}"/>
    <hyperlink ref="C31" location="'27'!A1" display="'27'!A1" xr:uid="{F41C5999-C622-4EA7-9DA7-E5F1C4B452FA}"/>
    <hyperlink ref="C30" location="'26'!A1" display="'26'!A1" xr:uid="{B748FAAE-EDB8-47B4-8B2E-9DB62DC7464A}"/>
    <hyperlink ref="C55" location="'50.Dividends'!A1" display="'50.Dividends'!A1" xr:uid="{6765484C-A739-448F-B7A0-7DE327AEB123}"/>
    <hyperlink ref="C58" location="'53'!A1" display="'53'!A1" xr:uid="{1E82B26F-3D5F-4E21-80F8-6D587602C377}"/>
    <hyperlink ref="C64" location="'62'!A1" display="'62'!A1" xr:uid="{F2B840B8-E7FD-41F6-85FF-2512535DECDD}"/>
    <hyperlink ref="C66" location="'65'!A1" display="'65'!A1" xr:uid="{B195462B-4120-459C-B5F0-951BF1CC6508}"/>
  </hyperlinks>
  <printOptions gridLines="1"/>
  <pageMargins left="0.74803149606299213" right="0.74803149606299213" top="0.98425196850393704" bottom="0.98425196850393704" header="0.51181102362204722" footer="0.51181102362204722"/>
  <pageSetup scale="70" orientation="portrait" r:id="rId1"/>
  <headerFooter alignWithMargins="0">
    <oddFooter>&amp;L&amp;8&amp;Z&amp;F  _&amp;A
&amp;D  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31"/>
  <sheetViews>
    <sheetView topLeftCell="B7" workbookViewId="0">
      <selection activeCell="E20" sqref="E20"/>
    </sheetView>
  </sheetViews>
  <sheetFormatPr defaultRowHeight="12.75" x14ac:dyDescent="0.2"/>
  <cols>
    <col min="1" max="1" width="10.85546875" style="27" customWidth="1"/>
  </cols>
  <sheetData>
    <row r="1" spans="1:1" ht="13.5" thickBot="1" x14ac:dyDescent="0.25">
      <c r="A1" s="1"/>
    </row>
    <row r="2" spans="1:1" ht="13.5" thickTop="1" x14ac:dyDescent="0.2">
      <c r="A2" s="5"/>
    </row>
    <row r="3" spans="1:1" x14ac:dyDescent="0.2">
      <c r="A3" s="10"/>
    </row>
    <row r="4" spans="1:1" x14ac:dyDescent="0.2">
      <c r="A4" s="10"/>
    </row>
    <row r="5" spans="1:1" x14ac:dyDescent="0.2">
      <c r="A5" s="10"/>
    </row>
    <row r="6" spans="1:1" x14ac:dyDescent="0.2">
      <c r="A6" s="10"/>
    </row>
    <row r="7" spans="1:1" x14ac:dyDescent="0.2">
      <c r="A7" s="13"/>
    </row>
    <row r="8" spans="1:1" x14ac:dyDescent="0.2">
      <c r="A8" s="13"/>
    </row>
    <row r="9" spans="1:1" x14ac:dyDescent="0.2">
      <c r="A9" s="13"/>
    </row>
    <row r="10" spans="1:1" x14ac:dyDescent="0.2">
      <c r="A10" s="20" t="s">
        <v>17</v>
      </c>
    </row>
    <row r="11" spans="1:1" x14ac:dyDescent="0.2">
      <c r="A11" s="35" t="s">
        <v>16</v>
      </c>
    </row>
    <row r="12" spans="1:1" ht="24" x14ac:dyDescent="0.2">
      <c r="A12" s="50" t="s">
        <v>26</v>
      </c>
    </row>
    <row r="13" spans="1:1" x14ac:dyDescent="0.2">
      <c r="A13" s="35" t="s">
        <v>13</v>
      </c>
    </row>
    <row r="14" spans="1:1" ht="15" customHeight="1" x14ac:dyDescent="0.2">
      <c r="A14" s="35" t="s">
        <v>13</v>
      </c>
    </row>
    <row r="15" spans="1:1" ht="15" customHeight="1" x14ac:dyDescent="0.2">
      <c r="A15" s="35" t="s">
        <v>13</v>
      </c>
    </row>
    <row r="16" spans="1:1" ht="15" customHeight="1" x14ac:dyDescent="0.2">
      <c r="A16" s="35" t="s">
        <v>13</v>
      </c>
    </row>
    <row r="17" spans="1:1" ht="15" customHeight="1" x14ac:dyDescent="0.2">
      <c r="A17" s="35" t="s">
        <v>13</v>
      </c>
    </row>
    <row r="18" spans="1:1" ht="15" customHeight="1" x14ac:dyDescent="0.2">
      <c r="A18" s="35" t="s">
        <v>13</v>
      </c>
    </row>
    <row r="19" spans="1:1" ht="15" customHeight="1" x14ac:dyDescent="0.2">
      <c r="A19" s="35" t="s">
        <v>13</v>
      </c>
    </row>
    <row r="20" spans="1:1" ht="15" customHeight="1" x14ac:dyDescent="0.2">
      <c r="A20" s="35" t="s">
        <v>13</v>
      </c>
    </row>
    <row r="21" spans="1:1" ht="15" customHeight="1" thickBot="1" x14ac:dyDescent="0.25">
      <c r="A21" s="22"/>
    </row>
    <row r="22" spans="1:1" ht="15" customHeight="1" thickTop="1" x14ac:dyDescent="0.2"/>
    <row r="23" spans="1:1" ht="15" customHeight="1" x14ac:dyDescent="0.2">
      <c r="A23"/>
    </row>
    <row r="24" spans="1:1" ht="15" customHeight="1" x14ac:dyDescent="0.2">
      <c r="A24"/>
    </row>
    <row r="25" spans="1:1" ht="15" customHeight="1" x14ac:dyDescent="0.2">
      <c r="A25"/>
    </row>
    <row r="26" spans="1:1" ht="15" customHeight="1" x14ac:dyDescent="0.2">
      <c r="A26"/>
    </row>
    <row r="27" spans="1:1" ht="15" customHeight="1" x14ac:dyDescent="0.2">
      <c r="A27"/>
    </row>
    <row r="28" spans="1:1" ht="15" customHeight="1" x14ac:dyDescent="0.2">
      <c r="A28"/>
    </row>
    <row r="29" spans="1:1" ht="15" customHeight="1" x14ac:dyDescent="0.2">
      <c r="A29"/>
    </row>
    <row r="30" spans="1:1" ht="15" customHeight="1" x14ac:dyDescent="0.2">
      <c r="A30"/>
    </row>
    <row r="31" spans="1:1" x14ac:dyDescent="0.2">
      <c r="A31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H31"/>
  <sheetViews>
    <sheetView workbookViewId="0">
      <selection activeCell="O27" sqref="O27"/>
    </sheetView>
  </sheetViews>
  <sheetFormatPr defaultRowHeight="12.75" x14ac:dyDescent="0.2"/>
  <cols>
    <col min="1" max="1" width="10.140625" bestFit="1" customWidth="1"/>
    <col min="7" max="7" width="10.28515625" bestFit="1" customWidth="1"/>
    <col min="10" max="10" width="13.28515625" customWidth="1"/>
  </cols>
  <sheetData>
    <row r="1" spans="1:8" ht="13.5" customHeight="1" x14ac:dyDescent="0.2"/>
    <row r="2" spans="1:8" ht="13.5" customHeight="1" x14ac:dyDescent="0.2">
      <c r="A2" s="63"/>
    </row>
    <row r="3" spans="1:8" ht="13.5" customHeight="1" x14ac:dyDescent="0.2">
      <c r="A3" s="63"/>
    </row>
    <row r="4" spans="1:8" x14ac:dyDescent="0.2">
      <c r="A4" s="63"/>
    </row>
    <row r="6" spans="1:8" x14ac:dyDescent="0.2">
      <c r="A6" s="38"/>
    </row>
    <row r="7" spans="1:8" x14ac:dyDescent="0.2">
      <c r="A7" s="63"/>
    </row>
    <row r="8" spans="1:8" x14ac:dyDescent="0.2">
      <c r="A8" s="63"/>
    </row>
    <row r="9" spans="1:8" x14ac:dyDescent="0.2">
      <c r="A9" s="63"/>
    </row>
    <row r="10" spans="1:8" ht="13.5" customHeight="1" x14ac:dyDescent="0.2"/>
    <row r="11" spans="1:8" x14ac:dyDescent="0.2">
      <c r="A11" s="38"/>
    </row>
    <row r="14" spans="1:8" x14ac:dyDescent="0.2">
      <c r="A14" s="69"/>
      <c r="G14" s="114"/>
      <c r="H14" s="112"/>
    </row>
    <row r="15" spans="1:8" x14ac:dyDescent="0.2">
      <c r="A15" s="69"/>
      <c r="G15" s="114"/>
      <c r="H15" s="112"/>
    </row>
    <row r="16" spans="1:8" x14ac:dyDescent="0.2">
      <c r="A16" s="69"/>
      <c r="G16" s="114"/>
      <c r="H16" s="112"/>
    </row>
    <row r="20" spans="1:1" x14ac:dyDescent="0.2">
      <c r="A20" s="38"/>
    </row>
    <row r="21" spans="1:1" x14ac:dyDescent="0.2">
      <c r="A21" s="63"/>
    </row>
    <row r="27" spans="1:1" x14ac:dyDescent="0.2">
      <c r="A27" s="63"/>
    </row>
    <row r="28" spans="1:1" x14ac:dyDescent="0.2">
      <c r="A28" s="63"/>
    </row>
    <row r="29" spans="1:1" x14ac:dyDescent="0.2">
      <c r="A29" s="63"/>
    </row>
    <row r="31" spans="1:1" x14ac:dyDescent="0.2">
      <c r="A31" s="63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K72"/>
  <sheetViews>
    <sheetView workbookViewId="0">
      <selection activeCell="Q33" sqref="Q33"/>
    </sheetView>
  </sheetViews>
  <sheetFormatPr defaultRowHeight="12.75" x14ac:dyDescent="0.2"/>
  <cols>
    <col min="1" max="1" width="21.42578125" style="27" bestFit="1" customWidth="1"/>
    <col min="2" max="2" width="18.5703125" bestFit="1" customWidth="1"/>
    <col min="3" max="3" width="14.140625" customWidth="1"/>
    <col min="4" max="4" width="32" bestFit="1" customWidth="1"/>
    <col min="5" max="5" width="10.85546875" bestFit="1" customWidth="1"/>
    <col min="6" max="6" width="11.42578125" bestFit="1" customWidth="1"/>
  </cols>
  <sheetData>
    <row r="1" spans="1:11" x14ac:dyDescent="0.2">
      <c r="A1"/>
    </row>
    <row r="2" spans="1:11" x14ac:dyDescent="0.2">
      <c r="A2"/>
    </row>
    <row r="3" spans="1:11" x14ac:dyDescent="0.2">
      <c r="A3"/>
    </row>
    <row r="4" spans="1:11" x14ac:dyDescent="0.2">
      <c r="A4"/>
    </row>
    <row r="5" spans="1:11" x14ac:dyDescent="0.2">
      <c r="A5"/>
    </row>
    <row r="6" spans="1:11" x14ac:dyDescent="0.2">
      <c r="A6"/>
    </row>
    <row r="7" spans="1:11" x14ac:dyDescent="0.2">
      <c r="A7"/>
    </row>
    <row r="8" spans="1:11" x14ac:dyDescent="0.2">
      <c r="A8"/>
    </row>
    <row r="9" spans="1:11" x14ac:dyDescent="0.2">
      <c r="A9"/>
    </row>
    <row r="10" spans="1:11" x14ac:dyDescent="0.2">
      <c r="A10"/>
    </row>
    <row r="11" spans="1:11" x14ac:dyDescent="0.2">
      <c r="A11"/>
    </row>
    <row r="12" spans="1:11" x14ac:dyDescent="0.2">
      <c r="A12"/>
      <c r="K12" s="63" t="s">
        <v>195</v>
      </c>
    </row>
    <row r="13" spans="1:11" ht="12.75" customHeight="1" x14ac:dyDescent="0.2">
      <c r="A13"/>
    </row>
    <row r="14" spans="1:11" ht="12.75" customHeight="1" x14ac:dyDescent="0.2">
      <c r="A14"/>
      <c r="K14" s="63"/>
    </row>
    <row r="15" spans="1:11" x14ac:dyDescent="0.2">
      <c r="A15"/>
    </row>
    <row r="16" spans="1:11" x14ac:dyDescent="0.2">
      <c r="A16"/>
    </row>
    <row r="17" spans="1:1" x14ac:dyDescent="0.2">
      <c r="A17"/>
    </row>
    <row r="18" spans="1:1" x14ac:dyDescent="0.2">
      <c r="A18"/>
    </row>
    <row r="19" spans="1:1" x14ac:dyDescent="0.2">
      <c r="A19"/>
    </row>
    <row r="20" spans="1:1" x14ac:dyDescent="0.2">
      <c r="A20"/>
    </row>
    <row r="21" spans="1:1" x14ac:dyDescent="0.2">
      <c r="A21"/>
    </row>
    <row r="22" spans="1:1" x14ac:dyDescent="0.2">
      <c r="A22"/>
    </row>
    <row r="23" spans="1:1" x14ac:dyDescent="0.2">
      <c r="A23"/>
    </row>
    <row r="24" spans="1:1" x14ac:dyDescent="0.2">
      <c r="A24"/>
    </row>
    <row r="25" spans="1:1" x14ac:dyDescent="0.2">
      <c r="A25"/>
    </row>
    <row r="26" spans="1:1" x14ac:dyDescent="0.2">
      <c r="A26"/>
    </row>
    <row r="27" spans="1:1" x14ac:dyDescent="0.2">
      <c r="A27"/>
    </row>
    <row r="28" spans="1:1" x14ac:dyDescent="0.2">
      <c r="A28"/>
    </row>
    <row r="29" spans="1:1" x14ac:dyDescent="0.2">
      <c r="A29"/>
    </row>
    <row r="30" spans="1:1" x14ac:dyDescent="0.2">
      <c r="A30"/>
    </row>
    <row r="31" spans="1:1" x14ac:dyDescent="0.2">
      <c r="A31"/>
    </row>
    <row r="32" spans="1:1" x14ac:dyDescent="0.2">
      <c r="A32"/>
    </row>
    <row r="33" spans="1:1" x14ac:dyDescent="0.2">
      <c r="A33"/>
    </row>
    <row r="34" spans="1:1" ht="12.75" customHeight="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"/>
  <sheetViews>
    <sheetView workbookViewId="0">
      <selection activeCell="A2" sqref="A2:X38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paperSize="9" scale="25" orientation="portrait" r:id="rId1"/>
  <headerFooter alignWithMargins="0">
    <oddFooter>&amp;L&amp;8&amp;Z&amp;F  _&amp;A
&amp;D  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ADE87-58AC-42BD-9A9A-278690E7E675}">
  <sheetPr>
    <tabColor rgb="FFFFFF00"/>
  </sheetPr>
  <dimension ref="A1:C16"/>
  <sheetViews>
    <sheetView workbookViewId="0">
      <selection activeCell="H38" sqref="H38"/>
    </sheetView>
  </sheetViews>
  <sheetFormatPr defaultRowHeight="12.75" x14ac:dyDescent="0.2"/>
  <cols>
    <col min="1" max="1" width="19.5703125" bestFit="1" customWidth="1"/>
    <col min="2" max="2" width="19.7109375" bestFit="1" customWidth="1"/>
    <col min="3" max="3" width="16" bestFit="1" customWidth="1"/>
  </cols>
  <sheetData>
    <row r="1" spans="1:3" x14ac:dyDescent="0.2">
      <c r="A1" s="317" t="s">
        <v>116</v>
      </c>
      <c r="B1" s="318"/>
      <c r="C1" s="319"/>
    </row>
    <row r="2" spans="1:3" x14ac:dyDescent="0.2">
      <c r="A2" s="320" t="s">
        <v>13</v>
      </c>
      <c r="B2" s="321"/>
      <c r="C2" s="322"/>
    </row>
    <row r="3" spans="1:3" x14ac:dyDescent="0.2">
      <c r="A3" s="320"/>
      <c r="B3" s="321"/>
      <c r="C3" s="322"/>
    </row>
    <row r="4" spans="1:3" x14ac:dyDescent="0.2">
      <c r="A4" s="320"/>
      <c r="B4" s="321"/>
      <c r="C4" s="322"/>
    </row>
    <row r="5" spans="1:3" x14ac:dyDescent="0.2">
      <c r="A5" s="320"/>
      <c r="B5" s="321"/>
      <c r="C5" s="322"/>
    </row>
    <row r="6" spans="1:3" ht="20.25" x14ac:dyDescent="0.3">
      <c r="A6" s="323" t="s">
        <v>328</v>
      </c>
      <c r="B6" s="324"/>
      <c r="C6" s="325"/>
    </row>
    <row r="7" spans="1:3" x14ac:dyDescent="0.2">
      <c r="A7" s="314" t="s">
        <v>329</v>
      </c>
      <c r="B7" s="315"/>
      <c r="C7" s="316"/>
    </row>
    <row r="8" spans="1:3" x14ac:dyDescent="0.2">
      <c r="A8" s="91"/>
      <c r="B8" s="70"/>
      <c r="C8" s="249"/>
    </row>
    <row r="9" spans="1:3" x14ac:dyDescent="0.2">
      <c r="A9" s="79" t="s">
        <v>27</v>
      </c>
      <c r="B9" s="117" t="s">
        <v>330</v>
      </c>
      <c r="C9" s="117" t="s">
        <v>331</v>
      </c>
    </row>
    <row r="10" spans="1:3" x14ac:dyDescent="0.2">
      <c r="A10" s="92"/>
      <c r="B10" s="77"/>
      <c r="C10" s="250"/>
    </row>
    <row r="11" spans="1:3" x14ac:dyDescent="0.2">
      <c r="A11" s="228" t="s">
        <v>332</v>
      </c>
      <c r="B11" s="75">
        <v>3304.4</v>
      </c>
      <c r="C11" s="247">
        <v>300.39999999999998</v>
      </c>
    </row>
    <row r="12" spans="1:3" x14ac:dyDescent="0.2">
      <c r="A12" s="248" t="s">
        <v>23</v>
      </c>
      <c r="B12" s="75">
        <v>3304.4</v>
      </c>
      <c r="C12" s="247">
        <v>300.39999999999998</v>
      </c>
    </row>
    <row r="13" spans="1:3" x14ac:dyDescent="0.2">
      <c r="A13" s="248" t="s">
        <v>333</v>
      </c>
      <c r="B13" s="75">
        <v>3304.4</v>
      </c>
      <c r="C13" s="247"/>
    </row>
    <row r="14" spans="1:3" x14ac:dyDescent="0.2">
      <c r="A14" s="248" t="s">
        <v>34</v>
      </c>
      <c r="B14" s="75">
        <v>0</v>
      </c>
      <c r="C14" s="247"/>
    </row>
    <row r="15" spans="1:3" x14ac:dyDescent="0.2">
      <c r="A15" s="251"/>
      <c r="B15" s="231"/>
      <c r="C15" s="252"/>
    </row>
    <row r="16" spans="1:3" x14ac:dyDescent="0.2">
      <c r="A16" s="80"/>
      <c r="B16" s="121"/>
      <c r="C16" s="253"/>
    </row>
  </sheetData>
  <mergeCells count="7">
    <mergeCell ref="A7:C7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50"/>
  <sheetViews>
    <sheetView workbookViewId="0">
      <selection activeCell="A45" sqref="A45:C53"/>
    </sheetView>
  </sheetViews>
  <sheetFormatPr defaultRowHeight="12.75" x14ac:dyDescent="0.2"/>
  <sheetData>
    <row r="1" ht="22.5" customHeight="1" x14ac:dyDescent="0.2"/>
    <row r="2" ht="12.75" customHeight="1" x14ac:dyDescent="0.2"/>
    <row r="5" ht="12.75" customHeight="1" x14ac:dyDescent="0.2"/>
    <row r="11" ht="12.75" customHeight="1" x14ac:dyDescent="0.2"/>
    <row r="27" ht="12.75" customHeight="1" x14ac:dyDescent="0.2"/>
    <row r="29" ht="15" customHeight="1" x14ac:dyDescent="0.2"/>
    <row r="30" ht="12.75" customHeight="1" x14ac:dyDescent="0.2"/>
    <row r="49" spans="1:1" x14ac:dyDescent="0.2">
      <c r="A49" s="38"/>
    </row>
    <row r="50" spans="1:1" x14ac:dyDescent="0.2">
      <c r="A50" s="38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E40DB-84A9-43BE-9599-16EE8B0A871F}">
  <sheetPr>
    <pageSetUpPr fitToPage="1"/>
  </sheetPr>
  <dimension ref="A1:A50"/>
  <sheetViews>
    <sheetView workbookViewId="0">
      <selection sqref="A1:K19"/>
    </sheetView>
  </sheetViews>
  <sheetFormatPr defaultRowHeight="12.75" x14ac:dyDescent="0.2"/>
  <cols>
    <col min="4" max="4" width="11.140625" bestFit="1" customWidth="1"/>
    <col min="5" max="5" width="66.42578125" bestFit="1" customWidth="1"/>
  </cols>
  <sheetData>
    <row r="1" ht="22.5" customHeight="1" x14ac:dyDescent="0.2"/>
    <row r="2" ht="12.75" customHeight="1" x14ac:dyDescent="0.2"/>
    <row r="5" ht="12.75" customHeight="1" x14ac:dyDescent="0.2"/>
    <row r="11" ht="12.75" customHeight="1" x14ac:dyDescent="0.2"/>
    <row r="27" ht="12.75" customHeight="1" x14ac:dyDescent="0.2"/>
    <row r="29" ht="15" customHeight="1" x14ac:dyDescent="0.2"/>
    <row r="30" ht="12.75" customHeight="1" x14ac:dyDescent="0.2"/>
    <row r="49" spans="1:1" x14ac:dyDescent="0.2">
      <c r="A49" s="38"/>
    </row>
    <row r="50" spans="1:1" x14ac:dyDescent="0.2">
      <c r="A50" s="38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94C04-C776-4884-94F6-8D5B7515B14C}">
  <sheetPr>
    <tabColor rgb="FFFFFF00"/>
  </sheetPr>
  <dimension ref="A2:H10"/>
  <sheetViews>
    <sheetView workbookViewId="0">
      <selection activeCell="D15" sqref="D15"/>
    </sheetView>
  </sheetViews>
  <sheetFormatPr defaultRowHeight="12.75" x14ac:dyDescent="0.2"/>
  <cols>
    <col min="1" max="1" width="26.140625" bestFit="1" customWidth="1"/>
    <col min="2" max="2" width="18.7109375" bestFit="1" customWidth="1"/>
  </cols>
  <sheetData>
    <row r="2" spans="1:8" x14ac:dyDescent="0.2">
      <c r="A2" s="38" t="s">
        <v>433</v>
      </c>
    </row>
    <row r="3" spans="1:8" x14ac:dyDescent="0.2">
      <c r="H3" s="209"/>
    </row>
    <row r="4" spans="1:8" x14ac:dyDescent="0.2">
      <c r="A4" t="s">
        <v>422</v>
      </c>
      <c r="B4" s="63" t="s">
        <v>423</v>
      </c>
      <c r="C4" s="63" t="s">
        <v>424</v>
      </c>
    </row>
    <row r="5" spans="1:8" x14ac:dyDescent="0.2">
      <c r="A5" t="s">
        <v>425</v>
      </c>
      <c r="B5" s="63" t="s">
        <v>426</v>
      </c>
      <c r="C5" s="313" t="s">
        <v>427</v>
      </c>
    </row>
    <row r="6" spans="1:8" x14ac:dyDescent="0.2">
      <c r="A6" s="63" t="s">
        <v>428</v>
      </c>
      <c r="B6" s="63" t="s">
        <v>429</v>
      </c>
      <c r="C6" s="312"/>
    </row>
    <row r="7" spans="1:8" x14ac:dyDescent="0.2">
      <c r="A7" s="63" t="s">
        <v>430</v>
      </c>
      <c r="B7" s="63" t="s">
        <v>431</v>
      </c>
    </row>
    <row r="8" spans="1:8" x14ac:dyDescent="0.2">
      <c r="A8" s="63" t="s">
        <v>432</v>
      </c>
      <c r="B8" s="63" t="s">
        <v>423</v>
      </c>
      <c r="D8" s="63"/>
    </row>
    <row r="10" spans="1:8" x14ac:dyDescent="0.2">
      <c r="C10" s="31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DBF20-A6EA-4E31-81CF-E710C596B431}">
  <sheetPr>
    <tabColor rgb="FFFFFF00"/>
  </sheetPr>
  <dimension ref="A1:Q37"/>
  <sheetViews>
    <sheetView topLeftCell="G1" workbookViewId="0">
      <selection activeCell="D33" sqref="D33"/>
    </sheetView>
  </sheetViews>
  <sheetFormatPr defaultRowHeight="12.75" x14ac:dyDescent="0.2"/>
  <cols>
    <col min="1" max="1" width="32" customWidth="1"/>
    <col min="2" max="2" width="4" customWidth="1"/>
    <col min="4" max="4" width="13.5703125" customWidth="1"/>
    <col min="6" max="12" width="12.5703125" customWidth="1"/>
    <col min="13" max="14" width="12.5703125" style="111" customWidth="1"/>
    <col min="15" max="17" width="12.5703125" customWidth="1"/>
  </cols>
  <sheetData>
    <row r="1" spans="1:17" ht="15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243"/>
      <c r="N1" s="243"/>
      <c r="O1" s="133"/>
      <c r="P1" s="133"/>
      <c r="Q1" s="133"/>
    </row>
    <row r="2" spans="1:17" ht="23.25" x14ac:dyDescent="0.35">
      <c r="A2" s="178" t="s">
        <v>249</v>
      </c>
      <c r="B2" s="134"/>
      <c r="C2" s="134"/>
      <c r="D2" s="179"/>
      <c r="E2" s="144"/>
      <c r="F2" s="180"/>
      <c r="G2" s="180"/>
      <c r="H2" s="180"/>
      <c r="I2" s="180"/>
      <c r="J2" s="181"/>
      <c r="K2" s="182"/>
      <c r="L2" s="183"/>
      <c r="M2" s="245"/>
      <c r="N2" s="245"/>
      <c r="O2" s="141"/>
      <c r="P2" s="141"/>
      <c r="Q2" s="184"/>
    </row>
    <row r="3" spans="1:17" ht="15.75" x14ac:dyDescent="0.25">
      <c r="A3" s="176" t="s">
        <v>250</v>
      </c>
      <c r="B3" s="134"/>
      <c r="C3" s="134"/>
      <c r="D3" s="135"/>
      <c r="E3" s="136"/>
      <c r="F3" s="137" t="s">
        <v>338</v>
      </c>
      <c r="G3" s="137"/>
      <c r="H3" s="137"/>
      <c r="I3" s="137"/>
      <c r="J3" s="138"/>
      <c r="K3" s="139"/>
      <c r="L3" s="140"/>
      <c r="M3" s="242"/>
      <c r="N3" s="242"/>
      <c r="O3" s="141"/>
      <c r="P3" s="141"/>
      <c r="Q3" s="184"/>
    </row>
    <row r="4" spans="1:17" ht="15.75" x14ac:dyDescent="0.25">
      <c r="A4" s="326" t="s">
        <v>251</v>
      </c>
      <c r="B4" s="326"/>
      <c r="C4" s="326"/>
      <c r="D4" s="326"/>
      <c r="E4" s="326"/>
      <c r="F4" s="240" t="s">
        <v>341</v>
      </c>
      <c r="G4" s="133">
        <v>2250</v>
      </c>
      <c r="H4" s="142"/>
      <c r="I4" s="142"/>
      <c r="J4" s="143"/>
      <c r="K4" s="143"/>
      <c r="L4" s="143"/>
      <c r="M4" s="243"/>
      <c r="N4" s="243"/>
      <c r="O4" s="141"/>
      <c r="P4" s="141"/>
      <c r="Q4" s="184"/>
    </row>
    <row r="5" spans="1:17" ht="15.75" x14ac:dyDescent="0.25">
      <c r="A5" s="174" t="s">
        <v>336</v>
      </c>
      <c r="B5" s="145"/>
      <c r="C5" s="145"/>
      <c r="D5" s="145"/>
      <c r="E5" s="145"/>
      <c r="F5" s="142" t="s">
        <v>339</v>
      </c>
      <c r="G5" s="142"/>
      <c r="H5" s="142"/>
      <c r="I5" s="142"/>
      <c r="J5" s="143"/>
      <c r="K5" s="143"/>
      <c r="L5" s="143"/>
      <c r="M5" s="243"/>
      <c r="N5" s="243"/>
      <c r="O5" s="141"/>
      <c r="P5" s="141"/>
      <c r="Q5" s="184"/>
    </row>
    <row r="6" spans="1:17" ht="15" x14ac:dyDescent="0.25">
      <c r="A6" s="145"/>
      <c r="B6" s="145"/>
      <c r="C6" s="145"/>
      <c r="D6" s="145"/>
      <c r="E6" s="145"/>
      <c r="F6" s="142"/>
      <c r="G6" s="142"/>
      <c r="H6" s="142"/>
      <c r="I6" s="142"/>
      <c r="J6" s="143"/>
      <c r="K6" s="143"/>
      <c r="L6" s="143"/>
      <c r="M6" s="243"/>
      <c r="N6" s="243"/>
      <c r="O6" s="141"/>
      <c r="P6" s="141"/>
      <c r="Q6" s="184"/>
    </row>
    <row r="7" spans="1:17" ht="15" x14ac:dyDescent="0.25">
      <c r="A7" s="145"/>
      <c r="B7" s="145"/>
      <c r="C7" s="145"/>
      <c r="D7" s="145"/>
      <c r="E7" s="145"/>
      <c r="F7" s="142" t="s">
        <v>340</v>
      </c>
      <c r="G7" s="142"/>
      <c r="H7" s="142"/>
      <c r="I7" s="142"/>
      <c r="J7" s="143"/>
      <c r="K7" s="143"/>
      <c r="L7" s="143"/>
      <c r="M7" s="243"/>
      <c r="N7" s="243"/>
      <c r="O7" s="141"/>
      <c r="P7" s="141"/>
      <c r="Q7" s="184"/>
    </row>
    <row r="8" spans="1:17" ht="15.75" thickBot="1" x14ac:dyDescent="0.3">
      <c r="A8" s="145"/>
      <c r="B8" s="145"/>
      <c r="C8" s="145"/>
      <c r="D8" s="145"/>
      <c r="E8" s="145"/>
      <c r="F8" s="142"/>
      <c r="G8" s="142"/>
      <c r="H8" s="142"/>
      <c r="I8" s="142"/>
      <c r="J8" s="143"/>
      <c r="K8" s="143"/>
      <c r="L8" s="143"/>
      <c r="M8" s="243"/>
      <c r="N8" s="243"/>
      <c r="O8" s="141"/>
      <c r="P8" s="141"/>
      <c r="Q8" s="184"/>
    </row>
    <row r="9" spans="1:17" ht="23.25" x14ac:dyDescent="0.25">
      <c r="A9" s="146"/>
      <c r="B9" s="146"/>
      <c r="C9" s="146"/>
      <c r="D9" s="147"/>
      <c r="E9" s="148"/>
      <c r="F9" s="149"/>
      <c r="G9" s="149"/>
      <c r="H9" s="149"/>
      <c r="I9" s="149"/>
      <c r="J9" s="150"/>
      <c r="K9" s="151" t="s">
        <v>252</v>
      </c>
      <c r="L9" s="150"/>
      <c r="M9" s="239" t="s">
        <v>252</v>
      </c>
      <c r="N9" s="239"/>
      <c r="O9" s="152" t="s">
        <v>253</v>
      </c>
      <c r="P9" s="152" t="s">
        <v>254</v>
      </c>
      <c r="Q9" s="185"/>
    </row>
    <row r="10" spans="1:17" ht="22.5" x14ac:dyDescent="0.2">
      <c r="A10" s="327" t="s">
        <v>255</v>
      </c>
      <c r="B10" s="327"/>
      <c r="C10" s="175" t="s">
        <v>256</v>
      </c>
      <c r="D10" s="153" t="s">
        <v>257</v>
      </c>
      <c r="E10" s="154" t="s">
        <v>258</v>
      </c>
      <c r="F10" s="155" t="s">
        <v>259</v>
      </c>
      <c r="G10" s="155" t="s">
        <v>259</v>
      </c>
      <c r="H10" s="155" t="s">
        <v>260</v>
      </c>
      <c r="I10" s="155" t="s">
        <v>261</v>
      </c>
      <c r="J10" s="156" t="s">
        <v>262</v>
      </c>
      <c r="K10" s="157"/>
      <c r="L10" s="157" t="s">
        <v>263</v>
      </c>
      <c r="M10" s="241"/>
      <c r="N10" s="241"/>
      <c r="O10" s="158" t="s">
        <v>264</v>
      </c>
      <c r="P10" s="175" t="s">
        <v>265</v>
      </c>
      <c r="Q10" s="186" t="s">
        <v>254</v>
      </c>
    </row>
    <row r="11" spans="1:17" ht="15" x14ac:dyDescent="0.25">
      <c r="A11" s="133"/>
      <c r="B11" s="133"/>
      <c r="C11" s="175" t="s">
        <v>266</v>
      </c>
      <c r="D11" s="153" t="s">
        <v>267</v>
      </c>
      <c r="E11" s="154" t="s">
        <v>268</v>
      </c>
      <c r="F11" s="155" t="s">
        <v>269</v>
      </c>
      <c r="G11" s="155"/>
      <c r="H11" s="155">
        <v>-0.01</v>
      </c>
      <c r="I11" s="155" t="s">
        <v>270</v>
      </c>
      <c r="J11" s="156" t="s">
        <v>271</v>
      </c>
      <c r="K11" s="157"/>
      <c r="L11" s="157" t="s">
        <v>269</v>
      </c>
      <c r="M11" s="241"/>
      <c r="N11" s="241"/>
      <c r="O11" s="158" t="s">
        <v>272</v>
      </c>
      <c r="P11" s="175" t="s">
        <v>273</v>
      </c>
      <c r="Q11" s="186" t="s">
        <v>274</v>
      </c>
    </row>
    <row r="12" spans="1:17" ht="15.75" thickBot="1" x14ac:dyDescent="0.3">
      <c r="A12" s="159"/>
      <c r="B12" s="159"/>
      <c r="C12" s="159"/>
      <c r="D12" s="160"/>
      <c r="E12" s="161"/>
      <c r="F12" s="162"/>
      <c r="G12" s="162"/>
      <c r="H12" s="162"/>
      <c r="I12" s="162"/>
      <c r="J12" s="163" t="s">
        <v>275</v>
      </c>
      <c r="K12" s="164" t="s">
        <v>276</v>
      </c>
      <c r="L12" s="164" t="s">
        <v>288</v>
      </c>
      <c r="M12" s="214" t="s">
        <v>288</v>
      </c>
      <c r="N12" s="214" t="s">
        <v>337</v>
      </c>
      <c r="O12" s="165"/>
      <c r="P12" s="165"/>
      <c r="Q12" s="187"/>
    </row>
    <row r="13" spans="1:17" ht="15" x14ac:dyDescent="0.25">
      <c r="A13" s="133"/>
      <c r="B13" s="133"/>
      <c r="C13" s="133"/>
      <c r="D13" s="153"/>
      <c r="E13" s="154"/>
      <c r="F13" s="155"/>
      <c r="G13" s="155"/>
      <c r="H13" s="155"/>
      <c r="I13" s="155"/>
      <c r="J13" s="156"/>
      <c r="K13" s="156"/>
      <c r="L13" s="156"/>
      <c r="M13" s="238"/>
      <c r="N13" s="238"/>
      <c r="O13" s="158"/>
      <c r="P13" s="158"/>
      <c r="Q13" s="186"/>
    </row>
    <row r="14" spans="1:17" ht="15" x14ac:dyDescent="0.25">
      <c r="A14" s="133" t="s">
        <v>277</v>
      </c>
      <c r="B14" s="133"/>
      <c r="C14" s="166" t="s">
        <v>278</v>
      </c>
      <c r="D14" s="135">
        <v>43152</v>
      </c>
      <c r="E14" s="144">
        <v>1000</v>
      </c>
      <c r="F14" s="142">
        <v>74.099999999999994</v>
      </c>
      <c r="G14" s="142">
        <f>+E14*F14</f>
        <v>74100</v>
      </c>
      <c r="H14" s="142">
        <f>+G14*1%</f>
        <v>741</v>
      </c>
      <c r="I14" s="142">
        <f>+H14*0.1</f>
        <v>74.100000000000009</v>
      </c>
      <c r="J14" s="142">
        <f>SUM(G14:I14)</f>
        <v>74915.100000000006</v>
      </c>
      <c r="K14" s="143">
        <v>69420</v>
      </c>
      <c r="L14" s="143">
        <v>99.87</v>
      </c>
      <c r="M14" s="243">
        <f>+E14*L14</f>
        <v>99870</v>
      </c>
      <c r="N14" s="243">
        <v>90380</v>
      </c>
      <c r="O14" s="143">
        <f>N14-M14</f>
        <v>-9490</v>
      </c>
      <c r="P14" s="143">
        <f>+M14-J14</f>
        <v>24954.899999999994</v>
      </c>
      <c r="Q14" s="184"/>
    </row>
    <row r="15" spans="1:17" ht="15" x14ac:dyDescent="0.25">
      <c r="A15" s="133"/>
      <c r="B15" s="133"/>
      <c r="C15" s="166"/>
      <c r="D15" s="135"/>
      <c r="E15" s="144"/>
      <c r="F15" s="142"/>
      <c r="G15" s="142"/>
      <c r="H15" s="142"/>
      <c r="I15" s="142"/>
      <c r="J15" s="142"/>
      <c r="K15" s="144"/>
      <c r="L15" s="143"/>
      <c r="M15" s="243"/>
      <c r="N15" s="243"/>
      <c r="O15" s="144"/>
      <c r="P15" s="144"/>
      <c r="Q15" s="184"/>
    </row>
    <row r="16" spans="1:17" ht="15" x14ac:dyDescent="0.25">
      <c r="A16" s="133" t="s">
        <v>279</v>
      </c>
      <c r="B16" s="133"/>
      <c r="C16" s="166" t="s">
        <v>280</v>
      </c>
      <c r="D16" s="135">
        <v>43152</v>
      </c>
      <c r="E16" s="144">
        <v>1000</v>
      </c>
      <c r="F16" s="142">
        <v>18.5</v>
      </c>
      <c r="G16" s="142">
        <f>+E16*F16</f>
        <v>18500</v>
      </c>
      <c r="H16" s="142">
        <f>+G16*1%</f>
        <v>185</v>
      </c>
      <c r="I16" s="142">
        <f>+H16*0.1</f>
        <v>18.5</v>
      </c>
      <c r="J16" s="142">
        <f>SUM(G16:I16)</f>
        <v>18703.5</v>
      </c>
      <c r="K16" s="144"/>
      <c r="L16" s="143">
        <v>25.81</v>
      </c>
      <c r="M16" s="243">
        <f>L16*E16</f>
        <v>25810</v>
      </c>
      <c r="N16" s="243">
        <f>1000*19.5</f>
        <v>19500</v>
      </c>
      <c r="O16" s="143">
        <f>N16-M16</f>
        <v>-6310</v>
      </c>
      <c r="P16" s="144"/>
      <c r="Q16" s="184"/>
    </row>
    <row r="17" spans="1:17" ht="15" x14ac:dyDescent="0.25">
      <c r="A17" s="133" t="s">
        <v>279</v>
      </c>
      <c r="B17" s="133"/>
      <c r="C17" s="166" t="s">
        <v>280</v>
      </c>
      <c r="D17" s="135">
        <v>42899</v>
      </c>
      <c r="E17" s="170">
        <v>627</v>
      </c>
      <c r="F17" s="142">
        <v>18.5</v>
      </c>
      <c r="G17" s="172">
        <f>+E17*F17+0.5</f>
        <v>11600</v>
      </c>
      <c r="H17" s="172">
        <f>+G17*1%</f>
        <v>116</v>
      </c>
      <c r="I17" s="172">
        <f>+H17*0.1</f>
        <v>11.600000000000001</v>
      </c>
      <c r="J17" s="172">
        <f>SUM(G17:I17)</f>
        <v>11727.6</v>
      </c>
      <c r="K17" s="170"/>
      <c r="L17" s="189">
        <v>25.81</v>
      </c>
      <c r="M17" s="237">
        <f>L17*E17</f>
        <v>16182.869999999999</v>
      </c>
      <c r="N17" s="237">
        <f>627*19.5</f>
        <v>12226.5</v>
      </c>
      <c r="O17" s="189">
        <f t="shared" ref="O17" si="0">N17-M17</f>
        <v>-3956.369999999999</v>
      </c>
      <c r="P17" s="170"/>
      <c r="Q17" s="184"/>
    </row>
    <row r="18" spans="1:17" ht="15" x14ac:dyDescent="0.25">
      <c r="A18" s="133"/>
      <c r="B18" s="133"/>
      <c r="C18" s="166"/>
      <c r="D18" s="135"/>
      <c r="E18" s="144">
        <f>SUM(E16:E17)</f>
        <v>1627</v>
      </c>
      <c r="F18" s="142"/>
      <c r="G18" s="142">
        <f>SUM(G16:G17)</f>
        <v>30100</v>
      </c>
      <c r="H18" s="143">
        <f>SUM(H16:H17)</f>
        <v>301</v>
      </c>
      <c r="I18" s="143">
        <f>SUM(I16:I17)</f>
        <v>30.1</v>
      </c>
      <c r="J18" s="143">
        <f>SUM(J16:J17)</f>
        <v>30431.1</v>
      </c>
      <c r="K18" s="143">
        <v>29204.649999999998</v>
      </c>
      <c r="L18" s="143">
        <v>25.81</v>
      </c>
      <c r="M18" s="243">
        <f>SUM(M16:M17)</f>
        <v>41992.869999999995</v>
      </c>
      <c r="N18" s="243">
        <f>SUM(N16:N17)</f>
        <v>31726.5</v>
      </c>
      <c r="O18" s="243">
        <f>SUM(O16:O17)</f>
        <v>-10266.369999999999</v>
      </c>
      <c r="P18" s="143">
        <f>+M18-J18</f>
        <v>11561.769999999997</v>
      </c>
      <c r="Q18" s="184"/>
    </row>
    <row r="19" spans="1:17" ht="15" x14ac:dyDescent="0.25">
      <c r="A19" s="133"/>
      <c r="B19" s="133"/>
      <c r="C19" s="166"/>
      <c r="D19" s="135"/>
      <c r="E19" s="144" t="s">
        <v>195</v>
      </c>
      <c r="F19" s="142"/>
      <c r="G19" s="142"/>
      <c r="H19" s="142"/>
      <c r="I19" s="142"/>
      <c r="J19" s="144"/>
      <c r="K19" s="144"/>
      <c r="L19" s="143"/>
      <c r="M19" s="243"/>
      <c r="N19" s="243"/>
      <c r="O19" s="144"/>
      <c r="P19" s="144"/>
      <c r="Q19" s="184"/>
    </row>
    <row r="20" spans="1:17" ht="15" x14ac:dyDescent="0.25">
      <c r="A20" s="133"/>
      <c r="B20" s="133"/>
      <c r="C20" s="166"/>
      <c r="D20" s="135"/>
      <c r="E20" s="144" t="s">
        <v>195</v>
      </c>
      <c r="F20" s="142"/>
      <c r="G20" s="142"/>
      <c r="H20" s="142"/>
      <c r="I20" s="142"/>
      <c r="J20" s="144"/>
      <c r="K20" s="173"/>
      <c r="L20" s="143"/>
      <c r="M20" s="243"/>
      <c r="N20" s="243"/>
      <c r="O20" s="144"/>
      <c r="P20" s="144"/>
      <c r="Q20" s="184"/>
    </row>
    <row r="21" spans="1:17" ht="15.75" thickBot="1" x14ac:dyDescent="0.3">
      <c r="A21" s="133"/>
      <c r="B21" s="133"/>
      <c r="C21" s="133"/>
      <c r="D21" s="135"/>
      <c r="E21" s="167" t="s">
        <v>281</v>
      </c>
      <c r="F21" s="168" t="s">
        <v>195</v>
      </c>
      <c r="G21" s="190">
        <f>+G14+G18</f>
        <v>104200</v>
      </c>
      <c r="H21" s="190" t="s">
        <v>195</v>
      </c>
      <c r="I21" s="190" t="s">
        <v>195</v>
      </c>
      <c r="J21" s="191">
        <f>+J14+J18</f>
        <v>105346.20000000001</v>
      </c>
      <c r="K21" s="190">
        <f>+K14+K18</f>
        <v>98624.65</v>
      </c>
      <c r="L21" s="190"/>
      <c r="M21" s="236">
        <f>+M14+M18</f>
        <v>141862.87</v>
      </c>
      <c r="N21" s="236">
        <f t="shared" ref="N21" si="1">+N14+N18</f>
        <v>122106.5</v>
      </c>
      <c r="O21" s="236">
        <f>+O14+O18</f>
        <v>-19756.37</v>
      </c>
      <c r="P21" s="190">
        <f>+P14+P18</f>
        <v>36516.669999999991</v>
      </c>
      <c r="Q21" s="188"/>
    </row>
    <row r="22" spans="1:17" ht="15.75" thickTop="1" x14ac:dyDescent="0.25">
      <c r="A22" s="133"/>
      <c r="B22" s="133"/>
      <c r="C22" s="133"/>
      <c r="D22" s="135"/>
      <c r="E22" s="144"/>
      <c r="F22" s="133"/>
      <c r="G22" s="142"/>
      <c r="H22" s="142"/>
      <c r="I22" s="133"/>
      <c r="J22" s="143"/>
      <c r="K22" s="143"/>
      <c r="L22" s="143"/>
      <c r="M22" s="243"/>
      <c r="N22" s="243"/>
      <c r="O22" s="144"/>
      <c r="P22" s="141"/>
      <c r="Q22" s="184"/>
    </row>
    <row r="23" spans="1:17" ht="15" x14ac:dyDescent="0.25">
      <c r="A23" s="133"/>
      <c r="B23" s="133"/>
      <c r="C23" s="133"/>
      <c r="D23" s="135"/>
      <c r="E23" s="144"/>
      <c r="F23" s="142"/>
      <c r="G23" s="142"/>
      <c r="H23" s="142"/>
      <c r="I23" s="133"/>
      <c r="J23" s="143"/>
      <c r="K23" s="143"/>
      <c r="L23" s="143"/>
      <c r="M23" s="244"/>
      <c r="N23" s="244"/>
      <c r="O23" s="169"/>
      <c r="P23" s="141"/>
      <c r="Q23" s="184"/>
    </row>
    <row r="24" spans="1:17" ht="15" x14ac:dyDescent="0.25">
      <c r="A24" s="177" t="s">
        <v>282</v>
      </c>
      <c r="B24" s="133"/>
      <c r="C24" s="133"/>
      <c r="D24" s="135"/>
      <c r="E24" s="144"/>
      <c r="F24" s="142"/>
      <c r="G24" s="142"/>
      <c r="H24" s="142"/>
      <c r="I24" s="142"/>
      <c r="J24" s="143"/>
      <c r="K24" s="143"/>
      <c r="L24" s="143"/>
      <c r="M24" s="244"/>
      <c r="N24" s="244"/>
      <c r="O24" s="141"/>
      <c r="P24" s="141"/>
      <c r="Q24" s="184"/>
    </row>
    <row r="25" spans="1:17" ht="15" x14ac:dyDescent="0.25">
      <c r="A25" s="133"/>
      <c r="B25" s="133"/>
      <c r="C25" s="133"/>
      <c r="D25" s="135"/>
      <c r="E25" s="144"/>
      <c r="F25" s="142"/>
      <c r="G25" s="142"/>
      <c r="H25" s="142"/>
      <c r="I25" s="142"/>
      <c r="J25" s="143"/>
      <c r="K25" s="143"/>
      <c r="L25" s="143"/>
      <c r="M25" s="244"/>
      <c r="N25" s="244"/>
      <c r="O25" s="141"/>
      <c r="P25" s="141"/>
      <c r="Q25" s="184"/>
    </row>
    <row r="26" spans="1:17" ht="15" x14ac:dyDescent="0.25">
      <c r="A26" s="133" t="s">
        <v>283</v>
      </c>
      <c r="B26" s="133"/>
      <c r="C26" s="133"/>
      <c r="D26" s="192">
        <v>104200</v>
      </c>
      <c r="E26" s="144"/>
      <c r="F26" s="142"/>
      <c r="G26" s="142"/>
      <c r="H26" s="142"/>
      <c r="I26" s="142"/>
      <c r="J26" s="143"/>
      <c r="K26" s="133"/>
      <c r="L26" s="144"/>
      <c r="M26" s="244"/>
      <c r="N26" s="244"/>
      <c r="O26" s="141"/>
      <c r="P26" s="141"/>
      <c r="Q26" s="184"/>
    </row>
    <row r="27" spans="1:17" ht="15" x14ac:dyDescent="0.25">
      <c r="A27" s="133" t="s">
        <v>284</v>
      </c>
      <c r="B27" s="133"/>
      <c r="C27" s="133"/>
      <c r="D27" s="192">
        <v>1146.2</v>
      </c>
      <c r="E27" s="144"/>
      <c r="F27" s="142"/>
      <c r="G27" s="142"/>
      <c r="H27" s="142"/>
      <c r="I27" s="142"/>
      <c r="J27" s="143"/>
      <c r="K27" s="133"/>
      <c r="L27" s="144"/>
      <c r="M27" s="243"/>
      <c r="N27" s="243"/>
      <c r="O27" s="141"/>
      <c r="P27" s="141"/>
      <c r="Q27" s="184"/>
    </row>
    <row r="28" spans="1:17" ht="15" x14ac:dyDescent="0.25">
      <c r="A28" s="133" t="s">
        <v>285</v>
      </c>
      <c r="B28" s="133"/>
      <c r="C28" s="133"/>
      <c r="D28" s="192">
        <v>-2030</v>
      </c>
      <c r="E28" s="144"/>
      <c r="F28" s="142"/>
      <c r="G28" s="142"/>
      <c r="H28" s="142"/>
      <c r="I28" s="142"/>
      <c r="J28" s="143"/>
      <c r="K28" s="133"/>
      <c r="L28" s="144"/>
      <c r="M28" s="243"/>
      <c r="N28" s="243"/>
      <c r="O28" s="141"/>
      <c r="P28" s="141"/>
      <c r="Q28" s="184"/>
    </row>
    <row r="29" spans="1:17" ht="15" x14ac:dyDescent="0.25">
      <c r="A29" s="133" t="s">
        <v>286</v>
      </c>
      <c r="B29" s="133"/>
      <c r="C29" s="133"/>
      <c r="D29" s="192">
        <v>25605.52</v>
      </c>
      <c r="E29" s="144"/>
      <c r="F29" s="142"/>
      <c r="G29" s="142"/>
      <c r="H29" s="142"/>
      <c r="I29" s="142"/>
      <c r="J29" s="133"/>
      <c r="K29" s="133"/>
      <c r="L29" s="144"/>
      <c r="M29" s="243"/>
      <c r="N29" s="243"/>
      <c r="O29" s="141"/>
      <c r="P29" s="141"/>
      <c r="Q29" s="184"/>
    </row>
    <row r="30" spans="1:17" ht="15" x14ac:dyDescent="0.25">
      <c r="A30" s="133" t="s">
        <v>287</v>
      </c>
      <c r="B30" s="133"/>
      <c r="C30" s="133"/>
      <c r="D30" s="192">
        <v>-30297.07</v>
      </c>
      <c r="E30" s="144"/>
      <c r="F30" s="142"/>
      <c r="G30" s="142"/>
      <c r="H30" s="142"/>
      <c r="I30" s="142"/>
      <c r="J30" s="133"/>
      <c r="K30" s="133"/>
      <c r="L30" s="144"/>
      <c r="M30" s="243"/>
      <c r="N30" s="243"/>
      <c r="O30" s="141"/>
      <c r="P30" s="141"/>
      <c r="Q30" s="184"/>
    </row>
    <row r="31" spans="1:17" ht="15" x14ac:dyDescent="0.25">
      <c r="A31" s="133" t="s">
        <v>289</v>
      </c>
      <c r="B31" s="133"/>
      <c r="C31" s="133"/>
      <c r="D31" s="192">
        <v>43238.22</v>
      </c>
      <c r="E31" s="144"/>
      <c r="F31" s="142"/>
      <c r="G31" s="142"/>
      <c r="H31" s="142"/>
      <c r="I31" s="142"/>
      <c r="J31" s="133"/>
      <c r="K31" s="133"/>
      <c r="L31" s="144"/>
      <c r="M31" s="243"/>
      <c r="N31" s="243"/>
      <c r="O31" s="141"/>
      <c r="P31" s="141"/>
      <c r="Q31" s="184"/>
    </row>
    <row r="32" spans="1:17" ht="15" x14ac:dyDescent="0.25">
      <c r="A32" s="166" t="s">
        <v>342</v>
      </c>
      <c r="B32" s="133"/>
      <c r="C32" s="133"/>
      <c r="D32" s="192">
        <f>O21</f>
        <v>-19756.37</v>
      </c>
      <c r="E32" s="144"/>
      <c r="F32" s="142"/>
      <c r="G32" s="142"/>
      <c r="H32" s="142"/>
      <c r="I32" s="142"/>
      <c r="J32" s="133"/>
      <c r="K32" s="133"/>
      <c r="L32" s="144"/>
      <c r="M32" s="243"/>
      <c r="N32" s="243"/>
      <c r="O32" s="141"/>
      <c r="P32" s="141"/>
      <c r="Q32" s="184"/>
    </row>
    <row r="33" spans="1:17" ht="15" x14ac:dyDescent="0.25">
      <c r="A33" s="166"/>
      <c r="B33" s="133"/>
      <c r="C33" s="133"/>
      <c r="D33" s="192"/>
      <c r="E33" s="144"/>
      <c r="F33" s="142"/>
      <c r="G33" s="142"/>
      <c r="H33" s="142"/>
      <c r="I33" s="142"/>
      <c r="J33" s="133"/>
      <c r="K33" s="133"/>
      <c r="L33" s="144"/>
      <c r="M33" s="243"/>
      <c r="N33" s="243"/>
      <c r="O33" s="141"/>
      <c r="P33" s="141"/>
      <c r="Q33" s="184"/>
    </row>
    <row r="34" spans="1:17" ht="15" x14ac:dyDescent="0.25">
      <c r="A34" s="166"/>
      <c r="B34" s="133"/>
      <c r="C34" s="133"/>
      <c r="D34" s="192"/>
      <c r="E34" s="144"/>
      <c r="F34" s="142"/>
      <c r="G34" s="142"/>
      <c r="H34" s="142"/>
      <c r="I34" s="142"/>
      <c r="J34" s="133"/>
      <c r="K34" s="133"/>
      <c r="L34" s="144"/>
      <c r="M34" s="243"/>
      <c r="N34" s="243"/>
      <c r="O34" s="141"/>
      <c r="P34" s="141"/>
      <c r="Q34" s="184"/>
    </row>
    <row r="35" spans="1:17" ht="15" x14ac:dyDescent="0.25">
      <c r="A35" s="166"/>
      <c r="B35" s="133"/>
      <c r="C35" s="133"/>
      <c r="D35" s="192"/>
      <c r="E35" s="144"/>
      <c r="F35" s="142"/>
      <c r="G35" s="142"/>
      <c r="H35" s="142"/>
      <c r="I35" s="142"/>
      <c r="J35" s="133"/>
      <c r="K35" s="133"/>
      <c r="L35" s="144"/>
      <c r="M35" s="243"/>
      <c r="N35" s="243"/>
      <c r="O35" s="141"/>
      <c r="P35" s="141"/>
      <c r="Q35" s="184"/>
    </row>
    <row r="36" spans="1:17" ht="15" x14ac:dyDescent="0.25">
      <c r="A36" s="166"/>
      <c r="B36" s="133"/>
      <c r="C36" s="133"/>
      <c r="D36" s="193"/>
      <c r="E36" s="144"/>
      <c r="F36" s="142"/>
      <c r="G36" s="142"/>
      <c r="H36" s="142"/>
      <c r="I36" s="142"/>
      <c r="J36" s="133"/>
      <c r="K36" s="133"/>
      <c r="L36" s="144"/>
      <c r="M36" s="243"/>
      <c r="N36" s="243"/>
      <c r="O36" s="141"/>
      <c r="P36" s="141"/>
      <c r="Q36" s="184"/>
    </row>
    <row r="37" spans="1:17" ht="15" x14ac:dyDescent="0.25">
      <c r="A37" s="133"/>
      <c r="B37" s="133"/>
      <c r="C37" s="133"/>
      <c r="D37" s="194">
        <f>SUM(D26:D36)</f>
        <v>122106.5</v>
      </c>
      <c r="E37" s="144"/>
      <c r="F37" s="142"/>
      <c r="G37" s="142"/>
      <c r="H37" s="142"/>
      <c r="I37" s="142"/>
      <c r="J37" s="142"/>
      <c r="K37" s="133"/>
      <c r="L37" s="144"/>
      <c r="M37" s="243"/>
      <c r="N37" s="243"/>
      <c r="O37" s="141"/>
      <c r="P37" s="141"/>
      <c r="Q37" s="184"/>
    </row>
  </sheetData>
  <mergeCells count="2">
    <mergeCell ref="A4:E4"/>
    <mergeCell ref="A10:B10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3DFB1-7E33-4250-B522-6788DD3DD8B3}">
  <dimension ref="I13:L18"/>
  <sheetViews>
    <sheetView workbookViewId="0">
      <selection activeCell="I18" sqref="I18"/>
    </sheetView>
  </sheetViews>
  <sheetFormatPr defaultRowHeight="12.75" x14ac:dyDescent="0.2"/>
  <cols>
    <col min="9" max="9" width="15.28515625" customWidth="1"/>
    <col min="10" max="10" width="10.5703125" customWidth="1"/>
  </cols>
  <sheetData>
    <row r="13" spans="12:12" x14ac:dyDescent="0.2">
      <c r="L13" s="112" t="s">
        <v>248</v>
      </c>
    </row>
    <row r="14" spans="12:12" x14ac:dyDescent="0.2">
      <c r="L14" s="112" t="s">
        <v>187</v>
      </c>
    </row>
    <row r="18" spans="9:9" x14ac:dyDescent="0.2">
      <c r="I18" s="208" t="s">
        <v>313</v>
      </c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20"/>
  <sheetViews>
    <sheetView workbookViewId="0">
      <selection activeCell="A21" sqref="A21"/>
    </sheetView>
  </sheetViews>
  <sheetFormatPr defaultRowHeight="12.75" x14ac:dyDescent="0.2"/>
  <cols>
    <col min="1" max="1" width="23.140625" style="27" bestFit="1" customWidth="1"/>
    <col min="2" max="2" width="19.7109375" style="28" bestFit="1" customWidth="1"/>
    <col min="3" max="3" width="16" style="27" bestFit="1" customWidth="1"/>
    <col min="4" max="4" width="9.140625" style="27"/>
    <col min="5" max="6" width="9.140625" style="29"/>
    <col min="7" max="9" width="9.140625" style="27"/>
  </cols>
  <sheetData>
    <row r="1" spans="1:3" x14ac:dyDescent="0.2">
      <c r="A1" s="90"/>
      <c r="B1" s="84"/>
      <c r="C1" s="84"/>
    </row>
    <row r="2" spans="1:3" x14ac:dyDescent="0.2">
      <c r="A2" s="71"/>
      <c r="B2" s="77"/>
      <c r="C2" s="77"/>
    </row>
    <row r="3" spans="1:3" x14ac:dyDescent="0.2">
      <c r="A3" s="82"/>
      <c r="B3" s="85"/>
      <c r="C3" s="85"/>
    </row>
    <row r="4" spans="1:3" x14ac:dyDescent="0.2">
      <c r="A4" s="78"/>
      <c r="B4" s="85"/>
      <c r="C4" s="86"/>
    </row>
    <row r="5" spans="1:3" x14ac:dyDescent="0.2">
      <c r="A5" s="78"/>
      <c r="B5" s="85"/>
      <c r="C5" s="85"/>
    </row>
    <row r="6" spans="1:3" x14ac:dyDescent="0.2">
      <c r="A6" s="78"/>
      <c r="B6" s="85"/>
      <c r="C6" s="85"/>
    </row>
    <row r="7" spans="1:3" x14ac:dyDescent="0.2">
      <c r="A7" s="82"/>
      <c r="B7" s="73"/>
      <c r="C7" s="83"/>
    </row>
    <row r="8" spans="1:3" x14ac:dyDescent="0.2">
      <c r="A8" s="87"/>
      <c r="B8" s="88"/>
      <c r="C8" s="88"/>
    </row>
    <row r="16" spans="1:3" x14ac:dyDescent="0.2">
      <c r="A16" s="78"/>
      <c r="B16" s="85"/>
      <c r="C16" s="85"/>
    </row>
    <row r="17" spans="1:3" x14ac:dyDescent="0.2">
      <c r="A17" s="78"/>
      <c r="B17" s="85"/>
      <c r="C17" s="85"/>
    </row>
    <row r="18" spans="1:3" x14ac:dyDescent="0.2">
      <c r="A18" s="82"/>
      <c r="B18" s="73"/>
      <c r="C18" s="83"/>
    </row>
    <row r="19" spans="1:3" x14ac:dyDescent="0.2">
      <c r="A19" s="87" t="s">
        <v>170</v>
      </c>
      <c r="B19" s="88"/>
      <c r="C19" s="88"/>
    </row>
    <row r="20" spans="1:3" x14ac:dyDescent="0.2">
      <c r="A20" s="70" t="s">
        <v>171</v>
      </c>
    </row>
  </sheetData>
  <printOptions gridLines="1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>
    <oddFooter>&amp;L&amp;8&amp;Z&amp;F  _&amp;A
&amp;D   &amp;T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E3FC3-A410-4EB6-8CBC-C9ACD8FD1309}">
  <sheetPr>
    <pageSetUpPr fitToPage="1"/>
  </sheetPr>
  <dimension ref="A1:I80"/>
  <sheetViews>
    <sheetView topLeftCell="J1" workbookViewId="0">
      <selection activeCell="E20" sqref="E20"/>
    </sheetView>
  </sheetViews>
  <sheetFormatPr defaultRowHeight="12.75" x14ac:dyDescent="0.2"/>
  <cols>
    <col min="1" max="1" width="25.7109375" style="27" customWidth="1"/>
    <col min="2" max="2" width="12.7109375" style="28" customWidth="1"/>
    <col min="3" max="4" width="12.7109375" style="27" customWidth="1"/>
    <col min="5" max="6" width="12.7109375" style="29" customWidth="1"/>
    <col min="7" max="7" width="12.7109375" style="27" customWidth="1"/>
    <col min="8" max="8" width="4" style="27" customWidth="1"/>
    <col min="9" max="9" width="10.85546875" style="27" customWidth="1"/>
  </cols>
  <sheetData>
    <row r="1" spans="1:9" ht="13.5" thickBot="1" x14ac:dyDescent="0.25">
      <c r="A1" s="1"/>
      <c r="B1" s="2"/>
      <c r="C1" s="3"/>
      <c r="D1" s="3"/>
      <c r="E1" s="4"/>
      <c r="F1" s="4"/>
      <c r="G1" s="3"/>
      <c r="H1" s="3"/>
      <c r="I1" s="1"/>
    </row>
    <row r="2" spans="1:9" ht="13.5" thickTop="1" x14ac:dyDescent="0.2">
      <c r="A2" s="5"/>
      <c r="B2" s="6"/>
      <c r="C2" s="7" t="s">
        <v>10</v>
      </c>
      <c r="D2" s="31"/>
      <c r="E2" s="8"/>
      <c r="F2" s="9"/>
      <c r="H2" s="45"/>
      <c r="I2" s="5"/>
    </row>
    <row r="3" spans="1:9" x14ac:dyDescent="0.2">
      <c r="A3" s="10"/>
      <c r="B3" s="11"/>
      <c r="C3" s="12" t="s">
        <v>11</v>
      </c>
      <c r="D3" s="32"/>
      <c r="E3" s="13"/>
      <c r="F3" s="14"/>
      <c r="H3" s="45"/>
      <c r="I3" s="10"/>
    </row>
    <row r="4" spans="1:9" x14ac:dyDescent="0.2">
      <c r="A4" s="10"/>
      <c r="B4" s="11"/>
      <c r="C4" s="12" t="s">
        <v>12</v>
      </c>
      <c r="D4" s="32"/>
      <c r="E4" s="13"/>
      <c r="F4" s="14"/>
      <c r="H4" s="45"/>
      <c r="I4" s="10"/>
    </row>
    <row r="5" spans="1:9" x14ac:dyDescent="0.2">
      <c r="A5" s="10"/>
      <c r="B5" s="11"/>
      <c r="C5" s="12" t="s">
        <v>13</v>
      </c>
      <c r="D5" s="32"/>
      <c r="E5" s="13"/>
      <c r="F5" s="14"/>
      <c r="H5" s="45"/>
      <c r="I5" s="10"/>
    </row>
    <row r="6" spans="1:9" x14ac:dyDescent="0.2">
      <c r="A6" s="10"/>
      <c r="B6" s="11"/>
      <c r="C6" s="12" t="s">
        <v>13</v>
      </c>
      <c r="D6" s="32"/>
      <c r="E6" s="13"/>
      <c r="F6" s="14"/>
      <c r="H6" s="45"/>
      <c r="I6" s="10"/>
    </row>
    <row r="7" spans="1:9" ht="20.25" x14ac:dyDescent="0.3">
      <c r="A7" s="13"/>
      <c r="B7" s="11"/>
      <c r="C7" s="15" t="s">
        <v>52</v>
      </c>
      <c r="D7" s="33"/>
      <c r="E7" s="10"/>
      <c r="F7" s="16"/>
      <c r="H7" s="45"/>
      <c r="I7" s="13"/>
    </row>
    <row r="8" spans="1:9" x14ac:dyDescent="0.2">
      <c r="A8" s="13"/>
      <c r="B8" s="11"/>
      <c r="C8" s="17" t="s">
        <v>22</v>
      </c>
      <c r="D8" s="34"/>
      <c r="E8" s="10"/>
      <c r="F8" s="18"/>
      <c r="H8" s="45"/>
      <c r="I8" s="13"/>
    </row>
    <row r="9" spans="1:9" x14ac:dyDescent="0.2">
      <c r="A9" s="13"/>
      <c r="B9" s="19"/>
      <c r="C9" s="13"/>
      <c r="D9" s="13"/>
      <c r="E9" s="51"/>
      <c r="F9" s="18"/>
      <c r="H9" s="45"/>
      <c r="I9" s="13"/>
    </row>
    <row r="10" spans="1:9" x14ac:dyDescent="0.2">
      <c r="A10" s="20" t="s">
        <v>27</v>
      </c>
      <c r="B10" s="21" t="s">
        <v>28</v>
      </c>
      <c r="C10" s="21" t="s">
        <v>29</v>
      </c>
      <c r="D10" s="21" t="s">
        <v>30</v>
      </c>
      <c r="E10" s="21" t="s">
        <v>31</v>
      </c>
      <c r="F10" s="39" t="s">
        <v>32</v>
      </c>
      <c r="G10" s="47"/>
      <c r="H10" s="46"/>
      <c r="I10" s="20" t="s">
        <v>17</v>
      </c>
    </row>
    <row r="11" spans="1:9" x14ac:dyDescent="0.2">
      <c r="A11" s="40" t="s">
        <v>53</v>
      </c>
      <c r="B11" s="36">
        <v>362247.08</v>
      </c>
      <c r="C11" s="36">
        <v>362247.08</v>
      </c>
      <c r="D11" s="36">
        <v>0</v>
      </c>
      <c r="E11" s="36">
        <v>0</v>
      </c>
      <c r="F11" s="37">
        <v>0</v>
      </c>
      <c r="G11" s="41"/>
      <c r="H11" s="48"/>
      <c r="I11" s="35" t="s">
        <v>14</v>
      </c>
    </row>
    <row r="12" spans="1:9" x14ac:dyDescent="0.2">
      <c r="A12" s="40" t="s">
        <v>54</v>
      </c>
      <c r="B12" s="36">
        <v>54606.94</v>
      </c>
      <c r="C12" s="36">
        <v>0</v>
      </c>
      <c r="D12" s="36">
        <v>0</v>
      </c>
      <c r="E12" s="36">
        <v>0</v>
      </c>
      <c r="F12" s="37">
        <v>54606.94</v>
      </c>
      <c r="G12" s="41"/>
      <c r="H12" s="45"/>
      <c r="I12" s="35" t="s">
        <v>35</v>
      </c>
    </row>
    <row r="13" spans="1:9" x14ac:dyDescent="0.2">
      <c r="A13" s="40" t="s">
        <v>19</v>
      </c>
      <c r="B13" s="36">
        <v>21292.01</v>
      </c>
      <c r="C13" s="36">
        <v>0</v>
      </c>
      <c r="D13" s="36">
        <v>0</v>
      </c>
      <c r="E13" s="36">
        <v>0</v>
      </c>
      <c r="F13" s="37">
        <v>21292.01</v>
      </c>
      <c r="G13" s="41"/>
      <c r="I13" s="35" t="s">
        <v>35</v>
      </c>
    </row>
    <row r="14" spans="1:9" x14ac:dyDescent="0.2">
      <c r="A14" s="40" t="s">
        <v>55</v>
      </c>
      <c r="B14" s="36">
        <v>246</v>
      </c>
      <c r="C14" s="36">
        <v>246</v>
      </c>
      <c r="D14" s="36">
        <v>0</v>
      </c>
      <c r="E14" s="36">
        <v>0</v>
      </c>
      <c r="F14" s="37">
        <v>0</v>
      </c>
      <c r="G14" s="41"/>
      <c r="I14" s="35" t="s">
        <v>35</v>
      </c>
    </row>
    <row r="15" spans="1:9" x14ac:dyDescent="0.2">
      <c r="A15" s="40" t="s">
        <v>24</v>
      </c>
      <c r="B15" s="36">
        <v>150</v>
      </c>
      <c r="C15" s="36">
        <v>75</v>
      </c>
      <c r="D15" s="36">
        <v>0</v>
      </c>
      <c r="E15" s="36">
        <v>0</v>
      </c>
      <c r="F15" s="37">
        <v>75</v>
      </c>
      <c r="G15" s="41"/>
      <c r="I15" s="35" t="s">
        <v>36</v>
      </c>
    </row>
    <row r="16" spans="1:9" x14ac:dyDescent="0.2">
      <c r="A16" s="40" t="s">
        <v>56</v>
      </c>
      <c r="B16" s="36">
        <v>463.65</v>
      </c>
      <c r="C16" s="36">
        <v>0</v>
      </c>
      <c r="D16" s="36">
        <v>463.65</v>
      </c>
      <c r="E16" s="36">
        <v>0</v>
      </c>
      <c r="F16" s="37">
        <v>0</v>
      </c>
      <c r="G16" s="41"/>
      <c r="I16" s="35" t="s">
        <v>35</v>
      </c>
    </row>
    <row r="17" spans="1:9" x14ac:dyDescent="0.2">
      <c r="A17" s="40" t="s">
        <v>57</v>
      </c>
      <c r="B17" s="36">
        <v>33</v>
      </c>
      <c r="C17" s="36">
        <v>33</v>
      </c>
      <c r="D17" s="36">
        <v>0</v>
      </c>
      <c r="E17" s="36">
        <v>0</v>
      </c>
      <c r="F17" s="37">
        <v>0</v>
      </c>
      <c r="G17" s="41"/>
      <c r="I17" s="35" t="s">
        <v>35</v>
      </c>
    </row>
    <row r="18" spans="1:9" x14ac:dyDescent="0.2">
      <c r="A18" s="40" t="s">
        <v>58</v>
      </c>
      <c r="B18" s="36">
        <v>829.97</v>
      </c>
      <c r="C18" s="36">
        <v>829.97</v>
      </c>
      <c r="D18" s="36">
        <v>0</v>
      </c>
      <c r="E18" s="36">
        <v>0</v>
      </c>
      <c r="F18" s="37">
        <v>0</v>
      </c>
      <c r="G18" s="41"/>
      <c r="I18" s="35" t="s">
        <v>37</v>
      </c>
    </row>
    <row r="19" spans="1:9" x14ac:dyDescent="0.2">
      <c r="A19" s="40" t="s">
        <v>59</v>
      </c>
      <c r="B19" s="36">
        <v>856.66</v>
      </c>
      <c r="C19" s="36">
        <v>856.66</v>
      </c>
      <c r="D19" s="36">
        <v>0</v>
      </c>
      <c r="E19" s="36">
        <v>0</v>
      </c>
      <c r="F19" s="37">
        <v>0</v>
      </c>
      <c r="G19" s="41"/>
      <c r="I19" s="35" t="s">
        <v>35</v>
      </c>
    </row>
    <row r="20" spans="1:9" x14ac:dyDescent="0.2">
      <c r="A20" s="40" t="s">
        <v>51</v>
      </c>
      <c r="B20" s="36">
        <v>104.95</v>
      </c>
      <c r="C20" s="36">
        <v>104.95</v>
      </c>
      <c r="D20" s="36">
        <v>0</v>
      </c>
      <c r="E20" s="36">
        <v>0</v>
      </c>
      <c r="F20" s="37">
        <v>0</v>
      </c>
      <c r="G20" s="41"/>
      <c r="I20" s="35" t="s">
        <v>38</v>
      </c>
    </row>
    <row r="21" spans="1:9" x14ac:dyDescent="0.2">
      <c r="A21" s="40" t="s">
        <v>60</v>
      </c>
      <c r="B21" s="36">
        <v>987.49</v>
      </c>
      <c r="C21" s="36">
        <v>0</v>
      </c>
      <c r="D21" s="36">
        <v>987.49</v>
      </c>
      <c r="E21" s="36">
        <v>0</v>
      </c>
      <c r="F21" s="37">
        <v>0</v>
      </c>
      <c r="G21" s="41"/>
      <c r="I21" s="35" t="s">
        <v>35</v>
      </c>
    </row>
    <row r="22" spans="1:9" x14ac:dyDescent="0.2">
      <c r="A22" s="40" t="s">
        <v>50</v>
      </c>
      <c r="B22" s="36">
        <v>101.46</v>
      </c>
      <c r="C22" s="36">
        <v>101.46</v>
      </c>
      <c r="D22" s="36">
        <v>0</v>
      </c>
      <c r="E22" s="36">
        <v>0</v>
      </c>
      <c r="F22" s="37">
        <v>0</v>
      </c>
      <c r="G22" s="41"/>
      <c r="I22" s="35" t="s">
        <v>35</v>
      </c>
    </row>
    <row r="23" spans="1:9" x14ac:dyDescent="0.2">
      <c r="A23" s="40" t="s">
        <v>21</v>
      </c>
      <c r="B23" s="36">
        <v>151000</v>
      </c>
      <c r="C23" s="36">
        <v>0</v>
      </c>
      <c r="D23" s="36">
        <v>0</v>
      </c>
      <c r="E23" s="36">
        <v>0</v>
      </c>
      <c r="F23" s="37">
        <v>151000</v>
      </c>
      <c r="G23" s="41"/>
      <c r="I23" s="35" t="s">
        <v>35</v>
      </c>
    </row>
    <row r="24" spans="1:9" x14ac:dyDescent="0.2">
      <c r="A24" s="40" t="s">
        <v>61</v>
      </c>
      <c r="B24" s="36">
        <v>9249.9</v>
      </c>
      <c r="C24" s="36">
        <v>9249.9</v>
      </c>
      <c r="D24" s="36">
        <v>0</v>
      </c>
      <c r="E24" s="36">
        <v>0</v>
      </c>
      <c r="F24" s="37">
        <v>0</v>
      </c>
      <c r="G24" s="41"/>
      <c r="I24" s="35" t="s">
        <v>39</v>
      </c>
    </row>
    <row r="25" spans="1:9" x14ac:dyDescent="0.2">
      <c r="A25" s="40" t="s">
        <v>49</v>
      </c>
      <c r="B25" s="36">
        <v>56.61</v>
      </c>
      <c r="C25" s="36">
        <v>56.61</v>
      </c>
      <c r="D25" s="36">
        <v>0</v>
      </c>
      <c r="E25" s="36">
        <v>0</v>
      </c>
      <c r="F25" s="37">
        <v>0</v>
      </c>
      <c r="G25" s="41"/>
      <c r="I25" s="35" t="s">
        <v>36</v>
      </c>
    </row>
    <row r="26" spans="1:9" ht="24" x14ac:dyDescent="0.2">
      <c r="A26" s="40" t="s">
        <v>62</v>
      </c>
      <c r="B26" s="36">
        <v>968.01</v>
      </c>
      <c r="C26" s="36">
        <v>589.88</v>
      </c>
      <c r="D26" s="36">
        <v>378.13</v>
      </c>
      <c r="E26" s="36">
        <v>0</v>
      </c>
      <c r="F26" s="37">
        <v>0</v>
      </c>
      <c r="G26" s="41"/>
      <c r="I26" s="35" t="s">
        <v>40</v>
      </c>
    </row>
    <row r="27" spans="1:9" x14ac:dyDescent="0.2">
      <c r="A27" s="40" t="s">
        <v>20</v>
      </c>
      <c r="B27" s="36">
        <v>5200</v>
      </c>
      <c r="C27" s="36">
        <v>0</v>
      </c>
      <c r="D27" s="36">
        <v>0</v>
      </c>
      <c r="E27" s="36">
        <v>0</v>
      </c>
      <c r="F27" s="37">
        <v>5200</v>
      </c>
      <c r="G27" s="41"/>
      <c r="I27" s="35" t="s">
        <v>41</v>
      </c>
    </row>
    <row r="28" spans="1:9" x14ac:dyDescent="0.2">
      <c r="A28" s="40" t="s">
        <v>63</v>
      </c>
      <c r="B28" s="36">
        <v>1472.18</v>
      </c>
      <c r="C28" s="36">
        <v>1472.18</v>
      </c>
      <c r="D28" s="36">
        <v>0</v>
      </c>
      <c r="E28" s="36">
        <v>0</v>
      </c>
      <c r="F28" s="37">
        <v>0</v>
      </c>
      <c r="G28" s="41"/>
      <c r="I28" s="35" t="s">
        <v>42</v>
      </c>
    </row>
    <row r="29" spans="1:9" x14ac:dyDescent="0.2">
      <c r="A29" s="40" t="s">
        <v>13</v>
      </c>
      <c r="B29" s="36"/>
      <c r="C29" s="36"/>
      <c r="D29" s="36"/>
      <c r="E29" s="36"/>
      <c r="F29" s="37"/>
      <c r="G29" s="41"/>
      <c r="I29" s="35" t="s">
        <v>43</v>
      </c>
    </row>
    <row r="30" spans="1:9" x14ac:dyDescent="0.2">
      <c r="A30" s="40" t="s">
        <v>23</v>
      </c>
      <c r="B30" s="36">
        <v>609865.91</v>
      </c>
      <c r="C30" s="36">
        <v>375862.69</v>
      </c>
      <c r="D30" s="36">
        <v>1829.27</v>
      </c>
      <c r="E30" s="36">
        <v>0</v>
      </c>
      <c r="F30" s="37">
        <v>232173.95</v>
      </c>
      <c r="G30" s="41"/>
      <c r="I30" s="35" t="s">
        <v>35</v>
      </c>
    </row>
    <row r="31" spans="1:9" x14ac:dyDescent="0.2">
      <c r="A31" s="40" t="s">
        <v>33</v>
      </c>
      <c r="B31" s="36"/>
      <c r="C31" s="36">
        <v>0.61599999999999999</v>
      </c>
      <c r="D31" s="36">
        <v>3.0000000000000001E-3</v>
      </c>
      <c r="E31" s="36">
        <v>0</v>
      </c>
      <c r="F31" s="37">
        <v>0.38100000000000001</v>
      </c>
      <c r="G31" s="41"/>
      <c r="I31" s="35"/>
    </row>
    <row r="32" spans="1:9" x14ac:dyDescent="0.2">
      <c r="A32" s="40" t="s">
        <v>13</v>
      </c>
      <c r="B32" s="36"/>
      <c r="C32" s="36"/>
      <c r="D32" s="36"/>
      <c r="E32" s="36"/>
      <c r="F32" s="37"/>
      <c r="G32" s="41"/>
      <c r="I32" s="35" t="s">
        <v>18</v>
      </c>
    </row>
    <row r="33" spans="1:9" x14ac:dyDescent="0.2">
      <c r="A33" s="40" t="s">
        <v>13</v>
      </c>
      <c r="B33" s="36"/>
      <c r="C33" s="36"/>
      <c r="D33" s="36"/>
      <c r="E33" s="36"/>
      <c r="F33" s="37"/>
      <c r="G33" s="41"/>
      <c r="I33" s="35" t="s">
        <v>18</v>
      </c>
    </row>
    <row r="34" spans="1:9" x14ac:dyDescent="0.2">
      <c r="A34" s="40" t="s">
        <v>64</v>
      </c>
      <c r="B34" s="52">
        <v>609865.9</v>
      </c>
      <c r="C34" s="36"/>
      <c r="D34" s="36"/>
      <c r="E34" s="36"/>
      <c r="F34" s="37"/>
      <c r="G34" s="41"/>
      <c r="I34" s="35" t="s">
        <v>18</v>
      </c>
    </row>
    <row r="35" spans="1:9" x14ac:dyDescent="0.2">
      <c r="A35" s="40" t="s">
        <v>34</v>
      </c>
      <c r="B35" s="36">
        <v>0.01</v>
      </c>
      <c r="C35" s="36"/>
      <c r="D35" s="36"/>
      <c r="E35" s="36"/>
      <c r="F35" s="37"/>
      <c r="G35" s="41"/>
      <c r="I35" s="35" t="s">
        <v>18</v>
      </c>
    </row>
    <row r="36" spans="1:9" x14ac:dyDescent="0.2">
      <c r="A36" s="40" t="s">
        <v>13</v>
      </c>
      <c r="B36" s="36"/>
      <c r="C36" s="36"/>
      <c r="D36" s="36"/>
      <c r="E36" s="36"/>
      <c r="F36" s="37"/>
      <c r="G36" s="41"/>
      <c r="I36" s="35" t="s">
        <v>18</v>
      </c>
    </row>
    <row r="37" spans="1:9" ht="13.5" thickBot="1" x14ac:dyDescent="0.25">
      <c r="A37" s="22"/>
      <c r="B37" s="23"/>
      <c r="C37" s="24"/>
      <c r="D37" s="24"/>
      <c r="E37" s="25"/>
      <c r="F37" s="26"/>
      <c r="G37" s="42"/>
      <c r="I37" s="35" t="s">
        <v>18</v>
      </c>
    </row>
    <row r="38" spans="1:9" ht="13.5" thickTop="1" x14ac:dyDescent="0.2">
      <c r="I38" s="35" t="s">
        <v>18</v>
      </c>
    </row>
    <row r="39" spans="1:9" x14ac:dyDescent="0.2">
      <c r="A39"/>
      <c r="B39"/>
      <c r="C39"/>
      <c r="D39"/>
      <c r="E39"/>
      <c r="I39" s="35" t="s">
        <v>18</v>
      </c>
    </row>
    <row r="40" spans="1:9" x14ac:dyDescent="0.2">
      <c r="A40"/>
      <c r="B40"/>
      <c r="C40"/>
      <c r="D40"/>
      <c r="E40"/>
      <c r="I40" s="35" t="s">
        <v>18</v>
      </c>
    </row>
    <row r="41" spans="1:9" x14ac:dyDescent="0.2">
      <c r="A41"/>
      <c r="B41"/>
      <c r="C41"/>
      <c r="D41"/>
      <c r="E41"/>
      <c r="I41" s="35" t="s">
        <v>18</v>
      </c>
    </row>
    <row r="42" spans="1:9" x14ac:dyDescent="0.2">
      <c r="A42"/>
      <c r="B42"/>
      <c r="C42"/>
      <c r="D42"/>
      <c r="E42"/>
      <c r="I42" s="35" t="s">
        <v>18</v>
      </c>
    </row>
    <row r="43" spans="1:9" x14ac:dyDescent="0.2">
      <c r="A43"/>
      <c r="B43" s="30"/>
      <c r="C43" s="30"/>
      <c r="D43" s="30"/>
      <c r="E43"/>
      <c r="I43" s="35" t="s">
        <v>18</v>
      </c>
    </row>
    <row r="44" spans="1:9" x14ac:dyDescent="0.2">
      <c r="A44"/>
      <c r="B44" s="30"/>
      <c r="C44" s="30"/>
      <c r="D44" s="30"/>
      <c r="E44"/>
      <c r="I44" s="35" t="s">
        <v>18</v>
      </c>
    </row>
    <row r="45" spans="1:9" x14ac:dyDescent="0.2">
      <c r="A45"/>
      <c r="B45" s="30"/>
      <c r="C45" s="30"/>
      <c r="D45" s="30"/>
      <c r="E45"/>
      <c r="I45" s="35" t="s">
        <v>18</v>
      </c>
    </row>
    <row r="46" spans="1:9" x14ac:dyDescent="0.2">
      <c r="A46"/>
      <c r="B46" s="30"/>
      <c r="C46" s="30"/>
      <c r="D46" s="30"/>
      <c r="E46"/>
      <c r="I46" s="35" t="s">
        <v>18</v>
      </c>
    </row>
    <row r="47" spans="1:9" x14ac:dyDescent="0.2">
      <c r="A47"/>
      <c r="B47"/>
      <c r="C47"/>
      <c r="D47"/>
      <c r="E47"/>
      <c r="I47" s="35" t="s">
        <v>18</v>
      </c>
    </row>
    <row r="48" spans="1:9" x14ac:dyDescent="0.2">
      <c r="I48" s="35" t="s">
        <v>18</v>
      </c>
    </row>
    <row r="49" spans="9:9" x14ac:dyDescent="0.2">
      <c r="I49" s="35" t="s">
        <v>18</v>
      </c>
    </row>
    <row r="50" spans="9:9" x14ac:dyDescent="0.2">
      <c r="I50" s="35" t="s">
        <v>18</v>
      </c>
    </row>
    <row r="51" spans="9:9" x14ac:dyDescent="0.2">
      <c r="I51" s="35" t="s">
        <v>18</v>
      </c>
    </row>
    <row r="52" spans="9:9" x14ac:dyDescent="0.2">
      <c r="I52" s="35" t="s">
        <v>18</v>
      </c>
    </row>
    <row r="53" spans="9:9" x14ac:dyDescent="0.2">
      <c r="I53" s="35" t="s">
        <v>18</v>
      </c>
    </row>
    <row r="54" spans="9:9" x14ac:dyDescent="0.2">
      <c r="I54" s="35" t="s">
        <v>18</v>
      </c>
    </row>
    <row r="55" spans="9:9" x14ac:dyDescent="0.2">
      <c r="I55" s="35" t="s">
        <v>18</v>
      </c>
    </row>
    <row r="56" spans="9:9" x14ac:dyDescent="0.2">
      <c r="I56" s="35" t="s">
        <v>18</v>
      </c>
    </row>
    <row r="57" spans="9:9" x14ac:dyDescent="0.2">
      <c r="I57" s="35" t="s">
        <v>44</v>
      </c>
    </row>
    <row r="58" spans="9:9" ht="24" x14ac:dyDescent="0.2">
      <c r="I58" s="35" t="s">
        <v>26</v>
      </c>
    </row>
    <row r="59" spans="9:9" x14ac:dyDescent="0.2">
      <c r="I59" s="35" t="s">
        <v>45</v>
      </c>
    </row>
    <row r="60" spans="9:9" x14ac:dyDescent="0.2">
      <c r="I60" s="35" t="s">
        <v>46</v>
      </c>
    </row>
    <row r="61" spans="9:9" x14ac:dyDescent="0.2">
      <c r="I61" s="35" t="s">
        <v>47</v>
      </c>
    </row>
    <row r="62" spans="9:9" x14ac:dyDescent="0.2">
      <c r="I62" s="35" t="s">
        <v>13</v>
      </c>
    </row>
    <row r="63" spans="9:9" x14ac:dyDescent="0.2">
      <c r="I63" s="35" t="s">
        <v>13</v>
      </c>
    </row>
    <row r="64" spans="9:9" x14ac:dyDescent="0.2">
      <c r="I64" s="35" t="s">
        <v>13</v>
      </c>
    </row>
    <row r="65" spans="9:9" x14ac:dyDescent="0.2">
      <c r="I65" s="35" t="s">
        <v>13</v>
      </c>
    </row>
    <row r="66" spans="9:9" x14ac:dyDescent="0.2">
      <c r="I66" s="35" t="s">
        <v>13</v>
      </c>
    </row>
    <row r="67" spans="9:9" x14ac:dyDescent="0.2">
      <c r="I67" s="35" t="s">
        <v>13</v>
      </c>
    </row>
    <row r="68" spans="9:9" x14ac:dyDescent="0.2">
      <c r="I68" s="35" t="s">
        <v>13</v>
      </c>
    </row>
    <row r="69" spans="9:9" x14ac:dyDescent="0.2">
      <c r="I69" s="35" t="s">
        <v>13</v>
      </c>
    </row>
    <row r="70" spans="9:9" ht="13.5" thickBot="1" x14ac:dyDescent="0.25">
      <c r="I70" s="22"/>
    </row>
    <row r="71" spans="9:9" ht="13.5" thickTop="1" x14ac:dyDescent="0.2"/>
    <row r="72" spans="9:9" x14ac:dyDescent="0.2">
      <c r="I72"/>
    </row>
    <row r="73" spans="9:9" x14ac:dyDescent="0.2">
      <c r="I73"/>
    </row>
    <row r="74" spans="9:9" x14ac:dyDescent="0.2">
      <c r="I74"/>
    </row>
    <row r="75" spans="9:9" x14ac:dyDescent="0.2">
      <c r="I75"/>
    </row>
    <row r="76" spans="9:9" x14ac:dyDescent="0.2">
      <c r="I76"/>
    </row>
    <row r="77" spans="9:9" x14ac:dyDescent="0.2">
      <c r="I77"/>
    </row>
    <row r="78" spans="9:9" x14ac:dyDescent="0.2">
      <c r="I78"/>
    </row>
    <row r="79" spans="9:9" x14ac:dyDescent="0.2">
      <c r="I79"/>
    </row>
    <row r="80" spans="9:9" x14ac:dyDescent="0.2">
      <c r="I80"/>
    </row>
  </sheetData>
  <printOptions gridLines="1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>
    <oddFooter>&amp;L&amp;8&amp;Z&amp;F  _&amp;A
&amp;D  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B9315-013E-4E9A-A3D7-17DBD5814C0B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20517-25CE-441E-AA5A-BC2A88AC88FC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8:A86"/>
  <sheetViews>
    <sheetView workbookViewId="0">
      <selection activeCell="E20" sqref="E20"/>
    </sheetView>
  </sheetViews>
  <sheetFormatPr defaultRowHeight="12.75" x14ac:dyDescent="0.2"/>
  <sheetData>
    <row r="18" s="38" customFormat="1" x14ac:dyDescent="0.2"/>
    <row r="19" s="38" customFormat="1" x14ac:dyDescent="0.2"/>
    <row r="20" s="38" customFormat="1" x14ac:dyDescent="0.2"/>
    <row r="75" s="43" customFormat="1" x14ac:dyDescent="0.2"/>
    <row r="76" s="44" customFormat="1" x14ac:dyDescent="0.2"/>
    <row r="77" s="44" customFormat="1" x14ac:dyDescent="0.2"/>
    <row r="78" s="44" customFormat="1" x14ac:dyDescent="0.2"/>
    <row r="79" s="44" customFormat="1" x14ac:dyDescent="0.2"/>
    <row r="80" s="44" customFormat="1" x14ac:dyDescent="0.2"/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9" customFormat="1" x14ac:dyDescent="0.2"/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D557F-AB91-4867-9C34-1D5C00B13F01}">
  <sheetPr>
    <pageSetUpPr fitToPage="1"/>
  </sheetPr>
  <dimension ref="A1"/>
  <sheetViews>
    <sheetView workbookViewId="0">
      <selection activeCell="B6" sqref="B6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"/>
  <sheetViews>
    <sheetView workbookViewId="0">
      <selection activeCell="G25" sqref="G25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035F1-1FFA-438E-8982-CC3D5380E9E1}">
  <sheetPr>
    <tabColor rgb="FFFFFF00"/>
  </sheetPr>
  <dimension ref="A1:C11"/>
  <sheetViews>
    <sheetView workbookViewId="0">
      <selection activeCell="J21" sqref="J21"/>
    </sheetView>
  </sheetViews>
  <sheetFormatPr defaultRowHeight="12.75" x14ac:dyDescent="0.2"/>
  <cols>
    <col min="1" max="1" width="31.85546875" customWidth="1"/>
    <col min="2" max="2" width="11.5703125" customWidth="1"/>
    <col min="3" max="3" width="11.28515625" bestFit="1" customWidth="1"/>
  </cols>
  <sheetData>
    <row r="1" spans="1:3" x14ac:dyDescent="0.2">
      <c r="A1" s="38" t="s">
        <v>125</v>
      </c>
    </row>
    <row r="2" spans="1:3" x14ac:dyDescent="0.2">
      <c r="A2" s="38" t="s">
        <v>334</v>
      </c>
    </row>
    <row r="4" spans="1:3" x14ac:dyDescent="0.2">
      <c r="A4" s="63" t="s">
        <v>315</v>
      </c>
    </row>
    <row r="5" spans="1:3" x14ac:dyDescent="0.2">
      <c r="A5" s="63" t="s">
        <v>316</v>
      </c>
    </row>
    <row r="8" spans="1:3" x14ac:dyDescent="0.2">
      <c r="A8" s="63" t="s">
        <v>317</v>
      </c>
      <c r="B8" s="111">
        <v>467072.36</v>
      </c>
      <c r="C8" s="111"/>
    </row>
    <row r="9" spans="1:3" x14ac:dyDescent="0.2">
      <c r="A9" s="63" t="s">
        <v>319</v>
      </c>
      <c r="B9" s="101">
        <f>B10-B8</f>
        <v>467927.64</v>
      </c>
    </row>
    <row r="10" spans="1:3" ht="13.5" thickBot="1" x14ac:dyDescent="0.25">
      <c r="A10" s="63" t="s">
        <v>318</v>
      </c>
      <c r="B10" s="211">
        <f>935000</f>
        <v>935000</v>
      </c>
    </row>
    <row r="11" spans="1:3" ht="13.5" thickTop="1" x14ac:dyDescent="0.2"/>
  </sheetData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DE498-8E9F-407A-948C-EB7AF18EA005}">
  <sheetPr>
    <tabColor rgb="FFFFFF00"/>
  </sheetPr>
  <dimension ref="A1:H5"/>
  <sheetViews>
    <sheetView workbookViewId="0">
      <selection activeCell="J9" sqref="J9"/>
    </sheetView>
  </sheetViews>
  <sheetFormatPr defaultRowHeight="12.75" x14ac:dyDescent="0.2"/>
  <cols>
    <col min="2" max="2" width="24.140625" customWidth="1"/>
    <col min="3" max="4" width="14.140625" style="111" customWidth="1"/>
    <col min="5" max="6" width="11.7109375" style="111" customWidth="1"/>
    <col min="7" max="7" width="10" style="111" customWidth="1"/>
    <col min="8" max="8" width="9.140625" style="111"/>
  </cols>
  <sheetData>
    <row r="1" spans="1:8" x14ac:dyDescent="0.2">
      <c r="A1" t="s">
        <v>442</v>
      </c>
    </row>
    <row r="4" spans="1:8" x14ac:dyDescent="0.2">
      <c r="A4" t="s">
        <v>191</v>
      </c>
      <c r="B4" t="s">
        <v>292</v>
      </c>
      <c r="C4" s="111" t="s">
        <v>444</v>
      </c>
      <c r="D4" s="111" t="s">
        <v>371</v>
      </c>
      <c r="E4" s="111" t="s">
        <v>445</v>
      </c>
      <c r="F4" s="111" t="s">
        <v>447</v>
      </c>
      <c r="G4" s="111" t="s">
        <v>446</v>
      </c>
      <c r="H4" s="111" t="s">
        <v>375</v>
      </c>
    </row>
    <row r="5" spans="1:8" x14ac:dyDescent="0.2">
      <c r="A5" s="69">
        <v>44475</v>
      </c>
      <c r="B5" t="s">
        <v>443</v>
      </c>
      <c r="C5" s="111">
        <v>4990.91</v>
      </c>
      <c r="D5" s="111">
        <v>4990.91</v>
      </c>
      <c r="E5" s="111">
        <f>C5*2.5%</f>
        <v>124.77275</v>
      </c>
      <c r="F5" s="111">
        <v>0</v>
      </c>
      <c r="G5" s="111">
        <f>F5+E5</f>
        <v>124.77275</v>
      </c>
      <c r="H5" s="111">
        <f>D5-G5</f>
        <v>4866.1372499999998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616F1-F675-4244-9FDD-4825CBB1EDCF}">
  <sheetPr>
    <tabColor rgb="FFFFFF00"/>
  </sheetPr>
  <dimension ref="A1:S9"/>
  <sheetViews>
    <sheetView zoomScale="130" zoomScaleNormal="130" workbookViewId="0">
      <selection activeCell="G12" sqref="G12"/>
    </sheetView>
  </sheetViews>
  <sheetFormatPr defaultRowHeight="12.75" x14ac:dyDescent="0.2"/>
  <cols>
    <col min="1" max="1" width="18.5703125" customWidth="1"/>
    <col min="2" max="2" width="10.28515625" style="111" bestFit="1" customWidth="1"/>
    <col min="3" max="6" width="9.140625" style="111"/>
    <col min="18" max="18" width="10.28515625" bestFit="1" customWidth="1"/>
  </cols>
  <sheetData>
    <row r="1" spans="1:19" x14ac:dyDescent="0.2">
      <c r="A1" s="38" t="s">
        <v>343</v>
      </c>
      <c r="M1" s="63"/>
    </row>
    <row r="2" spans="1:19" x14ac:dyDescent="0.2">
      <c r="A2" s="38" t="s">
        <v>344</v>
      </c>
    </row>
    <row r="3" spans="1:19" x14ac:dyDescent="0.2">
      <c r="A3" s="63"/>
      <c r="M3" s="63"/>
      <c r="R3" s="114"/>
      <c r="S3" s="112"/>
    </row>
    <row r="4" spans="1:19" ht="13.5" thickBot="1" x14ac:dyDescent="0.25">
      <c r="A4" s="63" t="s">
        <v>363</v>
      </c>
      <c r="C4" s="211">
        <v>1962</v>
      </c>
      <c r="D4" s="111" t="s">
        <v>457</v>
      </c>
      <c r="M4" s="63"/>
      <c r="R4" s="114"/>
      <c r="S4" s="112"/>
    </row>
    <row r="5" spans="1:19" ht="13.5" thickTop="1" x14ac:dyDescent="0.2">
      <c r="A5" s="63"/>
      <c r="M5" s="63"/>
      <c r="R5" s="114"/>
      <c r="S5" s="112"/>
    </row>
    <row r="6" spans="1:19" x14ac:dyDescent="0.2">
      <c r="A6" s="63" t="s">
        <v>454</v>
      </c>
      <c r="C6" s="336">
        <v>2262</v>
      </c>
      <c r="D6" s="111" t="s">
        <v>449</v>
      </c>
      <c r="M6" s="63"/>
      <c r="R6" s="114"/>
      <c r="S6" s="112"/>
    </row>
    <row r="7" spans="1:19" x14ac:dyDescent="0.2">
      <c r="A7" s="63" t="s">
        <v>455</v>
      </c>
      <c r="C7" s="111">
        <f>3304.4/11</f>
        <v>300.40000000000003</v>
      </c>
      <c r="D7" s="111" t="s">
        <v>456</v>
      </c>
      <c r="M7" s="63"/>
      <c r="R7" s="114"/>
      <c r="S7" s="112"/>
    </row>
    <row r="8" spans="1:19" ht="13.5" thickBot="1" x14ac:dyDescent="0.25">
      <c r="A8" s="63"/>
      <c r="C8" s="211">
        <f>C6-C7</f>
        <v>1961.6</v>
      </c>
      <c r="M8" s="63"/>
      <c r="R8" s="114"/>
      <c r="S8" s="112"/>
    </row>
    <row r="9" spans="1:19" ht="13.5" thickTop="1" x14ac:dyDescent="0.2">
      <c r="A9" s="63"/>
      <c r="M9" s="63"/>
      <c r="R9" s="114"/>
      <c r="S9" s="112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E757A-54FF-48B8-B9CB-DD1CCDD06974}">
  <sheetPr>
    <tabColor rgb="FFFFFF00"/>
  </sheetPr>
  <dimension ref="A2:H45"/>
  <sheetViews>
    <sheetView workbookViewId="0">
      <selection activeCell="C3" sqref="C3:C4"/>
    </sheetView>
  </sheetViews>
  <sheetFormatPr defaultRowHeight="12.75" x14ac:dyDescent="0.2"/>
  <cols>
    <col min="3" max="3" width="9.140625" style="111"/>
    <col min="8" max="8" width="12" customWidth="1"/>
  </cols>
  <sheetData>
    <row r="2" spans="1:3" x14ac:dyDescent="0.2">
      <c r="A2" t="s">
        <v>450</v>
      </c>
      <c r="C2" s="111">
        <v>966</v>
      </c>
    </row>
    <row r="3" spans="1:3" x14ac:dyDescent="0.2">
      <c r="A3" t="s">
        <v>451</v>
      </c>
      <c r="C3" s="111">
        <f>-'42.'!B24</f>
        <v>4583.6999999999989</v>
      </c>
    </row>
    <row r="4" spans="1:3" x14ac:dyDescent="0.2">
      <c r="A4" t="s">
        <v>452</v>
      </c>
      <c r="C4" s="132">
        <v>259</v>
      </c>
    </row>
    <row r="5" spans="1:3" x14ac:dyDescent="0.2">
      <c r="C5" s="111">
        <f>SUM(C2:C4)</f>
        <v>5808.6999999999989</v>
      </c>
    </row>
    <row r="6" spans="1:3" x14ac:dyDescent="0.2">
      <c r="A6" t="s">
        <v>453</v>
      </c>
      <c r="C6" s="111">
        <f>-'39.'!B9</f>
        <v>-5780</v>
      </c>
    </row>
    <row r="7" spans="1:3" ht="13.5" thickBot="1" x14ac:dyDescent="0.25">
      <c r="A7" t="s">
        <v>458</v>
      </c>
      <c r="C7" s="210">
        <f>C3+C4+C6</f>
        <v>-937.30000000000109</v>
      </c>
    </row>
    <row r="8" spans="1:3" ht="13.5" thickTop="1" x14ac:dyDescent="0.2"/>
    <row r="38" spans="6:8" x14ac:dyDescent="0.2">
      <c r="F38" t="s">
        <v>310</v>
      </c>
      <c r="H38" s="111">
        <v>-6725</v>
      </c>
    </row>
    <row r="39" spans="6:8" x14ac:dyDescent="0.2">
      <c r="F39" t="s">
        <v>311</v>
      </c>
      <c r="H39" s="111">
        <f>-'42.'!B24</f>
        <v>4583.6999999999989</v>
      </c>
    </row>
    <row r="40" spans="6:8" x14ac:dyDescent="0.2">
      <c r="H40" s="213">
        <f>SUM(H38:H39)</f>
        <v>-2141.3000000000011</v>
      </c>
    </row>
    <row r="41" spans="6:8" x14ac:dyDescent="0.2">
      <c r="F41" t="s">
        <v>320</v>
      </c>
      <c r="H41" s="111">
        <v>259</v>
      </c>
    </row>
    <row r="42" spans="6:8" ht="13.5" thickBot="1" x14ac:dyDescent="0.25">
      <c r="H42" s="212">
        <f>H40+H41</f>
        <v>-1882.3000000000011</v>
      </c>
    </row>
    <row r="43" spans="6:8" ht="13.5" thickTop="1" x14ac:dyDescent="0.2"/>
    <row r="44" spans="6:8" ht="13.5" thickBot="1" x14ac:dyDescent="0.25">
      <c r="F44" t="s">
        <v>314</v>
      </c>
      <c r="H44" s="210">
        <v>-3643</v>
      </c>
    </row>
    <row r="45" spans="6:8" ht="13.5" thickTop="1" x14ac:dyDescent="0.2"/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2:C9"/>
  <sheetViews>
    <sheetView workbookViewId="0">
      <selection activeCell="B9" sqref="B9"/>
    </sheetView>
  </sheetViews>
  <sheetFormatPr defaultRowHeight="12.75" x14ac:dyDescent="0.2"/>
  <cols>
    <col min="1" max="1" width="13" customWidth="1"/>
  </cols>
  <sheetData>
    <row r="2" spans="1:3" x14ac:dyDescent="0.2">
      <c r="A2" s="38" t="s">
        <v>356</v>
      </c>
    </row>
    <row r="3" spans="1:3" x14ac:dyDescent="0.2">
      <c r="A3" s="63"/>
      <c r="B3" s="113"/>
    </row>
    <row r="4" spans="1:3" x14ac:dyDescent="0.2">
      <c r="A4" s="63" t="s">
        <v>345</v>
      </c>
      <c r="B4" s="63" t="s">
        <v>298</v>
      </c>
    </row>
    <row r="5" spans="1:3" ht="14.25" x14ac:dyDescent="0.2">
      <c r="A5" s="234" t="s">
        <v>357</v>
      </c>
      <c r="B5" s="111">
        <f>'52.'!E7</f>
        <v>1445</v>
      </c>
      <c r="C5" s="131" t="s">
        <v>188</v>
      </c>
    </row>
    <row r="6" spans="1:3" ht="14.25" x14ac:dyDescent="0.2">
      <c r="A6" s="234" t="s">
        <v>358</v>
      </c>
      <c r="B6" s="111">
        <f>'52.'!E8</f>
        <v>1445</v>
      </c>
      <c r="C6" s="131" t="s">
        <v>188</v>
      </c>
    </row>
    <row r="7" spans="1:3" ht="14.25" x14ac:dyDescent="0.2">
      <c r="A7" s="234" t="s">
        <v>359</v>
      </c>
      <c r="B7" s="111">
        <f>'52.'!E9</f>
        <v>1445</v>
      </c>
      <c r="C7" s="131" t="s">
        <v>188</v>
      </c>
    </row>
    <row r="8" spans="1:3" ht="14.25" x14ac:dyDescent="0.2">
      <c r="A8" s="234" t="s">
        <v>352</v>
      </c>
      <c r="B8" s="132">
        <f>'52.'!E10</f>
        <v>1445</v>
      </c>
      <c r="C8" s="131" t="s">
        <v>188</v>
      </c>
    </row>
    <row r="9" spans="1:3" x14ac:dyDescent="0.2">
      <c r="B9" s="110">
        <f>SUM(B5:B8)</f>
        <v>5780</v>
      </c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93F0-A7E2-461D-B71F-0BE80F094A0B}">
  <sheetPr>
    <tabColor rgb="FFFFFF00"/>
  </sheetPr>
  <dimension ref="A24:A25"/>
  <sheetViews>
    <sheetView workbookViewId="0">
      <selection activeCell="N14" sqref="N14"/>
    </sheetView>
  </sheetViews>
  <sheetFormatPr defaultRowHeight="12.75" x14ac:dyDescent="0.2"/>
  <sheetData>
    <row r="24" spans="1:1" x14ac:dyDescent="0.2">
      <c r="A24" t="s">
        <v>436</v>
      </c>
    </row>
    <row r="25" spans="1:1" x14ac:dyDescent="0.2">
      <c r="A25" t="s">
        <v>437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FC372-1434-4F60-A1CA-837B4EA5F6E8}">
  <sheetPr>
    <tabColor rgb="FFFFFF00"/>
  </sheetPr>
  <dimension ref="A1:G31"/>
  <sheetViews>
    <sheetView tabSelected="1" workbookViewId="0">
      <selection activeCell="G37" sqref="G37"/>
    </sheetView>
  </sheetViews>
  <sheetFormatPr defaultRowHeight="12.75" x14ac:dyDescent="0.2"/>
  <cols>
    <col min="1" max="1" width="31.5703125" customWidth="1"/>
    <col min="2" max="2" width="12.85546875" customWidth="1"/>
    <col min="3" max="3" width="4.5703125" customWidth="1"/>
    <col min="4" max="4" width="15" bestFit="1" customWidth="1"/>
    <col min="5" max="5" width="4.5703125" customWidth="1"/>
    <col min="6" max="6" width="15" bestFit="1" customWidth="1"/>
  </cols>
  <sheetData>
    <row r="1" spans="1:6" ht="15" x14ac:dyDescent="0.25">
      <c r="B1" s="84" t="s">
        <v>172</v>
      </c>
      <c r="D1" s="328" t="s">
        <v>144</v>
      </c>
      <c r="E1" s="328"/>
      <c r="F1" s="328"/>
    </row>
    <row r="2" spans="1:6" x14ac:dyDescent="0.2">
      <c r="D2" s="84" t="s">
        <v>184</v>
      </c>
      <c r="E2" s="84"/>
      <c r="F2" s="84" t="s">
        <v>173</v>
      </c>
    </row>
    <row r="3" spans="1:6" x14ac:dyDescent="0.2">
      <c r="A3" s="63" t="s">
        <v>441</v>
      </c>
      <c r="B3" s="63"/>
      <c r="D3" s="94">
        <v>1239417.78</v>
      </c>
      <c r="E3" s="94"/>
      <c r="F3" s="95">
        <f>SUM(D3:E3)</f>
        <v>1239417.78</v>
      </c>
    </row>
    <row r="4" spans="1:6" x14ac:dyDescent="0.2">
      <c r="A4" s="63"/>
      <c r="B4" s="63"/>
      <c r="D4" s="94"/>
      <c r="E4" s="94"/>
      <c r="F4" s="95"/>
    </row>
    <row r="5" spans="1:6" x14ac:dyDescent="0.2">
      <c r="A5" s="63" t="s">
        <v>174</v>
      </c>
      <c r="B5" s="63"/>
      <c r="D5" s="96">
        <v>1</v>
      </c>
      <c r="E5" s="96"/>
      <c r="F5" s="97">
        <f>SUM(D5:E5)</f>
        <v>1</v>
      </c>
    </row>
    <row r="6" spans="1:6" x14ac:dyDescent="0.2">
      <c r="F6" s="95"/>
    </row>
    <row r="7" spans="1:6" x14ac:dyDescent="0.2">
      <c r="A7" s="63" t="s">
        <v>307</v>
      </c>
      <c r="B7" s="98">
        <f>D7</f>
        <v>15886.08</v>
      </c>
      <c r="D7" s="94">
        <v>15886.08</v>
      </c>
      <c r="E7" s="94"/>
      <c r="F7" s="95">
        <f>SUM(D7:E7)</f>
        <v>15886.08</v>
      </c>
    </row>
    <row r="9" spans="1:6" x14ac:dyDescent="0.2">
      <c r="A9" s="38" t="s">
        <v>308</v>
      </c>
      <c r="B9" s="99">
        <f>SUM(B7:B8)</f>
        <v>15886.08</v>
      </c>
      <c r="D9" s="99">
        <f>D3+D7</f>
        <v>1255303.8600000001</v>
      </c>
      <c r="E9" s="99"/>
      <c r="F9" s="100">
        <f>SUM(D9:E9)</f>
        <v>1255303.8600000001</v>
      </c>
    </row>
    <row r="11" spans="1:6" x14ac:dyDescent="0.2">
      <c r="A11" s="63" t="s">
        <v>175</v>
      </c>
      <c r="B11" s="94">
        <f>D11</f>
        <v>-19756.37</v>
      </c>
      <c r="D11" s="111">
        <v>-19756.37</v>
      </c>
      <c r="F11" s="101">
        <f>SUM(D11:E11)</f>
        <v>-19756.37</v>
      </c>
    </row>
    <row r="13" spans="1:6" x14ac:dyDescent="0.2">
      <c r="A13" s="63" t="s">
        <v>153</v>
      </c>
      <c r="B13" s="98">
        <f>37987.06+19756.37-15886.08</f>
        <v>41857.349999999991</v>
      </c>
      <c r="E13" s="94"/>
      <c r="F13" s="94"/>
    </row>
    <row r="14" spans="1:6" x14ac:dyDescent="0.2">
      <c r="A14" s="63" t="s">
        <v>159</v>
      </c>
      <c r="B14" s="94">
        <v>13297.22</v>
      </c>
      <c r="E14" s="94"/>
      <c r="F14" s="94"/>
    </row>
    <row r="15" spans="1:6" x14ac:dyDescent="0.2">
      <c r="A15" s="63" t="s">
        <v>176</v>
      </c>
      <c r="B15" s="102">
        <f>B13-B14</f>
        <v>28560.12999999999</v>
      </c>
      <c r="D15" s="101">
        <f>+B15</f>
        <v>28560.12999999999</v>
      </c>
      <c r="F15" s="101">
        <f>SUM(D15:E15)</f>
        <v>28560.12999999999</v>
      </c>
    </row>
    <row r="16" spans="1:6" x14ac:dyDescent="0.2">
      <c r="A16" s="103" t="s">
        <v>177</v>
      </c>
      <c r="B16" s="102">
        <f>B9+B11+B15</f>
        <v>24689.839999999989</v>
      </c>
      <c r="E16" s="94"/>
      <c r="F16" s="94"/>
    </row>
    <row r="17" spans="1:7" x14ac:dyDescent="0.2">
      <c r="A17" s="103" t="s">
        <v>321</v>
      </c>
      <c r="B17" s="94">
        <f>'50.Dividends'!D32</f>
        <v>2450.85</v>
      </c>
      <c r="E17" s="94"/>
      <c r="F17" s="94"/>
    </row>
    <row r="18" spans="1:7" ht="13.5" thickBot="1" x14ac:dyDescent="0.25">
      <c r="A18" s="103" t="s">
        <v>178</v>
      </c>
      <c r="B18" s="104">
        <f>+B9+B15+B17</f>
        <v>46897.05999999999</v>
      </c>
      <c r="C18" t="s">
        <v>309</v>
      </c>
      <c r="E18" s="94"/>
      <c r="F18" s="94"/>
    </row>
    <row r="19" spans="1:7" x14ac:dyDescent="0.2">
      <c r="A19" s="63"/>
      <c r="B19" s="63"/>
      <c r="D19" s="94"/>
      <c r="E19" s="94"/>
      <c r="F19" s="94"/>
    </row>
    <row r="20" spans="1:7" x14ac:dyDescent="0.2">
      <c r="A20" s="63" t="s">
        <v>179</v>
      </c>
      <c r="B20" s="94">
        <f>ROUND(-B7,0)*0.15</f>
        <v>-2382.9</v>
      </c>
      <c r="D20" s="94">
        <f>ROUND(ROUND(-D7,0)*0.15,2)</f>
        <v>-2382.9</v>
      </c>
      <c r="E20" s="94"/>
      <c r="F20" s="101">
        <f>SUM(D20:E20)</f>
        <v>-2382.9</v>
      </c>
    </row>
    <row r="21" spans="1:7" x14ac:dyDescent="0.2">
      <c r="A21" s="63" t="s">
        <v>180</v>
      </c>
      <c r="B21" s="94">
        <f>(ROUNDDOWN(-B18,0)*0.15)-B20</f>
        <v>-4651.6499999999996</v>
      </c>
      <c r="D21" s="94">
        <f>+B21</f>
        <v>-4651.6499999999996</v>
      </c>
      <c r="E21" s="94"/>
      <c r="F21" s="101">
        <f>SUM(D21:E21)</f>
        <v>-4651.6499999999996</v>
      </c>
    </row>
    <row r="22" spans="1:7" x14ac:dyDescent="0.2">
      <c r="A22" s="105" t="s">
        <v>181</v>
      </c>
      <c r="B22" s="106">
        <f>SUM(B20:B21)</f>
        <v>-7034.5499999999993</v>
      </c>
      <c r="D22" s="106">
        <f t="shared" ref="D22:F22" si="0">SUM(D20:D21)</f>
        <v>-7034.5499999999993</v>
      </c>
      <c r="E22" s="106"/>
      <c r="F22" s="106">
        <f t="shared" si="0"/>
        <v>-7034.5499999999993</v>
      </c>
    </row>
    <row r="23" spans="1:7" x14ac:dyDescent="0.2">
      <c r="A23" s="63" t="s">
        <v>321</v>
      </c>
      <c r="B23" s="111">
        <f>B17</f>
        <v>2450.85</v>
      </c>
      <c r="D23" s="101">
        <f>B23</f>
        <v>2450.85</v>
      </c>
      <c r="F23" s="101">
        <f>D23</f>
        <v>2450.85</v>
      </c>
    </row>
    <row r="24" spans="1:7" x14ac:dyDescent="0.2">
      <c r="A24" s="63"/>
      <c r="B24" s="101">
        <f>B22+B23</f>
        <v>-4583.6999999999989</v>
      </c>
    </row>
    <row r="25" spans="1:7" x14ac:dyDescent="0.2">
      <c r="A25" s="107" t="s">
        <v>182</v>
      </c>
      <c r="B25" s="107"/>
      <c r="D25" s="108">
        <f>+D11+D15+D22+D23</f>
        <v>4220.0599999999922</v>
      </c>
      <c r="E25" s="108"/>
      <c r="F25" s="108">
        <f>+F11+F15+F22+F23</f>
        <v>4220.0599999999922</v>
      </c>
    </row>
    <row r="27" spans="1:7" x14ac:dyDescent="0.2">
      <c r="A27" s="109" t="s">
        <v>183</v>
      </c>
      <c r="B27" s="110">
        <f>+B16+B22+B23</f>
        <v>20106.139999999989</v>
      </c>
      <c r="D27" s="110">
        <f>D9+D25</f>
        <v>1259523.9200000002</v>
      </c>
      <c r="E27" s="110"/>
      <c r="F27" s="110">
        <f>F9+F25</f>
        <v>1259523.9200000002</v>
      </c>
      <c r="G27" s="63" t="s">
        <v>448</v>
      </c>
    </row>
    <row r="29" spans="1:7" x14ac:dyDescent="0.2">
      <c r="D29" s="101"/>
    </row>
    <row r="30" spans="1:7" x14ac:dyDescent="0.2">
      <c r="B30" s="101"/>
      <c r="D30" s="101">
        <f>D7+D25</f>
        <v>20106.139999999992</v>
      </c>
    </row>
    <row r="31" spans="1:7" x14ac:dyDescent="0.2">
      <c r="D31" s="101"/>
    </row>
  </sheetData>
  <mergeCells count="1">
    <mergeCell ref="D1:F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E518D-43E9-49F4-9B68-8AF378BD3A4B}">
  <sheetPr>
    <tabColor rgb="FFFFFF00"/>
  </sheetPr>
  <dimension ref="A1:I163"/>
  <sheetViews>
    <sheetView topLeftCell="A130" workbookViewId="0">
      <selection activeCell="H163" sqref="H163"/>
    </sheetView>
  </sheetViews>
  <sheetFormatPr defaultRowHeight="12.75" x14ac:dyDescent="0.2"/>
  <cols>
    <col min="1" max="1" width="39.42578125" customWidth="1"/>
    <col min="2" max="2" width="13.7109375" style="254" customWidth="1"/>
    <col min="3" max="3" width="3.140625" customWidth="1"/>
    <col min="4" max="4" width="13.7109375" style="111" customWidth="1"/>
    <col min="5" max="5" width="13.7109375" style="254" customWidth="1"/>
  </cols>
  <sheetData>
    <row r="1" spans="1:6" x14ac:dyDescent="0.2">
      <c r="A1" s="38" t="s">
        <v>343</v>
      </c>
    </row>
    <row r="2" spans="1:6" x14ac:dyDescent="0.2">
      <c r="A2" s="38" t="s">
        <v>364</v>
      </c>
    </row>
    <row r="3" spans="1:6" x14ac:dyDescent="0.2">
      <c r="B3" s="329"/>
      <c r="C3" s="329"/>
      <c r="D3" s="330"/>
      <c r="E3" s="330"/>
    </row>
    <row r="4" spans="1:6" x14ac:dyDescent="0.2">
      <c r="A4" s="84">
        <v>2014</v>
      </c>
      <c r="B4" s="331" t="s">
        <v>184</v>
      </c>
      <c r="C4" s="331"/>
      <c r="D4" s="331"/>
      <c r="E4" s="331"/>
    </row>
    <row r="5" spans="1:6" x14ac:dyDescent="0.2">
      <c r="A5" s="84"/>
      <c r="B5" s="332" t="s">
        <v>365</v>
      </c>
      <c r="C5" s="332"/>
      <c r="D5" s="332"/>
      <c r="E5" s="332"/>
    </row>
    <row r="6" spans="1:6" x14ac:dyDescent="0.2">
      <c r="A6" s="84" t="s">
        <v>371</v>
      </c>
      <c r="B6" s="310">
        <v>10</v>
      </c>
      <c r="C6" s="306"/>
      <c r="D6" s="309"/>
      <c r="E6" s="306"/>
    </row>
    <row r="7" spans="1:6" x14ac:dyDescent="0.2">
      <c r="A7" s="63" t="s">
        <v>434</v>
      </c>
      <c r="B7" s="307">
        <v>230000</v>
      </c>
      <c r="F7" t="s">
        <v>435</v>
      </c>
    </row>
    <row r="8" spans="1:6" x14ac:dyDescent="0.2">
      <c r="D8" s="305" t="s">
        <v>366</v>
      </c>
      <c r="E8" s="255" t="s">
        <v>367</v>
      </c>
    </row>
    <row r="9" spans="1:6" x14ac:dyDescent="0.2">
      <c r="A9" s="63" t="s">
        <v>368</v>
      </c>
      <c r="B9" s="254">
        <f>SUM(D9:E9)</f>
        <v>230010</v>
      </c>
      <c r="D9" s="111">
        <v>0</v>
      </c>
      <c r="E9" s="254">
        <v>230010</v>
      </c>
    </row>
    <row r="10" spans="1:6" x14ac:dyDescent="0.2">
      <c r="A10" s="63" t="s">
        <v>369</v>
      </c>
      <c r="B10" s="254">
        <v>0</v>
      </c>
    </row>
    <row r="11" spans="1:6" x14ac:dyDescent="0.2">
      <c r="A11" s="63" t="s">
        <v>370</v>
      </c>
      <c r="B11" s="254">
        <v>0</v>
      </c>
    </row>
    <row r="12" spans="1:6" ht="13.5" thickBot="1" x14ac:dyDescent="0.25">
      <c r="B12" s="256">
        <f>SUM(B9:B11)</f>
        <v>230010</v>
      </c>
      <c r="C12" s="256"/>
      <c r="D12" s="211">
        <f t="shared" ref="D12:E12" si="0">SUM(D9:D11)</f>
        <v>0</v>
      </c>
      <c r="E12" s="256">
        <f t="shared" si="0"/>
        <v>230010</v>
      </c>
    </row>
    <row r="13" spans="1:6" ht="14.25" thickTop="1" thickBot="1" x14ac:dyDescent="0.25">
      <c r="A13" s="257"/>
      <c r="B13" s="258">
        <f>SUM(D13:E13)</f>
        <v>1</v>
      </c>
      <c r="C13" s="257"/>
      <c r="D13" s="308">
        <f>D12/B12</f>
        <v>0</v>
      </c>
      <c r="E13" s="259">
        <f>E12/B12</f>
        <v>1</v>
      </c>
    </row>
    <row r="14" spans="1:6" x14ac:dyDescent="0.2">
      <c r="B14" s="260"/>
      <c r="D14" s="301"/>
      <c r="E14" s="261"/>
    </row>
    <row r="15" spans="1:6" x14ac:dyDescent="0.2">
      <c r="B15" s="262"/>
    </row>
    <row r="16" spans="1:6" x14ac:dyDescent="0.2">
      <c r="A16" s="84">
        <v>2015</v>
      </c>
      <c r="B16"/>
      <c r="D16" s="305" t="s">
        <v>366</v>
      </c>
      <c r="E16" s="255" t="s">
        <v>367</v>
      </c>
    </row>
    <row r="17" spans="1:5" x14ac:dyDescent="0.2">
      <c r="A17" s="63" t="s">
        <v>371</v>
      </c>
      <c r="B17" s="263">
        <f>B12</f>
        <v>230010</v>
      </c>
      <c r="E17" s="254">
        <v>230000</v>
      </c>
    </row>
    <row r="18" spans="1:5" x14ac:dyDescent="0.2">
      <c r="E18"/>
    </row>
    <row r="19" spans="1:5" x14ac:dyDescent="0.2">
      <c r="A19" s="63" t="s">
        <v>372</v>
      </c>
      <c r="B19" s="254">
        <f>SUM(D19:E19)</f>
        <v>30474.522999999997</v>
      </c>
      <c r="D19" s="111">
        <f>35852.38*0.85</f>
        <v>30474.522999999997</v>
      </c>
      <c r="E19" s="254">
        <v>0</v>
      </c>
    </row>
    <row r="20" spans="1:5" x14ac:dyDescent="0.2">
      <c r="A20" s="63" t="s">
        <v>373</v>
      </c>
      <c r="B20" s="254">
        <f t="shared" ref="B20:B21" si="1">SUM(D20:E20)</f>
        <v>210000</v>
      </c>
      <c r="D20" s="111">
        <v>0</v>
      </c>
      <c r="E20" s="254">
        <v>210000</v>
      </c>
    </row>
    <row r="21" spans="1:5" x14ac:dyDescent="0.2">
      <c r="A21" s="63" t="s">
        <v>374</v>
      </c>
      <c r="B21" s="254">
        <f t="shared" si="1"/>
        <v>22365.9</v>
      </c>
      <c r="D21" s="111">
        <f>22365.9-E21</f>
        <v>2397.9396151758156</v>
      </c>
      <c r="E21" s="254">
        <f>22365.9/492850.52*440010</f>
        <v>19967.960384824186</v>
      </c>
    </row>
    <row r="24" spans="1:5" x14ac:dyDescent="0.2">
      <c r="E24"/>
    </row>
    <row r="25" spans="1:5" x14ac:dyDescent="0.2">
      <c r="A25" s="63" t="s">
        <v>368</v>
      </c>
      <c r="B25" s="254">
        <f>SUM(B17:B24)</f>
        <v>492850.42300000001</v>
      </c>
      <c r="C25" s="254"/>
      <c r="D25" s="111">
        <f t="shared" ref="D25" si="2">SUM(D17:D24)</f>
        <v>32872.462615175813</v>
      </c>
      <c r="E25" s="254">
        <f>SUM(E17:E24)</f>
        <v>459967.9603848242</v>
      </c>
    </row>
    <row r="26" spans="1:5" x14ac:dyDescent="0.2">
      <c r="A26" s="63" t="s">
        <v>369</v>
      </c>
      <c r="B26" s="254">
        <v>0</v>
      </c>
      <c r="D26" s="111">
        <v>0</v>
      </c>
      <c r="E26" s="254">
        <v>0</v>
      </c>
    </row>
    <row r="27" spans="1:5" x14ac:dyDescent="0.2">
      <c r="A27" s="63" t="s">
        <v>370</v>
      </c>
      <c r="B27" s="254">
        <v>0</v>
      </c>
      <c r="D27" s="111">
        <v>0</v>
      </c>
      <c r="E27" s="254">
        <v>0</v>
      </c>
    </row>
    <row r="28" spans="1:5" ht="13.5" thickBot="1" x14ac:dyDescent="0.25">
      <c r="A28" s="63" t="s">
        <v>375</v>
      </c>
      <c r="B28" s="264">
        <f>SUM(B25:B27)</f>
        <v>492850.42300000001</v>
      </c>
      <c r="C28" s="264"/>
      <c r="D28" s="304">
        <f t="shared" ref="D28:E28" si="3">SUM(D25:D27)</f>
        <v>32872.462615175813</v>
      </c>
      <c r="E28" s="264">
        <f t="shared" si="3"/>
        <v>459967.9603848242</v>
      </c>
    </row>
    <row r="29" spans="1:5" ht="14.25" thickTop="1" thickBot="1" x14ac:dyDescent="0.25">
      <c r="A29" s="257"/>
      <c r="B29" s="258">
        <f>SUM(D29:E29)</f>
        <v>0.99997970986828189</v>
      </c>
      <c r="C29" s="257"/>
      <c r="D29" s="259">
        <f>D28/B28</f>
        <v>6.6698659636081542E-2</v>
      </c>
      <c r="E29" s="259">
        <f>E28/B28</f>
        <v>0.93328105023220032</v>
      </c>
    </row>
    <row r="30" spans="1:5" x14ac:dyDescent="0.2">
      <c r="B30" s="260"/>
      <c r="D30" s="301"/>
      <c r="E30" s="261"/>
    </row>
    <row r="31" spans="1:5" x14ac:dyDescent="0.2">
      <c r="B31" s="260"/>
      <c r="D31" s="301"/>
      <c r="E31" s="261"/>
    </row>
    <row r="32" spans="1:5" x14ac:dyDescent="0.2">
      <c r="A32" s="84">
        <v>2016</v>
      </c>
      <c r="B32"/>
      <c r="D32" s="305" t="s">
        <v>366</v>
      </c>
      <c r="E32" s="255" t="s">
        <v>367</v>
      </c>
    </row>
    <row r="33" spans="1:7" x14ac:dyDescent="0.2">
      <c r="A33" s="63" t="s">
        <v>371</v>
      </c>
      <c r="B33"/>
    </row>
    <row r="34" spans="1:7" x14ac:dyDescent="0.2">
      <c r="A34" s="63" t="s">
        <v>368</v>
      </c>
      <c r="B34" s="263">
        <f>B25</f>
        <v>492850.42300000001</v>
      </c>
      <c r="D34" s="303">
        <f>D28</f>
        <v>32872.462615175813</v>
      </c>
      <c r="E34" s="263">
        <f>E28</f>
        <v>459967.9603848242</v>
      </c>
    </row>
    <row r="35" spans="1:7" x14ac:dyDescent="0.2">
      <c r="A35" s="63" t="s">
        <v>369</v>
      </c>
      <c r="B35" s="265">
        <f>B26</f>
        <v>0</v>
      </c>
      <c r="D35" s="302">
        <f>D26</f>
        <v>0</v>
      </c>
      <c r="E35" s="266">
        <f>E26</f>
        <v>0</v>
      </c>
    </row>
    <row r="36" spans="1:7" x14ac:dyDescent="0.2">
      <c r="A36" s="63" t="s">
        <v>370</v>
      </c>
      <c r="B36" s="265">
        <f>B27</f>
        <v>0</v>
      </c>
      <c r="D36" s="302">
        <f>D27</f>
        <v>0</v>
      </c>
      <c r="E36" s="266">
        <f>E27</f>
        <v>0</v>
      </c>
    </row>
    <row r="37" spans="1:7" x14ac:dyDescent="0.2">
      <c r="E37"/>
    </row>
    <row r="38" spans="1:7" x14ac:dyDescent="0.2">
      <c r="A38" s="63" t="s">
        <v>372</v>
      </c>
      <c r="B38" s="254">
        <f>SUM(D38:E38)</f>
        <v>29127.119999999999</v>
      </c>
      <c r="D38" s="111">
        <v>29127.119999999999</v>
      </c>
      <c r="E38" s="254">
        <v>0</v>
      </c>
    </row>
    <row r="39" spans="1:7" x14ac:dyDescent="0.2">
      <c r="A39" s="63" t="s">
        <v>373</v>
      </c>
      <c r="B39" s="254">
        <f>SUM(D39:E39)</f>
        <v>0</v>
      </c>
      <c r="D39" s="111">
        <v>0</v>
      </c>
      <c r="E39" s="254">
        <v>0</v>
      </c>
    </row>
    <row r="40" spans="1:7" x14ac:dyDescent="0.2">
      <c r="A40" s="63" t="s">
        <v>374</v>
      </c>
      <c r="B40" s="254">
        <f>SUM(D40:E40)</f>
        <v>21491.769999999997</v>
      </c>
      <c r="D40" s="111">
        <f>21491.67-E40+0.1</f>
        <v>1434.0016511561275</v>
      </c>
      <c r="E40" s="254">
        <f>21491.67*E29</f>
        <v>20057.768348843871</v>
      </c>
    </row>
    <row r="43" spans="1:7" x14ac:dyDescent="0.2">
      <c r="E43"/>
    </row>
    <row r="44" spans="1:7" x14ac:dyDescent="0.2">
      <c r="A44" s="63" t="s">
        <v>368</v>
      </c>
      <c r="B44" s="254">
        <f>SUM(B34:B43)</f>
        <v>543469.31299999997</v>
      </c>
      <c r="C44" s="254"/>
      <c r="D44" s="111">
        <f>SUM(D34:D43)</f>
        <v>63433.584266331934</v>
      </c>
      <c r="E44" s="254">
        <f>SUM(E34:E43)</f>
        <v>480025.72873366805</v>
      </c>
    </row>
    <row r="45" spans="1:7" x14ac:dyDescent="0.2">
      <c r="A45" s="63" t="s">
        <v>369</v>
      </c>
      <c r="B45" s="254">
        <v>0</v>
      </c>
      <c r="D45" s="111">
        <v>0</v>
      </c>
      <c r="E45" s="254">
        <v>0</v>
      </c>
      <c r="G45" s="101"/>
    </row>
    <row r="46" spans="1:7" x14ac:dyDescent="0.2">
      <c r="A46" s="63" t="s">
        <v>370</v>
      </c>
      <c r="B46" s="254">
        <v>0</v>
      </c>
      <c r="D46" s="111">
        <v>0</v>
      </c>
      <c r="E46" s="254">
        <v>0</v>
      </c>
    </row>
    <row r="47" spans="1:7" ht="13.5" thickBot="1" x14ac:dyDescent="0.25">
      <c r="B47" s="256">
        <f>SUM(B44:B46)</f>
        <v>543469.31299999997</v>
      </c>
      <c r="C47" s="256"/>
      <c r="D47" s="211">
        <f>SUM(D44:D46)</f>
        <v>63433.584266331934</v>
      </c>
      <c r="E47" s="256">
        <f>SUM(E44:E46)</f>
        <v>480025.72873366805</v>
      </c>
    </row>
    <row r="48" spans="1:7" ht="14.25" thickTop="1" thickBot="1" x14ac:dyDescent="0.25">
      <c r="A48" s="257"/>
      <c r="B48" s="258">
        <f>SUM(D48:E48)</f>
        <v>0.99998159969705602</v>
      </c>
      <c r="C48" s="257"/>
      <c r="D48" s="259">
        <f>D47/B47</f>
        <v>0.11671971673280464</v>
      </c>
      <c r="E48" s="259">
        <f>E47/B47</f>
        <v>0.88326188296425134</v>
      </c>
    </row>
    <row r="49" spans="1:5" x14ac:dyDescent="0.2">
      <c r="B49" s="260"/>
      <c r="D49" s="301"/>
      <c r="E49" s="261"/>
    </row>
    <row r="50" spans="1:5" x14ac:dyDescent="0.2">
      <c r="B50" s="260"/>
      <c r="D50" s="301"/>
      <c r="E50" s="261"/>
    </row>
    <row r="51" spans="1:5" x14ac:dyDescent="0.2">
      <c r="A51" s="84">
        <v>2017</v>
      </c>
      <c r="B51"/>
      <c r="D51" s="305" t="s">
        <v>366</v>
      </c>
      <c r="E51" s="255" t="s">
        <v>367</v>
      </c>
    </row>
    <row r="52" spans="1:5" x14ac:dyDescent="0.2">
      <c r="A52" s="63" t="s">
        <v>371</v>
      </c>
      <c r="B52"/>
    </row>
    <row r="53" spans="1:5" x14ac:dyDescent="0.2">
      <c r="A53" s="63" t="s">
        <v>368</v>
      </c>
      <c r="B53" s="263">
        <f>B44</f>
        <v>543469.31299999997</v>
      </c>
      <c r="D53" s="303">
        <f t="shared" ref="D53:E55" si="4">D44</f>
        <v>63433.584266331934</v>
      </c>
      <c r="E53" s="263">
        <f t="shared" si="4"/>
        <v>480025.72873366805</v>
      </c>
    </row>
    <row r="54" spans="1:5" x14ac:dyDescent="0.2">
      <c r="A54" s="63" t="s">
        <v>369</v>
      </c>
      <c r="B54" s="265">
        <f>SUM(D54:E54)</f>
        <v>0</v>
      </c>
      <c r="D54" s="302">
        <f t="shared" si="4"/>
        <v>0</v>
      </c>
      <c r="E54" s="266">
        <f t="shared" si="4"/>
        <v>0</v>
      </c>
    </row>
    <row r="55" spans="1:5" x14ac:dyDescent="0.2">
      <c r="A55" s="63" t="s">
        <v>370</v>
      </c>
      <c r="B55" s="265">
        <f>B46</f>
        <v>0</v>
      </c>
      <c r="D55" s="302">
        <f t="shared" si="4"/>
        <v>0</v>
      </c>
      <c r="E55" s="266">
        <f t="shared" si="4"/>
        <v>0</v>
      </c>
    </row>
    <row r="56" spans="1:5" x14ac:dyDescent="0.2">
      <c r="E56"/>
    </row>
    <row r="57" spans="1:5" x14ac:dyDescent="0.2">
      <c r="A57" s="63" t="s">
        <v>434</v>
      </c>
      <c r="B57" s="254">
        <f>SUM(D57:E57)</f>
        <v>1349.18</v>
      </c>
      <c r="D57" s="111">
        <v>1349.18</v>
      </c>
      <c r="E57" s="111">
        <v>0</v>
      </c>
    </row>
    <row r="58" spans="1:5" x14ac:dyDescent="0.2">
      <c r="A58" s="63" t="s">
        <v>372</v>
      </c>
      <c r="B58" s="254">
        <f t="shared" ref="B58:B59" si="5">SUM(D58:E58)</f>
        <v>14539.12</v>
      </c>
      <c r="D58" s="111">
        <v>14539.12</v>
      </c>
      <c r="E58" s="254">
        <v>0</v>
      </c>
    </row>
    <row r="59" spans="1:5" x14ac:dyDescent="0.2">
      <c r="A59" s="63" t="s">
        <v>373</v>
      </c>
      <c r="B59" s="254">
        <f t="shared" si="5"/>
        <v>0</v>
      </c>
    </row>
    <row r="60" spans="1:5" x14ac:dyDescent="0.2">
      <c r="A60" s="63" t="s">
        <v>374</v>
      </c>
      <c r="B60" s="254">
        <f>SUM(D60:E60)</f>
        <v>21580.663219830127</v>
      </c>
      <c r="D60" s="111">
        <f>23619.32-2038.65-19061.39</f>
        <v>2519.2799999999988</v>
      </c>
      <c r="E60" s="254">
        <f>(23619.32-2038.65)*E48</f>
        <v>19061.383219830128</v>
      </c>
    </row>
    <row r="63" spans="1:5" x14ac:dyDescent="0.2">
      <c r="E63"/>
    </row>
    <row r="64" spans="1:5" x14ac:dyDescent="0.2">
      <c r="A64" s="63" t="s">
        <v>368</v>
      </c>
      <c r="B64" s="254">
        <f>SUM(B53:B63)</f>
        <v>580938.27621983015</v>
      </c>
      <c r="C64" s="254"/>
      <c r="D64" s="111">
        <f>SUM(D53:D60)</f>
        <v>81841.164266331936</v>
      </c>
      <c r="E64" s="254">
        <f>SUM(E53:E60)</f>
        <v>499087.11195349816</v>
      </c>
    </row>
    <row r="65" spans="1:9" x14ac:dyDescent="0.2">
      <c r="A65" s="63" t="s">
        <v>369</v>
      </c>
      <c r="B65" s="254">
        <v>0</v>
      </c>
      <c r="D65" s="111">
        <v>0</v>
      </c>
    </row>
    <row r="66" spans="1:9" x14ac:dyDescent="0.2">
      <c r="A66" s="63" t="s">
        <v>370</v>
      </c>
      <c r="B66" s="254">
        <v>0</v>
      </c>
      <c r="D66" s="111">
        <v>0</v>
      </c>
    </row>
    <row r="67" spans="1:9" ht="13.5" thickBot="1" x14ac:dyDescent="0.25">
      <c r="B67" s="267">
        <f>SUM(B64:B66)</f>
        <v>580938.27621983015</v>
      </c>
      <c r="C67" s="267"/>
      <c r="D67" s="311">
        <f>SUM(D64:D66)</f>
        <v>81841.164266331936</v>
      </c>
      <c r="E67" s="267">
        <f t="shared" ref="E67" si="6">SUM(E64:E66)</f>
        <v>499087.11195349816</v>
      </c>
    </row>
    <row r="68" spans="1:9" ht="14.25" thickTop="1" thickBot="1" x14ac:dyDescent="0.25">
      <c r="A68" s="257"/>
      <c r="B68" s="268">
        <f>SUM(D68:E68)</f>
        <v>0.99998278646732464</v>
      </c>
      <c r="C68" s="269"/>
      <c r="D68" s="270">
        <f>D67/B67</f>
        <v>0.14087755552771117</v>
      </c>
      <c r="E68" s="270">
        <f>E67/B67</f>
        <v>0.85910523093961344</v>
      </c>
    </row>
    <row r="69" spans="1:9" x14ac:dyDescent="0.2">
      <c r="B69" s="260"/>
      <c r="D69" s="301"/>
      <c r="E69" s="261"/>
    </row>
    <row r="70" spans="1:9" x14ac:dyDescent="0.2">
      <c r="A70" s="84">
        <v>2018</v>
      </c>
      <c r="B70"/>
      <c r="D70" s="305" t="s">
        <v>366</v>
      </c>
      <c r="E70" s="255" t="s">
        <v>367</v>
      </c>
    </row>
    <row r="71" spans="1:9" x14ac:dyDescent="0.2">
      <c r="A71" s="63" t="s">
        <v>371</v>
      </c>
      <c r="B71"/>
    </row>
    <row r="72" spans="1:9" x14ac:dyDescent="0.2">
      <c r="A72" s="63" t="s">
        <v>368</v>
      </c>
      <c r="B72" s="263">
        <f>B64</f>
        <v>580938.27621983015</v>
      </c>
      <c r="D72" s="303">
        <f>D64</f>
        <v>81841.164266331936</v>
      </c>
      <c r="E72" s="263">
        <f>E64</f>
        <v>499087.11195349816</v>
      </c>
      <c r="I72" s="101"/>
    </row>
    <row r="73" spans="1:9" x14ac:dyDescent="0.2">
      <c r="A73" s="63" t="s">
        <v>369</v>
      </c>
      <c r="B73" s="265">
        <f>SUM(D73:E73)</f>
        <v>0</v>
      </c>
      <c r="D73" s="302">
        <f>D66</f>
        <v>0</v>
      </c>
      <c r="E73" s="266">
        <f>E66</f>
        <v>0</v>
      </c>
    </row>
    <row r="74" spans="1:9" x14ac:dyDescent="0.2">
      <c r="A74" s="63" t="s">
        <v>370</v>
      </c>
      <c r="B74" s="265"/>
      <c r="D74" s="302"/>
      <c r="E74" s="266"/>
    </row>
    <row r="75" spans="1:9" x14ac:dyDescent="0.2">
      <c r="E75"/>
    </row>
    <row r="76" spans="1:9" x14ac:dyDescent="0.2">
      <c r="A76" s="63" t="s">
        <v>434</v>
      </c>
      <c r="B76" s="254">
        <f>SUM(D76:E76)</f>
        <v>587.29999999999995</v>
      </c>
      <c r="D76">
        <v>587.29999999999995</v>
      </c>
      <c r="E76" s="111">
        <v>0</v>
      </c>
    </row>
    <row r="77" spans="1:9" x14ac:dyDescent="0.2">
      <c r="A77" s="63" t="s">
        <v>372</v>
      </c>
      <c r="B77" s="254">
        <f>SUM(D77:E77)</f>
        <v>13298.81</v>
      </c>
      <c r="D77" s="111">
        <v>13298.81</v>
      </c>
      <c r="E77" s="254">
        <v>0</v>
      </c>
    </row>
    <row r="78" spans="1:9" x14ac:dyDescent="0.2">
      <c r="A78" s="63" t="s">
        <v>373</v>
      </c>
      <c r="B78" s="254">
        <f t="shared" ref="B78" si="7">SUM(D78:E78)</f>
        <v>0</v>
      </c>
      <c r="E78" s="254">
        <f>22931.1*E69</f>
        <v>0</v>
      </c>
    </row>
    <row r="79" spans="1:9" x14ac:dyDescent="0.2">
      <c r="A79" s="63" t="s">
        <v>374</v>
      </c>
      <c r="B79" s="254">
        <f>SUM(D79:E79)</f>
        <v>25977.439999999999</v>
      </c>
      <c r="D79" s="111">
        <f>25977.44-E79</f>
        <v>3660.0854095800496</v>
      </c>
      <c r="E79" s="254">
        <f>25977.44*E68</f>
        <v>22317.354590419949</v>
      </c>
    </row>
    <row r="82" spans="1:5" x14ac:dyDescent="0.2">
      <c r="E82"/>
    </row>
    <row r="83" spans="1:5" x14ac:dyDescent="0.2">
      <c r="A83" s="63" t="s">
        <v>368</v>
      </c>
      <c r="B83" s="254">
        <f>SUM(B72:B82)</f>
        <v>620801.8262198302</v>
      </c>
      <c r="C83" s="254"/>
      <c r="D83" s="111">
        <f>SUM(D72:D79)</f>
        <v>99387.359675911983</v>
      </c>
      <c r="E83" s="254">
        <f>SUM(E72:E79)</f>
        <v>521404.46654391813</v>
      </c>
    </row>
    <row r="84" spans="1:5" x14ac:dyDescent="0.2">
      <c r="A84" s="63" t="s">
        <v>369</v>
      </c>
      <c r="B84" s="254">
        <v>0</v>
      </c>
      <c r="D84" s="111">
        <v>0</v>
      </c>
    </row>
    <row r="85" spans="1:5" x14ac:dyDescent="0.2">
      <c r="A85" s="63" t="s">
        <v>370</v>
      </c>
      <c r="B85" s="254">
        <v>0</v>
      </c>
      <c r="D85" s="111">
        <v>0</v>
      </c>
    </row>
    <row r="86" spans="1:5" ht="13.5" thickBot="1" x14ac:dyDescent="0.25">
      <c r="B86" s="267">
        <f>SUM(B83:B85)</f>
        <v>620801.8262198302</v>
      </c>
      <c r="C86" s="267"/>
      <c r="D86" s="311">
        <f>SUM(D83:D85)</f>
        <v>99387.359675911983</v>
      </c>
      <c r="E86" s="267">
        <f t="shared" ref="E86" si="8">SUM(E83:E85)</f>
        <v>521404.46654391813</v>
      </c>
    </row>
    <row r="87" spans="1:5" ht="14.25" thickTop="1" thickBot="1" x14ac:dyDescent="0.25">
      <c r="A87" s="257"/>
      <c r="B87" s="268">
        <f>SUM(D87:E87)</f>
        <v>0.99998389179996294</v>
      </c>
      <c r="C87" s="269"/>
      <c r="D87" s="270">
        <f>D86/B86</f>
        <v>0.16009514707954198</v>
      </c>
      <c r="E87" s="270">
        <f>E86/B86</f>
        <v>0.83988874472042097</v>
      </c>
    </row>
    <row r="88" spans="1:5" x14ac:dyDescent="0.2">
      <c r="B88" s="260"/>
      <c r="D88" s="301"/>
      <c r="E88" s="261"/>
    </row>
    <row r="89" spans="1:5" x14ac:dyDescent="0.2">
      <c r="A89" s="84">
        <v>2019</v>
      </c>
      <c r="B89"/>
      <c r="D89" s="305" t="s">
        <v>366</v>
      </c>
      <c r="E89" s="255" t="s">
        <v>367</v>
      </c>
    </row>
    <row r="90" spans="1:5" x14ac:dyDescent="0.2">
      <c r="A90" s="63" t="s">
        <v>371</v>
      </c>
      <c r="B90"/>
    </row>
    <row r="91" spans="1:5" x14ac:dyDescent="0.2">
      <c r="A91" s="63" t="s">
        <v>368</v>
      </c>
      <c r="B91" s="263">
        <f>B83</f>
        <v>620801.8262198302</v>
      </c>
      <c r="D91" s="303">
        <f>D83</f>
        <v>99387.359675911983</v>
      </c>
      <c r="E91" s="263">
        <f>E83</f>
        <v>521404.46654391813</v>
      </c>
    </row>
    <row r="92" spans="1:5" x14ac:dyDescent="0.2">
      <c r="A92" s="63" t="s">
        <v>369</v>
      </c>
      <c r="B92" s="265">
        <f>SUM(D92:E92)</f>
        <v>0</v>
      </c>
      <c r="D92" s="302">
        <f>D85</f>
        <v>0</v>
      </c>
      <c r="E92" s="266">
        <f>E85</f>
        <v>0</v>
      </c>
    </row>
    <row r="93" spans="1:5" x14ac:dyDescent="0.2">
      <c r="A93" s="63" t="s">
        <v>370</v>
      </c>
      <c r="B93" s="265"/>
      <c r="D93" s="302"/>
      <c r="E93" s="266"/>
    </row>
    <row r="94" spans="1:5" x14ac:dyDescent="0.2">
      <c r="E94"/>
    </row>
    <row r="95" spans="1:5" x14ac:dyDescent="0.2">
      <c r="A95" s="63" t="s">
        <v>434</v>
      </c>
      <c r="B95" s="254">
        <f>SUM(D95:E95)</f>
        <v>0</v>
      </c>
      <c r="E95" s="111">
        <v>0</v>
      </c>
    </row>
    <row r="96" spans="1:5" x14ac:dyDescent="0.2">
      <c r="A96" s="63" t="s">
        <v>372</v>
      </c>
      <c r="B96" s="254">
        <f>SUM(D96:E96)</f>
        <v>13442</v>
      </c>
      <c r="D96" s="111">
        <v>13442</v>
      </c>
      <c r="E96" s="254">
        <v>0</v>
      </c>
    </row>
    <row r="97" spans="1:5" x14ac:dyDescent="0.2">
      <c r="A97" s="63" t="s">
        <v>373</v>
      </c>
      <c r="B97" s="254">
        <f t="shared" ref="B97" si="9">SUM(D97:E97)</f>
        <v>0</v>
      </c>
      <c r="E97" s="254">
        <f>22931.1*E88</f>
        <v>0</v>
      </c>
    </row>
    <row r="98" spans="1:5" x14ac:dyDescent="0.2">
      <c r="A98" s="63" t="s">
        <v>374</v>
      </c>
      <c r="B98" s="254">
        <f>SUM(D98:E98)</f>
        <v>54425</v>
      </c>
      <c r="D98" s="111">
        <f>61883-2016-5442-E98</f>
        <v>8714.0550685910857</v>
      </c>
      <c r="E98" s="254">
        <f>(61883-2016-5442)*E87</f>
        <v>45710.944931408914</v>
      </c>
    </row>
    <row r="101" spans="1:5" x14ac:dyDescent="0.2">
      <c r="E101"/>
    </row>
    <row r="102" spans="1:5" x14ac:dyDescent="0.2">
      <c r="A102" s="63" t="s">
        <v>368</v>
      </c>
      <c r="B102" s="254">
        <f>SUM(B91:B101)</f>
        <v>688668.8262198302</v>
      </c>
      <c r="C102" s="254"/>
      <c r="D102" s="111">
        <f>SUM(D91:D98)</f>
        <v>121543.41474450307</v>
      </c>
      <c r="E102" s="254">
        <f>SUM(E91:E98)</f>
        <v>567115.4114753271</v>
      </c>
    </row>
    <row r="103" spans="1:5" x14ac:dyDescent="0.2">
      <c r="A103" s="63" t="s">
        <v>369</v>
      </c>
      <c r="B103" s="254">
        <v>0</v>
      </c>
      <c r="D103" s="111">
        <v>0</v>
      </c>
    </row>
    <row r="104" spans="1:5" x14ac:dyDescent="0.2">
      <c r="A104" s="63" t="s">
        <v>370</v>
      </c>
      <c r="B104" s="254">
        <v>0</v>
      </c>
      <c r="D104" s="111">
        <v>0</v>
      </c>
    </row>
    <row r="105" spans="1:5" ht="13.5" thickBot="1" x14ac:dyDescent="0.25">
      <c r="B105" s="267">
        <f>SUM(B102:B104)</f>
        <v>688668.8262198302</v>
      </c>
      <c r="C105" s="267"/>
      <c r="D105" s="311">
        <f>SUM(D102:D104)</f>
        <v>121543.41474450307</v>
      </c>
      <c r="E105" s="267">
        <f t="shared" ref="E105" si="10">SUM(E102:E104)</f>
        <v>567115.4114753271</v>
      </c>
    </row>
    <row r="106" spans="1:5" ht="14.25" thickTop="1" thickBot="1" x14ac:dyDescent="0.25">
      <c r="A106" s="257"/>
      <c r="B106" s="268">
        <f>SUM(D106:E106)</f>
        <v>0.99998547923236925</v>
      </c>
      <c r="C106" s="269"/>
      <c r="D106" s="270">
        <f>D105/B105</f>
        <v>0.17649036825387701</v>
      </c>
      <c r="E106" s="270">
        <f>E105/B105</f>
        <v>0.82349511097849226</v>
      </c>
    </row>
    <row r="108" spans="1:5" x14ac:dyDescent="0.2">
      <c r="A108" s="84">
        <v>2020</v>
      </c>
      <c r="B108"/>
      <c r="D108" s="305" t="s">
        <v>366</v>
      </c>
      <c r="E108" s="255" t="s">
        <v>367</v>
      </c>
    </row>
    <row r="109" spans="1:5" x14ac:dyDescent="0.2">
      <c r="A109" s="63" t="s">
        <v>371</v>
      </c>
      <c r="B109"/>
    </row>
    <row r="110" spans="1:5" x14ac:dyDescent="0.2">
      <c r="A110" s="63" t="s">
        <v>368</v>
      </c>
      <c r="B110" s="263">
        <f>B102</f>
        <v>688668.8262198302</v>
      </c>
      <c r="D110" s="303">
        <f>D102</f>
        <v>121543.41474450307</v>
      </c>
      <c r="E110" s="263">
        <f>E102</f>
        <v>567115.4114753271</v>
      </c>
    </row>
    <row r="111" spans="1:5" x14ac:dyDescent="0.2">
      <c r="A111" s="63" t="s">
        <v>369</v>
      </c>
      <c r="B111" s="265">
        <f>SUM(D111:E111)</f>
        <v>0</v>
      </c>
      <c r="D111" s="302">
        <f>D104</f>
        <v>0</v>
      </c>
      <c r="E111" s="266">
        <f>E104</f>
        <v>0</v>
      </c>
    </row>
    <row r="112" spans="1:5" x14ac:dyDescent="0.2">
      <c r="A112" s="63" t="s">
        <v>370</v>
      </c>
      <c r="B112" s="265"/>
      <c r="D112" s="302"/>
      <c r="E112" s="266"/>
    </row>
    <row r="113" spans="1:5" x14ac:dyDescent="0.2">
      <c r="E113"/>
    </row>
    <row r="114" spans="1:5" x14ac:dyDescent="0.2">
      <c r="A114" s="63" t="s">
        <v>434</v>
      </c>
      <c r="B114" s="254">
        <f>SUM(D114:E114)</f>
        <v>0</v>
      </c>
      <c r="E114" s="111">
        <v>0</v>
      </c>
    </row>
    <row r="115" spans="1:5" x14ac:dyDescent="0.2">
      <c r="A115" s="63" t="s">
        <v>372</v>
      </c>
      <c r="B115" s="254">
        <f>SUM(D115:E115)</f>
        <v>13340.3</v>
      </c>
      <c r="D115" s="111">
        <v>13340.3</v>
      </c>
      <c r="E115" s="254">
        <v>0</v>
      </c>
    </row>
    <row r="116" spans="1:5" x14ac:dyDescent="0.2">
      <c r="A116" s="63" t="s">
        <v>373</v>
      </c>
      <c r="B116" s="254">
        <f>SUM(D116:E116)</f>
        <v>0</v>
      </c>
      <c r="D116"/>
      <c r="E116"/>
    </row>
    <row r="117" spans="1:5" x14ac:dyDescent="0.2">
      <c r="A117" s="63" t="s">
        <v>374</v>
      </c>
      <c r="B117" s="254">
        <f>SUM(D117:E117)</f>
        <v>-7983.7699999999995</v>
      </c>
      <c r="D117" s="111">
        <f>-7983.41-E117-0.36</f>
        <v>-1409.4708960631954</v>
      </c>
      <c r="E117" s="254">
        <f>-7983.41*E106</f>
        <v>-6574.2991039368044</v>
      </c>
    </row>
    <row r="120" spans="1:5" x14ac:dyDescent="0.2">
      <c r="E120"/>
    </row>
    <row r="121" spans="1:5" x14ac:dyDescent="0.2">
      <c r="A121" s="63" t="s">
        <v>368</v>
      </c>
      <c r="B121" s="254">
        <f>SUM(B110:B120)</f>
        <v>694025.35621983022</v>
      </c>
      <c r="C121" s="254"/>
      <c r="D121" s="111">
        <f>SUM(D110:D117)</f>
        <v>133474.24384843986</v>
      </c>
      <c r="E121" s="254">
        <f>SUM(E110:E117)</f>
        <v>560541.11237139034</v>
      </c>
    </row>
    <row r="122" spans="1:5" x14ac:dyDescent="0.2">
      <c r="A122" s="63" t="s">
        <v>369</v>
      </c>
      <c r="B122" s="254">
        <v>0</v>
      </c>
      <c r="D122" s="111">
        <v>0</v>
      </c>
    </row>
    <row r="123" spans="1:5" x14ac:dyDescent="0.2">
      <c r="A123" s="63" t="s">
        <v>370</v>
      </c>
      <c r="B123" s="254">
        <v>0</v>
      </c>
      <c r="D123" s="111">
        <v>0</v>
      </c>
    </row>
    <row r="124" spans="1:5" ht="13.5" thickBot="1" x14ac:dyDescent="0.25">
      <c r="B124" s="267">
        <f>SUM(B121:B123)</f>
        <v>694025.35621983022</v>
      </c>
      <c r="C124" s="267"/>
      <c r="D124" s="311">
        <f>SUM(D121:D123)</f>
        <v>133474.24384843986</v>
      </c>
      <c r="E124" s="267">
        <f t="shared" ref="E124" si="11">SUM(E121:E123)</f>
        <v>560541.11237139034</v>
      </c>
    </row>
    <row r="125" spans="1:5" ht="14.25" thickTop="1" thickBot="1" x14ac:dyDescent="0.25">
      <c r="A125" s="257"/>
      <c r="B125" s="268">
        <f>SUM(D125:E125)</f>
        <v>0.9999855913045389</v>
      </c>
      <c r="C125" s="269"/>
      <c r="D125" s="270">
        <f>D124/B124</f>
        <v>0.19231897315025812</v>
      </c>
      <c r="E125" s="270">
        <f>E124/B124</f>
        <v>0.80766661815428076</v>
      </c>
    </row>
    <row r="127" spans="1:5" x14ac:dyDescent="0.2">
      <c r="A127" s="84">
        <v>2021</v>
      </c>
      <c r="B127"/>
      <c r="D127" s="305" t="s">
        <v>366</v>
      </c>
      <c r="E127" s="255" t="s">
        <v>367</v>
      </c>
    </row>
    <row r="128" spans="1:5" x14ac:dyDescent="0.2">
      <c r="A128" s="63" t="s">
        <v>371</v>
      </c>
      <c r="B128"/>
    </row>
    <row r="129" spans="1:5" x14ac:dyDescent="0.2">
      <c r="A129" s="63" t="s">
        <v>368</v>
      </c>
      <c r="B129" s="263">
        <f>B121</f>
        <v>694025.35621983022</v>
      </c>
      <c r="D129" s="303">
        <f>D121</f>
        <v>133474.24384843986</v>
      </c>
      <c r="E129" s="263">
        <f>E121</f>
        <v>560541.11237139034</v>
      </c>
    </row>
    <row r="130" spans="1:5" x14ac:dyDescent="0.2">
      <c r="A130" s="63" t="s">
        <v>369</v>
      </c>
      <c r="B130" s="265">
        <f>SUM(D130:E130)</f>
        <v>0</v>
      </c>
      <c r="D130" s="302">
        <f>D123</f>
        <v>0</v>
      </c>
      <c r="E130" s="266">
        <f>E123</f>
        <v>0</v>
      </c>
    </row>
    <row r="131" spans="1:5" x14ac:dyDescent="0.2">
      <c r="A131" s="63" t="s">
        <v>370</v>
      </c>
      <c r="B131" s="265"/>
      <c r="D131" s="302"/>
      <c r="E131" s="266"/>
    </row>
    <row r="132" spans="1:5" x14ac:dyDescent="0.2">
      <c r="E132"/>
    </row>
    <row r="133" spans="1:5" x14ac:dyDescent="0.2">
      <c r="A133" s="63" t="s">
        <v>434</v>
      </c>
      <c r="B133" s="254">
        <f>SUM(D133:E133)</f>
        <v>0</v>
      </c>
      <c r="E133" s="111">
        <v>0</v>
      </c>
    </row>
    <row r="134" spans="1:5" x14ac:dyDescent="0.2">
      <c r="A134" s="63" t="s">
        <v>372</v>
      </c>
      <c r="B134" s="254">
        <f>SUM(D134:E134)</f>
        <v>14417.01</v>
      </c>
      <c r="D134" s="111">
        <v>14417.01</v>
      </c>
      <c r="E134" s="254">
        <v>0</v>
      </c>
    </row>
    <row r="135" spans="1:5" x14ac:dyDescent="0.2">
      <c r="A135" s="63" t="s">
        <v>373</v>
      </c>
      <c r="B135" s="254">
        <f>SUM(D135:E135)</f>
        <v>530975.41</v>
      </c>
      <c r="D135" s="111">
        <f>530975.41-E135</f>
        <v>102124.29628221731</v>
      </c>
      <c r="E135" s="254">
        <f>530975.41*E125</f>
        <v>428851.11371778272</v>
      </c>
    </row>
    <row r="136" spans="1:5" x14ac:dyDescent="0.2">
      <c r="A136" s="63" t="s">
        <v>374</v>
      </c>
      <c r="B136" s="254">
        <f>SUM(D136:E136)</f>
        <v>0</v>
      </c>
    </row>
    <row r="139" spans="1:5" x14ac:dyDescent="0.2">
      <c r="E139"/>
    </row>
    <row r="140" spans="1:5" x14ac:dyDescent="0.2">
      <c r="A140" s="63" t="s">
        <v>368</v>
      </c>
      <c r="B140" s="254">
        <f>SUM(B129:B139)</f>
        <v>1239417.7762198304</v>
      </c>
      <c r="C140" s="254"/>
      <c r="D140" s="111">
        <f>SUM(D129:D136)</f>
        <v>250015.55013065718</v>
      </c>
      <c r="E140" s="254">
        <f>SUM(E129:E136)</f>
        <v>989392.226089173</v>
      </c>
    </row>
    <row r="141" spans="1:5" x14ac:dyDescent="0.2">
      <c r="A141" s="63" t="s">
        <v>369</v>
      </c>
      <c r="B141" s="254">
        <v>0</v>
      </c>
      <c r="D141" s="111">
        <v>0</v>
      </c>
    </row>
    <row r="142" spans="1:5" x14ac:dyDescent="0.2">
      <c r="A142" s="63" t="s">
        <v>370</v>
      </c>
      <c r="B142" s="254">
        <v>0</v>
      </c>
      <c r="D142" s="111">
        <v>0</v>
      </c>
    </row>
    <row r="143" spans="1:5" ht="13.5" thickBot="1" x14ac:dyDescent="0.25">
      <c r="B143" s="267">
        <f>SUM(B140:B142)</f>
        <v>1239417.7762198304</v>
      </c>
      <c r="C143" s="267"/>
      <c r="D143" s="311">
        <f>SUM(D140:D142)</f>
        <v>250015.55013065718</v>
      </c>
      <c r="E143" s="267">
        <f t="shared" ref="E143" si="12">SUM(E140:E142)</f>
        <v>989392.226089173</v>
      </c>
    </row>
    <row r="144" spans="1:5" ht="14.25" thickTop="1" thickBot="1" x14ac:dyDescent="0.25">
      <c r="A144" s="257"/>
      <c r="B144" s="268">
        <f>SUM(D144:E144)</f>
        <v>0.99999193169551692</v>
      </c>
      <c r="C144" s="269"/>
      <c r="D144" s="270">
        <f>D143/B143</f>
        <v>0.20172015839017057</v>
      </c>
      <c r="E144" s="270">
        <f>E143/B143</f>
        <v>0.79827177330534638</v>
      </c>
    </row>
    <row r="146" spans="1:5" x14ac:dyDescent="0.2">
      <c r="A146" s="84">
        <v>2022</v>
      </c>
      <c r="B146"/>
      <c r="D146" s="305" t="s">
        <v>366</v>
      </c>
      <c r="E146" s="255" t="s">
        <v>367</v>
      </c>
    </row>
    <row r="147" spans="1:5" x14ac:dyDescent="0.2">
      <c r="A147" s="63" t="s">
        <v>371</v>
      </c>
      <c r="B147"/>
    </row>
    <row r="148" spans="1:5" x14ac:dyDescent="0.2">
      <c r="A148" s="63" t="s">
        <v>368</v>
      </c>
      <c r="B148" s="263">
        <f>B140</f>
        <v>1239417.7762198304</v>
      </c>
      <c r="D148" s="303">
        <f>D140</f>
        <v>250015.55013065718</v>
      </c>
      <c r="E148" s="263">
        <f>E140</f>
        <v>989392.226089173</v>
      </c>
    </row>
    <row r="149" spans="1:5" x14ac:dyDescent="0.2">
      <c r="A149" s="63" t="s">
        <v>369</v>
      </c>
      <c r="B149" s="265">
        <f>SUM(D149:E149)</f>
        <v>0</v>
      </c>
      <c r="D149" s="302">
        <f>D142</f>
        <v>0</v>
      </c>
      <c r="E149" s="266">
        <f>E142</f>
        <v>0</v>
      </c>
    </row>
    <row r="150" spans="1:5" x14ac:dyDescent="0.2">
      <c r="A150" s="63" t="s">
        <v>370</v>
      </c>
      <c r="B150" s="265"/>
      <c r="D150" s="302"/>
      <c r="E150" s="266"/>
    </row>
    <row r="151" spans="1:5" x14ac:dyDescent="0.2">
      <c r="E151"/>
    </row>
    <row r="152" spans="1:5" x14ac:dyDescent="0.2">
      <c r="A152" s="63" t="s">
        <v>434</v>
      </c>
      <c r="B152" s="254">
        <f>SUM(D152:E152)</f>
        <v>0</v>
      </c>
      <c r="D152" s="111">
        <v>0</v>
      </c>
      <c r="E152" s="111">
        <v>0</v>
      </c>
    </row>
    <row r="153" spans="1:5" x14ac:dyDescent="0.2">
      <c r="A153" s="63" t="s">
        <v>372</v>
      </c>
      <c r="B153" s="254">
        <f>SUM(D153:E153)</f>
        <v>15886.08</v>
      </c>
      <c r="D153" s="111">
        <f>'42.'!B7</f>
        <v>15886.08</v>
      </c>
      <c r="E153" s="254">
        <v>0</v>
      </c>
    </row>
    <row r="154" spans="1:5" x14ac:dyDescent="0.2">
      <c r="A154" s="63" t="s">
        <v>373</v>
      </c>
      <c r="B154" s="254">
        <f>SUM(D154:E154)</f>
        <v>0</v>
      </c>
      <c r="D154" s="111">
        <v>0</v>
      </c>
    </row>
    <row r="155" spans="1:5" x14ac:dyDescent="0.2">
      <c r="A155" s="63" t="s">
        <v>374</v>
      </c>
      <c r="B155" s="254">
        <f>SUM(D155:E155)</f>
        <v>4220.0599999999922</v>
      </c>
      <c r="D155" s="111">
        <f>'42.'!D25</f>
        <v>4220.0599999999922</v>
      </c>
    </row>
    <row r="158" spans="1:5" x14ac:dyDescent="0.2">
      <c r="E158"/>
    </row>
    <row r="159" spans="1:5" x14ac:dyDescent="0.2">
      <c r="A159" s="63" t="s">
        <v>368</v>
      </c>
      <c r="B159" s="254">
        <f>SUM(B148:B158)</f>
        <v>1259523.9162198305</v>
      </c>
      <c r="C159" s="254"/>
      <c r="D159" s="111">
        <f>SUM(D148:D155)</f>
        <v>270121.69013065717</v>
      </c>
      <c r="E159" s="254">
        <f>SUM(E148:E155)</f>
        <v>989392.226089173</v>
      </c>
    </row>
    <row r="160" spans="1:5" x14ac:dyDescent="0.2">
      <c r="A160" s="63" t="s">
        <v>369</v>
      </c>
      <c r="B160" s="254">
        <v>0</v>
      </c>
      <c r="D160" s="111">
        <v>0</v>
      </c>
    </row>
    <row r="161" spans="1:5" x14ac:dyDescent="0.2">
      <c r="A161" s="63" t="s">
        <v>370</v>
      </c>
      <c r="B161" s="254">
        <v>0</v>
      </c>
      <c r="D161" s="111">
        <v>0</v>
      </c>
    </row>
    <row r="162" spans="1:5" ht="13.5" thickBot="1" x14ac:dyDescent="0.25">
      <c r="B162" s="267">
        <f>SUM(B159:B161)</f>
        <v>1259523.9162198305</v>
      </c>
      <c r="C162" s="267"/>
      <c r="D162" s="311">
        <f>SUM(D159:D161)</f>
        <v>270121.69013065717</v>
      </c>
      <c r="E162" s="267">
        <f t="shared" ref="E162" si="13">SUM(E159:E161)</f>
        <v>989392.226089173</v>
      </c>
    </row>
    <row r="163" spans="1:5" ht="14.25" thickTop="1" thickBot="1" x14ac:dyDescent="0.25">
      <c r="A163" s="257"/>
      <c r="B163" s="268">
        <f>SUM(D163:E163)</f>
        <v>0.9999920604921656</v>
      </c>
      <c r="C163" s="269"/>
      <c r="D163" s="270">
        <f>D162/B162</f>
        <v>0.21446332749390332</v>
      </c>
      <c r="E163" s="270">
        <f>E162/B162</f>
        <v>0.78552873299826231</v>
      </c>
    </row>
  </sheetData>
  <mergeCells count="4">
    <mergeCell ref="B3:C3"/>
    <mergeCell ref="D3:E3"/>
    <mergeCell ref="B4:E4"/>
    <mergeCell ref="B5:E5"/>
  </mergeCells>
  <pageMargins left="0.7" right="0.7" top="0.75" bottom="0.75" header="0.3" footer="0.3"/>
  <pageSetup paperSize="9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E8879-53FF-49A3-A1D5-EF476319EE86}">
  <sheetPr>
    <tabColor rgb="FFFFFF00"/>
  </sheetPr>
  <dimension ref="A1:D53"/>
  <sheetViews>
    <sheetView workbookViewId="0">
      <selection activeCell="H24" sqref="H24"/>
    </sheetView>
  </sheetViews>
  <sheetFormatPr defaultRowHeight="12.75" x14ac:dyDescent="0.2"/>
  <cols>
    <col min="1" max="1" width="74.140625" customWidth="1"/>
    <col min="2" max="3" width="15.7109375" style="254" customWidth="1"/>
  </cols>
  <sheetData>
    <row r="1" spans="1:4" x14ac:dyDescent="0.2">
      <c r="A1" s="38" t="s">
        <v>343</v>
      </c>
      <c r="B1" s="271"/>
    </row>
    <row r="2" spans="1:4" x14ac:dyDescent="0.2">
      <c r="A2" s="38" t="s">
        <v>376</v>
      </c>
      <c r="B2" s="271"/>
    </row>
    <row r="3" spans="1:4" x14ac:dyDescent="0.2">
      <c r="A3" s="38" t="s">
        <v>377</v>
      </c>
    </row>
    <row r="4" spans="1:4" x14ac:dyDescent="0.2">
      <c r="A4" s="38"/>
    </row>
    <row r="5" spans="1:4" x14ac:dyDescent="0.2">
      <c r="A5" s="38"/>
    </row>
    <row r="6" spans="1:4" x14ac:dyDescent="0.2">
      <c r="A6" s="272" t="s">
        <v>378</v>
      </c>
    </row>
    <row r="7" spans="1:4" x14ac:dyDescent="0.2">
      <c r="A7" s="38"/>
    </row>
    <row r="8" spans="1:4" x14ac:dyDescent="0.2">
      <c r="A8" s="38"/>
    </row>
    <row r="9" spans="1:4" x14ac:dyDescent="0.2">
      <c r="A9" s="38"/>
    </row>
    <row r="10" spans="1:4" ht="13.5" thickBot="1" x14ac:dyDescent="0.25"/>
    <row r="11" spans="1:4" ht="13.5" thickBot="1" x14ac:dyDescent="0.25">
      <c r="B11" s="333" t="s">
        <v>184</v>
      </c>
      <c r="C11" s="334"/>
      <c r="D11" s="112" t="s">
        <v>379</v>
      </c>
    </row>
    <row r="12" spans="1:4" ht="13.5" thickBot="1" x14ac:dyDescent="0.25"/>
    <row r="13" spans="1:4" ht="13.5" x14ac:dyDescent="0.2">
      <c r="A13" s="273" t="s">
        <v>380</v>
      </c>
      <c r="B13" s="274"/>
      <c r="C13" s="275"/>
    </row>
    <row r="14" spans="1:4" ht="13.5" x14ac:dyDescent="0.2">
      <c r="A14" s="276" t="s">
        <v>381</v>
      </c>
      <c r="B14" s="277">
        <f>'42.1 Member Comp'!B162</f>
        <v>1259523.9162198305</v>
      </c>
      <c r="C14" s="278"/>
    </row>
    <row r="15" spans="1:4" ht="13.5" x14ac:dyDescent="0.2">
      <c r="A15" s="276" t="s">
        <v>382</v>
      </c>
      <c r="B15" s="277">
        <v>0</v>
      </c>
      <c r="C15" s="278"/>
    </row>
    <row r="16" spans="1:4" ht="14.25" thickBot="1" x14ac:dyDescent="0.25">
      <c r="A16" s="279" t="s">
        <v>383</v>
      </c>
      <c r="B16" s="280">
        <v>0</v>
      </c>
      <c r="C16" s="278">
        <f>SUM(B14:B16)</f>
        <v>1259523.9162198305</v>
      </c>
    </row>
    <row r="17" spans="1:4" x14ac:dyDescent="0.2">
      <c r="B17" s="277"/>
      <c r="C17" s="278"/>
    </row>
    <row r="18" spans="1:4" ht="13.5" thickBot="1" x14ac:dyDescent="0.25">
      <c r="B18" s="277"/>
      <c r="C18" s="278"/>
    </row>
    <row r="19" spans="1:4" ht="13.5" x14ac:dyDescent="0.2">
      <c r="A19" s="281" t="s">
        <v>384</v>
      </c>
      <c r="B19" s="282"/>
      <c r="C19" s="278"/>
    </row>
    <row r="20" spans="1:4" ht="13.5" x14ac:dyDescent="0.2">
      <c r="A20" s="283" t="s">
        <v>385</v>
      </c>
      <c r="B20" s="277"/>
      <c r="C20" s="278"/>
    </row>
    <row r="21" spans="1:4" ht="13.5" x14ac:dyDescent="0.2">
      <c r="A21" s="283" t="s">
        <v>386</v>
      </c>
      <c r="B21" s="277">
        <v>0</v>
      </c>
      <c r="C21" s="278"/>
    </row>
    <row r="22" spans="1:4" ht="13.5" x14ac:dyDescent="0.2">
      <c r="A22" s="283" t="s">
        <v>387</v>
      </c>
      <c r="B22" s="277">
        <v>0</v>
      </c>
      <c r="C22" s="278"/>
    </row>
    <row r="23" spans="1:4" ht="26.25" x14ac:dyDescent="0.2">
      <c r="A23" s="283" t="s">
        <v>388</v>
      </c>
      <c r="B23" s="277">
        <v>0</v>
      </c>
      <c r="C23" s="278"/>
    </row>
    <row r="24" spans="1:4" ht="16.5" thickBot="1" x14ac:dyDescent="0.3">
      <c r="A24" s="284" t="s">
        <v>389</v>
      </c>
      <c r="B24" s="277">
        <v>0</v>
      </c>
      <c r="C24" s="278">
        <f>SUM(B21:B24)</f>
        <v>0</v>
      </c>
    </row>
    <row r="25" spans="1:4" ht="13.5" thickBot="1" x14ac:dyDescent="0.25">
      <c r="B25" s="277"/>
      <c r="C25" s="278"/>
    </row>
    <row r="26" spans="1:4" ht="27.75" thickBot="1" x14ac:dyDescent="0.25">
      <c r="A26" s="285" t="s">
        <v>390</v>
      </c>
      <c r="B26" s="277"/>
      <c r="C26" s="278">
        <v>0</v>
      </c>
    </row>
    <row r="27" spans="1:4" ht="14.25" thickBot="1" x14ac:dyDescent="0.25">
      <c r="A27" s="286" t="s">
        <v>391</v>
      </c>
      <c r="B27" s="277"/>
      <c r="C27" s="278">
        <v>0</v>
      </c>
    </row>
    <row r="28" spans="1:4" ht="14.25" thickBot="1" x14ac:dyDescent="0.25">
      <c r="A28" s="286" t="s">
        <v>392</v>
      </c>
      <c r="B28" s="277"/>
      <c r="C28" s="278">
        <v>0</v>
      </c>
    </row>
    <row r="29" spans="1:4" ht="14.25" thickBot="1" x14ac:dyDescent="0.25">
      <c r="A29" s="287" t="s">
        <v>393</v>
      </c>
      <c r="B29" s="288"/>
      <c r="C29" s="289">
        <f>SUM(C16:C28)</f>
        <v>1259523.9162198305</v>
      </c>
      <c r="D29" t="s">
        <v>394</v>
      </c>
    </row>
    <row r="30" spans="1:4" ht="13.5" thickTop="1" x14ac:dyDescent="0.2"/>
    <row r="34" spans="1:2" x14ac:dyDescent="0.2">
      <c r="A34" s="290" t="s">
        <v>395</v>
      </c>
    </row>
    <row r="35" spans="1:2" x14ac:dyDescent="0.2">
      <c r="A35" s="291" t="s">
        <v>396</v>
      </c>
    </row>
    <row r="36" spans="1:2" ht="24" x14ac:dyDescent="0.2">
      <c r="A36" s="291" t="s">
        <v>397</v>
      </c>
    </row>
    <row r="37" spans="1:2" x14ac:dyDescent="0.2">
      <c r="A37" s="290" t="s">
        <v>398</v>
      </c>
    </row>
    <row r="38" spans="1:2" x14ac:dyDescent="0.2">
      <c r="A38" s="291" t="s">
        <v>399</v>
      </c>
    </row>
    <row r="39" spans="1:2" ht="36" x14ac:dyDescent="0.2">
      <c r="A39" s="291" t="s">
        <v>400</v>
      </c>
    </row>
    <row r="40" spans="1:2" ht="24" x14ac:dyDescent="0.2">
      <c r="A40" s="291" t="s">
        <v>401</v>
      </c>
    </row>
    <row r="41" spans="1:2" ht="24" x14ac:dyDescent="0.2">
      <c r="A41" s="291" t="s">
        <v>402</v>
      </c>
    </row>
    <row r="42" spans="1:2" x14ac:dyDescent="0.2">
      <c r="A42" s="292" t="s">
        <v>403</v>
      </c>
    </row>
    <row r="44" spans="1:2" ht="13.5" thickBot="1" x14ac:dyDescent="0.25"/>
    <row r="45" spans="1:2" x14ac:dyDescent="0.2">
      <c r="A45" s="293" t="s">
        <v>404</v>
      </c>
      <c r="B45" s="294"/>
    </row>
    <row r="46" spans="1:2" x14ac:dyDescent="0.2">
      <c r="A46" s="295" t="s">
        <v>405</v>
      </c>
      <c r="B46" s="296"/>
    </row>
    <row r="47" spans="1:2" x14ac:dyDescent="0.2">
      <c r="A47" s="295" t="s">
        <v>406</v>
      </c>
      <c r="B47" s="296"/>
    </row>
    <row r="48" spans="1:2" x14ac:dyDescent="0.2">
      <c r="A48" s="295" t="s">
        <v>407</v>
      </c>
      <c r="B48" s="296"/>
    </row>
    <row r="49" spans="1:2" x14ac:dyDescent="0.2">
      <c r="A49" s="295" t="s">
        <v>408</v>
      </c>
      <c r="B49" s="296"/>
    </row>
    <row r="50" spans="1:2" x14ac:dyDescent="0.2">
      <c r="A50" s="295" t="s">
        <v>409</v>
      </c>
      <c r="B50" s="296"/>
    </row>
    <row r="51" spans="1:2" x14ac:dyDescent="0.2">
      <c r="A51" s="295" t="s">
        <v>410</v>
      </c>
      <c r="B51" s="296"/>
    </row>
    <row r="52" spans="1:2" x14ac:dyDescent="0.2">
      <c r="A52" s="295" t="s">
        <v>411</v>
      </c>
      <c r="B52" s="296"/>
    </row>
    <row r="53" spans="1:2" ht="13.5" thickBot="1" x14ac:dyDescent="0.25">
      <c r="A53" s="297" t="s">
        <v>412</v>
      </c>
      <c r="B53" s="298"/>
    </row>
  </sheetData>
  <mergeCells count="1">
    <mergeCell ref="B11:C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I63"/>
  <sheetViews>
    <sheetView topLeftCell="A7" workbookViewId="0">
      <selection activeCell="D34" sqref="D34"/>
    </sheetView>
  </sheetViews>
  <sheetFormatPr defaultRowHeight="12.75" x14ac:dyDescent="0.2"/>
  <cols>
    <col min="2" max="2" width="25.140625" bestFit="1" customWidth="1"/>
    <col min="3" max="4" width="10.85546875" bestFit="1" customWidth="1"/>
    <col min="5" max="5" width="11" bestFit="1" customWidth="1"/>
    <col min="6" max="7" width="10.85546875" bestFit="1" customWidth="1"/>
    <col min="9" max="9" width="15.7109375" customWidth="1"/>
  </cols>
  <sheetData>
    <row r="1" spans="1:9" x14ac:dyDescent="0.2">
      <c r="A1" s="215"/>
      <c r="B1" s="1"/>
      <c r="C1" s="1"/>
      <c r="D1" s="1"/>
      <c r="E1" s="1"/>
      <c r="F1" s="216"/>
      <c r="G1" s="215"/>
    </row>
    <row r="2" spans="1:9" x14ac:dyDescent="0.2">
      <c r="A2" s="70"/>
      <c r="B2" s="317" t="s">
        <v>116</v>
      </c>
      <c r="C2" s="318"/>
      <c r="D2" s="318"/>
      <c r="E2" s="318"/>
      <c r="F2" s="319"/>
      <c r="G2" s="70"/>
    </row>
    <row r="3" spans="1:9" x14ac:dyDescent="0.2">
      <c r="A3" s="70"/>
      <c r="B3" s="320" t="s">
        <v>13</v>
      </c>
      <c r="C3" s="321"/>
      <c r="D3" s="321"/>
      <c r="E3" s="321"/>
      <c r="F3" s="322"/>
      <c r="G3" s="70"/>
    </row>
    <row r="4" spans="1:9" x14ac:dyDescent="0.2">
      <c r="A4" s="70"/>
      <c r="B4" s="320"/>
      <c r="C4" s="321"/>
      <c r="D4" s="321"/>
      <c r="E4" s="321"/>
      <c r="F4" s="322"/>
      <c r="G4" s="70"/>
    </row>
    <row r="5" spans="1:9" x14ac:dyDescent="0.2">
      <c r="A5" s="70"/>
      <c r="B5" s="320"/>
      <c r="C5" s="321"/>
      <c r="D5" s="321"/>
      <c r="E5" s="321"/>
      <c r="F5" s="322"/>
      <c r="G5" s="70"/>
    </row>
    <row r="6" spans="1:9" x14ac:dyDescent="0.2">
      <c r="A6" s="70"/>
      <c r="B6" s="320"/>
      <c r="C6" s="321"/>
      <c r="D6" s="321"/>
      <c r="E6" s="321"/>
      <c r="F6" s="322"/>
      <c r="G6" s="70"/>
    </row>
    <row r="7" spans="1:9" ht="20.25" x14ac:dyDescent="0.3">
      <c r="A7" s="70"/>
      <c r="B7" s="323" t="s">
        <v>117</v>
      </c>
      <c r="C7" s="324"/>
      <c r="D7" s="324"/>
      <c r="E7" s="324"/>
      <c r="F7" s="325"/>
      <c r="G7" s="70"/>
    </row>
    <row r="8" spans="1:9" x14ac:dyDescent="0.2">
      <c r="A8" s="70"/>
      <c r="B8" s="314" t="s">
        <v>322</v>
      </c>
      <c r="C8" s="315"/>
      <c r="D8" s="315"/>
      <c r="E8" s="315"/>
      <c r="F8" s="316"/>
      <c r="G8" s="70"/>
    </row>
    <row r="9" spans="1:9" x14ac:dyDescent="0.2">
      <c r="A9" s="70"/>
      <c r="B9" s="91"/>
      <c r="C9" s="70"/>
      <c r="D9" s="70"/>
      <c r="E9" s="70"/>
      <c r="F9" s="223"/>
      <c r="G9" s="70"/>
    </row>
    <row r="10" spans="1:9" x14ac:dyDescent="0.2">
      <c r="A10" s="220"/>
      <c r="B10" s="79"/>
      <c r="C10" s="79"/>
      <c r="D10" s="79"/>
      <c r="E10" s="79"/>
      <c r="F10" s="226"/>
      <c r="G10" s="220"/>
    </row>
    <row r="11" spans="1:9" x14ac:dyDescent="0.2">
      <c r="A11" s="221"/>
      <c r="B11" s="92"/>
      <c r="C11" s="71"/>
      <c r="D11" s="71"/>
      <c r="E11" s="71"/>
      <c r="F11" s="224"/>
      <c r="G11" s="221"/>
    </row>
    <row r="12" spans="1:9" x14ac:dyDescent="0.2">
      <c r="A12" s="219"/>
      <c r="B12" s="228" t="s">
        <v>118</v>
      </c>
      <c r="C12" s="229"/>
      <c r="D12" s="229"/>
      <c r="E12" s="229"/>
      <c r="F12" s="230"/>
      <c r="G12" s="217"/>
    </row>
    <row r="13" spans="1:9" x14ac:dyDescent="0.2">
      <c r="A13" s="219"/>
      <c r="B13" s="228" t="s">
        <v>119</v>
      </c>
      <c r="C13" s="229"/>
      <c r="D13" s="229"/>
      <c r="E13" s="229"/>
      <c r="F13" s="230"/>
      <c r="G13" s="217"/>
    </row>
    <row r="14" spans="1:9" ht="12.75" customHeight="1" x14ac:dyDescent="0.2">
      <c r="A14" s="219"/>
      <c r="B14" s="228" t="s">
        <v>120</v>
      </c>
      <c r="C14" s="229"/>
      <c r="D14" s="229"/>
      <c r="E14" s="229"/>
      <c r="F14" s="230"/>
      <c r="G14" s="217"/>
    </row>
    <row r="15" spans="1:9" ht="12.75" customHeight="1" x14ac:dyDescent="0.2">
      <c r="A15" s="219"/>
      <c r="B15" s="228" t="s">
        <v>242</v>
      </c>
      <c r="C15" s="229">
        <v>215406.74</v>
      </c>
      <c r="D15" s="229"/>
      <c r="E15" s="229"/>
      <c r="F15" s="230"/>
      <c r="G15" s="217"/>
    </row>
    <row r="16" spans="1:9" ht="12.75" customHeight="1" x14ac:dyDescent="0.2">
      <c r="A16" s="219"/>
      <c r="B16" s="228" t="s">
        <v>121</v>
      </c>
      <c r="C16" s="229"/>
      <c r="D16" s="229">
        <v>215406.74</v>
      </c>
      <c r="E16" s="229"/>
      <c r="F16" s="230"/>
      <c r="G16" s="217"/>
      <c r="I16" s="207"/>
    </row>
    <row r="17" spans="1:9" ht="12.75" customHeight="1" x14ac:dyDescent="0.2">
      <c r="A17" s="219"/>
      <c r="B17" s="228" t="s">
        <v>15</v>
      </c>
      <c r="C17" s="229"/>
      <c r="D17" s="229">
        <v>3304.4</v>
      </c>
      <c r="E17" s="229"/>
      <c r="F17" s="230"/>
      <c r="G17" s="217"/>
      <c r="I17" s="207"/>
    </row>
    <row r="18" spans="1:9" ht="12.75" customHeight="1" x14ac:dyDescent="0.2">
      <c r="A18" s="219"/>
      <c r="B18" s="228" t="s">
        <v>122</v>
      </c>
      <c r="C18" s="229"/>
      <c r="D18" s="229"/>
      <c r="E18" s="229">
        <v>218711.14</v>
      </c>
      <c r="F18" s="230"/>
      <c r="G18" s="217"/>
      <c r="I18" s="207"/>
    </row>
    <row r="19" spans="1:9" ht="12.75" customHeight="1" x14ac:dyDescent="0.2">
      <c r="A19" s="219"/>
      <c r="B19" s="228" t="s">
        <v>123</v>
      </c>
      <c r="C19" s="229"/>
      <c r="D19" s="229"/>
      <c r="E19" s="229"/>
      <c r="F19" s="230"/>
      <c r="G19" s="217"/>
      <c r="I19" s="207"/>
    </row>
    <row r="20" spans="1:9" ht="12.75" customHeight="1" x14ac:dyDescent="0.2">
      <c r="A20" s="219"/>
      <c r="B20" s="228" t="s">
        <v>167</v>
      </c>
      <c r="C20" s="229"/>
      <c r="D20" s="229">
        <v>140716.67000000001</v>
      </c>
      <c r="E20" s="229"/>
      <c r="F20" s="230"/>
      <c r="G20" s="217"/>
      <c r="I20" s="207"/>
    </row>
    <row r="21" spans="1:9" ht="12.75" customHeight="1" x14ac:dyDescent="0.2">
      <c r="A21" s="219"/>
      <c r="B21" s="228" t="s">
        <v>168</v>
      </c>
      <c r="C21" s="229"/>
      <c r="D21" s="229">
        <v>1146.2</v>
      </c>
      <c r="E21" s="229"/>
      <c r="F21" s="230"/>
      <c r="G21" s="217"/>
      <c r="I21" s="207"/>
    </row>
    <row r="22" spans="1:9" ht="12.75" customHeight="1" x14ac:dyDescent="0.2">
      <c r="A22" s="219"/>
      <c r="B22" s="228" t="s">
        <v>124</v>
      </c>
      <c r="C22" s="229"/>
      <c r="D22" s="229"/>
      <c r="E22" s="229"/>
      <c r="F22" s="230"/>
      <c r="G22" s="217"/>
      <c r="I22" s="207"/>
    </row>
    <row r="23" spans="1:9" ht="12.75" customHeight="1" x14ac:dyDescent="0.2">
      <c r="A23" s="219"/>
      <c r="B23" s="228" t="s">
        <v>125</v>
      </c>
      <c r="C23" s="229">
        <v>465000</v>
      </c>
      <c r="D23" s="229"/>
      <c r="E23" s="229"/>
      <c r="F23" s="230"/>
      <c r="G23" s="217"/>
      <c r="I23" s="207"/>
    </row>
    <row r="24" spans="1:9" ht="12.75" customHeight="1" x14ac:dyDescent="0.2">
      <c r="A24" s="219"/>
      <c r="B24" s="228" t="s">
        <v>126</v>
      </c>
      <c r="C24" s="229">
        <v>2072.36</v>
      </c>
      <c r="D24" s="229"/>
      <c r="E24" s="229"/>
      <c r="F24" s="230"/>
      <c r="G24" s="217"/>
      <c r="I24" s="207"/>
    </row>
    <row r="25" spans="1:9" ht="12.75" customHeight="1" x14ac:dyDescent="0.2">
      <c r="A25" s="219"/>
      <c r="B25" s="228" t="s">
        <v>127</v>
      </c>
      <c r="C25" s="229"/>
      <c r="D25" s="229">
        <v>467072.36</v>
      </c>
      <c r="E25" s="229"/>
      <c r="F25" s="230"/>
      <c r="G25" s="217"/>
      <c r="I25" s="207"/>
    </row>
    <row r="26" spans="1:9" ht="12.75" customHeight="1" x14ac:dyDescent="0.2">
      <c r="A26" s="219"/>
      <c r="B26" s="228" t="s">
        <v>128</v>
      </c>
      <c r="C26" s="229"/>
      <c r="D26" s="229"/>
      <c r="E26" s="229">
        <v>608935.23</v>
      </c>
      <c r="F26" s="230"/>
      <c r="G26" s="217"/>
      <c r="I26" s="207"/>
    </row>
    <row r="27" spans="1:9" ht="12.75" customHeight="1" x14ac:dyDescent="0.2">
      <c r="A27" s="219"/>
      <c r="B27" s="228" t="s">
        <v>129</v>
      </c>
      <c r="C27" s="229"/>
      <c r="D27" s="229"/>
      <c r="E27" s="229"/>
      <c r="F27" s="230">
        <v>827646.37</v>
      </c>
      <c r="G27" s="217"/>
      <c r="I27" s="207"/>
    </row>
    <row r="28" spans="1:9" ht="12.75" customHeight="1" x14ac:dyDescent="0.2">
      <c r="A28" s="219"/>
      <c r="B28" s="228" t="s">
        <v>130</v>
      </c>
      <c r="C28" s="229"/>
      <c r="D28" s="229"/>
      <c r="E28" s="229"/>
      <c r="F28" s="230"/>
      <c r="G28" s="217"/>
      <c r="I28" s="207"/>
    </row>
    <row r="29" spans="1:9" ht="12.75" customHeight="1" x14ac:dyDescent="0.2">
      <c r="A29" s="219"/>
      <c r="B29" s="228" t="s">
        <v>131</v>
      </c>
      <c r="C29" s="229"/>
      <c r="D29" s="229"/>
      <c r="E29" s="229"/>
      <c r="F29" s="230"/>
      <c r="G29" s="217"/>
      <c r="I29" s="207"/>
    </row>
    <row r="30" spans="1:9" ht="12.75" customHeight="1" x14ac:dyDescent="0.2">
      <c r="A30" s="219"/>
      <c r="B30" s="228" t="s">
        <v>132</v>
      </c>
      <c r="C30" s="229"/>
      <c r="D30" s="229"/>
      <c r="E30" s="229"/>
      <c r="F30" s="230"/>
      <c r="G30" s="217"/>
      <c r="I30" s="207"/>
    </row>
    <row r="31" spans="1:9" ht="12.75" customHeight="1" x14ac:dyDescent="0.2">
      <c r="A31" s="219"/>
      <c r="B31" s="228" t="s">
        <v>115</v>
      </c>
      <c r="C31" s="229">
        <v>901.8</v>
      </c>
      <c r="D31" s="229"/>
      <c r="E31" s="229"/>
      <c r="F31" s="230"/>
      <c r="G31" s="217"/>
      <c r="I31" s="207"/>
    </row>
    <row r="32" spans="1:9" ht="12.75" customHeight="1" x14ac:dyDescent="0.2">
      <c r="A32" s="219"/>
      <c r="B32" s="228" t="s">
        <v>133</v>
      </c>
      <c r="C32" s="229">
        <v>-84.21</v>
      </c>
      <c r="D32" s="229"/>
      <c r="E32" s="229"/>
      <c r="F32" s="230"/>
      <c r="G32" s="217"/>
      <c r="I32" s="207"/>
    </row>
    <row r="33" spans="1:9" ht="12.75" customHeight="1" x14ac:dyDescent="0.2">
      <c r="A33" s="219"/>
      <c r="B33" s="228" t="s">
        <v>134</v>
      </c>
      <c r="C33" s="229"/>
      <c r="D33" s="229">
        <v>817.59</v>
      </c>
      <c r="E33" s="229"/>
      <c r="F33" s="230"/>
      <c r="G33" s="217"/>
      <c r="I33" s="207"/>
    </row>
    <row r="34" spans="1:9" ht="12.75" customHeight="1" x14ac:dyDescent="0.2">
      <c r="A34" s="219"/>
      <c r="B34" s="228" t="s">
        <v>135</v>
      </c>
      <c r="C34" s="229"/>
      <c r="D34" s="229">
        <v>12095</v>
      </c>
      <c r="E34" s="229"/>
      <c r="F34" s="230"/>
      <c r="G34" s="217"/>
      <c r="I34" s="207"/>
    </row>
    <row r="35" spans="1:9" ht="12.75" customHeight="1" x14ac:dyDescent="0.2">
      <c r="A35" s="219"/>
      <c r="B35" s="228" t="s">
        <v>136</v>
      </c>
      <c r="C35" s="229"/>
      <c r="D35" s="229">
        <v>2729.85</v>
      </c>
      <c r="E35" s="229"/>
      <c r="F35" s="230"/>
      <c r="G35" s="217"/>
      <c r="I35" s="207"/>
    </row>
    <row r="36" spans="1:9" ht="12.75" customHeight="1" x14ac:dyDescent="0.2">
      <c r="A36" s="219"/>
      <c r="B36" s="228" t="s">
        <v>137</v>
      </c>
      <c r="C36" s="229"/>
      <c r="D36" s="229">
        <v>-4335</v>
      </c>
      <c r="E36" s="229"/>
      <c r="F36" s="230"/>
      <c r="G36" s="217"/>
      <c r="I36" s="207"/>
    </row>
    <row r="37" spans="1:9" ht="12.75" customHeight="1" x14ac:dyDescent="0.2">
      <c r="A37" s="219"/>
      <c r="B37" s="228" t="s">
        <v>138</v>
      </c>
      <c r="C37" s="229"/>
      <c r="D37" s="229"/>
      <c r="E37" s="229">
        <v>11307.44</v>
      </c>
      <c r="F37" s="230"/>
      <c r="G37" s="217"/>
      <c r="I37" s="207"/>
    </row>
    <row r="38" spans="1:9" ht="12.75" customHeight="1" x14ac:dyDescent="0.2">
      <c r="A38" s="219"/>
      <c r="B38" s="228" t="s">
        <v>139</v>
      </c>
      <c r="C38" s="229"/>
      <c r="D38" s="229"/>
      <c r="E38" s="229">
        <v>6008</v>
      </c>
      <c r="F38" s="230"/>
      <c r="G38" s="217"/>
      <c r="I38" s="207"/>
    </row>
    <row r="39" spans="1:9" ht="12.75" customHeight="1" x14ac:dyDescent="0.2">
      <c r="A39" s="219"/>
      <c r="B39" s="228" t="s">
        <v>140</v>
      </c>
      <c r="C39" s="229"/>
      <c r="D39" s="229"/>
      <c r="E39" s="229"/>
      <c r="F39" s="230"/>
      <c r="G39" s="217"/>
      <c r="I39" s="207"/>
    </row>
    <row r="40" spans="1:9" ht="12.75" customHeight="1" x14ac:dyDescent="0.2">
      <c r="A40" s="219"/>
      <c r="B40" s="228" t="s">
        <v>312</v>
      </c>
      <c r="C40" s="229"/>
      <c r="D40" s="229">
        <v>265.64999999999998</v>
      </c>
      <c r="E40" s="229"/>
      <c r="F40" s="230"/>
      <c r="G40" s="217"/>
      <c r="I40" s="207"/>
    </row>
    <row r="41" spans="1:9" ht="12.75" customHeight="1" x14ac:dyDescent="0.2">
      <c r="A41" s="219"/>
      <c r="B41" s="228" t="s">
        <v>141</v>
      </c>
      <c r="C41" s="229"/>
      <c r="D41" s="229"/>
      <c r="E41" s="229">
        <v>265.64999999999998</v>
      </c>
      <c r="F41" s="230"/>
      <c r="G41" s="217"/>
      <c r="I41" s="207"/>
    </row>
    <row r="42" spans="1:9" ht="12.75" customHeight="1" x14ac:dyDescent="0.2">
      <c r="A42" s="219"/>
      <c r="B42" s="228" t="s">
        <v>142</v>
      </c>
      <c r="C42" s="229"/>
      <c r="D42" s="229"/>
      <c r="E42" s="229"/>
      <c r="F42" s="230">
        <v>17581.09</v>
      </c>
      <c r="G42" s="217"/>
      <c r="I42" s="207"/>
    </row>
    <row r="43" spans="1:9" ht="12.75" customHeight="1" x14ac:dyDescent="0.2">
      <c r="A43" s="219"/>
      <c r="B43" s="228" t="s">
        <v>143</v>
      </c>
      <c r="C43" s="229"/>
      <c r="D43" s="229"/>
      <c r="E43" s="229"/>
      <c r="F43" s="230">
        <v>810065.28</v>
      </c>
      <c r="G43" s="217"/>
      <c r="I43" s="207"/>
    </row>
    <row r="44" spans="1:9" ht="12.75" customHeight="1" x14ac:dyDescent="0.2">
      <c r="A44" s="219"/>
      <c r="B44" s="228" t="s">
        <v>144</v>
      </c>
      <c r="C44" s="229"/>
      <c r="D44" s="229"/>
      <c r="E44" s="229"/>
      <c r="F44" s="230"/>
      <c r="G44" s="217"/>
      <c r="I44" s="207"/>
    </row>
    <row r="45" spans="1:9" ht="12.75" customHeight="1" x14ac:dyDescent="0.2">
      <c r="A45" s="219"/>
      <c r="B45" s="228" t="s">
        <v>145</v>
      </c>
      <c r="C45" s="229"/>
      <c r="D45" s="229"/>
      <c r="E45" s="229"/>
      <c r="F45" s="230"/>
      <c r="G45" s="217"/>
      <c r="I45" s="207"/>
    </row>
    <row r="46" spans="1:9" ht="12.75" customHeight="1" x14ac:dyDescent="0.2">
      <c r="A46" s="219"/>
      <c r="B46" s="228" t="s">
        <v>146</v>
      </c>
      <c r="C46" s="229"/>
      <c r="D46" s="229"/>
      <c r="E46" s="229"/>
      <c r="F46" s="230"/>
      <c r="G46" s="217"/>
      <c r="I46" s="207"/>
    </row>
    <row r="47" spans="1:9" ht="12.75" customHeight="1" x14ac:dyDescent="0.2">
      <c r="A47" s="219"/>
      <c r="B47" s="228" t="s">
        <v>147</v>
      </c>
      <c r="C47" s="229">
        <v>694025.36</v>
      </c>
      <c r="D47" s="229"/>
      <c r="E47" s="229"/>
      <c r="F47" s="230"/>
      <c r="G47" s="217"/>
      <c r="I47" s="207"/>
    </row>
    <row r="48" spans="1:9" ht="12.75" customHeight="1" x14ac:dyDescent="0.2">
      <c r="A48" s="219"/>
      <c r="B48" s="228" t="s">
        <v>243</v>
      </c>
      <c r="C48" s="229">
        <v>61783.839999999997</v>
      </c>
      <c r="D48" s="229"/>
      <c r="E48" s="229"/>
      <c r="F48" s="230"/>
      <c r="G48" s="217"/>
      <c r="I48" s="207"/>
    </row>
    <row r="49" spans="1:9" ht="12.75" customHeight="1" x14ac:dyDescent="0.2">
      <c r="A49" s="219"/>
      <c r="B49" s="228" t="s">
        <v>244</v>
      </c>
      <c r="C49" s="229">
        <v>14417.01</v>
      </c>
      <c r="D49" s="229"/>
      <c r="E49" s="229"/>
      <c r="F49" s="230"/>
      <c r="G49" s="217"/>
      <c r="I49" s="207"/>
    </row>
    <row r="50" spans="1:9" ht="12.75" customHeight="1" x14ac:dyDescent="0.2">
      <c r="A50" s="219"/>
      <c r="B50" s="228" t="s">
        <v>148</v>
      </c>
      <c r="C50" s="229"/>
      <c r="D50" s="229">
        <v>770226.21</v>
      </c>
      <c r="E50" s="229"/>
      <c r="F50" s="230"/>
      <c r="G50" s="217"/>
      <c r="I50" s="207"/>
    </row>
    <row r="51" spans="1:9" ht="12.75" customHeight="1" x14ac:dyDescent="0.2">
      <c r="A51" s="219"/>
      <c r="B51" s="228" t="s">
        <v>149</v>
      </c>
      <c r="C51" s="229"/>
      <c r="D51" s="229"/>
      <c r="E51" s="229">
        <v>770226.21</v>
      </c>
      <c r="F51" s="230"/>
      <c r="G51" s="217"/>
      <c r="I51" s="207"/>
    </row>
    <row r="52" spans="1:9" ht="12.75" customHeight="1" x14ac:dyDescent="0.2">
      <c r="A52" s="219"/>
      <c r="B52" s="228" t="s">
        <v>150</v>
      </c>
      <c r="C52" s="229"/>
      <c r="D52" s="229"/>
      <c r="E52" s="229">
        <v>76200.850000000006</v>
      </c>
      <c r="F52" s="230"/>
      <c r="G52" s="217"/>
      <c r="I52" s="207"/>
    </row>
    <row r="53" spans="1:9" ht="12.75" customHeight="1" x14ac:dyDescent="0.2">
      <c r="A53" s="219"/>
      <c r="B53" s="228" t="s">
        <v>245</v>
      </c>
      <c r="C53" s="229"/>
      <c r="D53" s="229"/>
      <c r="E53" s="229">
        <v>-76200.850000000006</v>
      </c>
      <c r="F53" s="230"/>
      <c r="G53" s="217"/>
      <c r="I53" s="207"/>
    </row>
    <row r="54" spans="1:9" ht="12.75" customHeight="1" x14ac:dyDescent="0.2">
      <c r="A54" s="219"/>
      <c r="B54" s="228" t="s">
        <v>151</v>
      </c>
      <c r="C54" s="229"/>
      <c r="D54" s="229"/>
      <c r="E54" s="229">
        <v>39839.07</v>
      </c>
      <c r="F54" s="230"/>
      <c r="G54" s="217"/>
      <c r="I54" s="207"/>
    </row>
    <row r="55" spans="1:9" ht="12.75" customHeight="1" x14ac:dyDescent="0.2">
      <c r="A55" s="219"/>
      <c r="B55" s="228" t="s">
        <v>152</v>
      </c>
      <c r="C55" s="229"/>
      <c r="D55" s="229"/>
      <c r="E55" s="229"/>
      <c r="F55" s="230">
        <v>810065.28</v>
      </c>
      <c r="G55" s="217"/>
      <c r="I55" s="207"/>
    </row>
    <row r="56" spans="1:9" ht="12.75" customHeight="1" x14ac:dyDescent="0.2">
      <c r="A56" s="219"/>
      <c r="B56" s="228"/>
      <c r="C56" s="229"/>
      <c r="D56" s="229"/>
      <c r="E56" s="229"/>
      <c r="F56" s="230"/>
      <c r="G56" s="217"/>
      <c r="I56" s="207"/>
    </row>
    <row r="57" spans="1:9" x14ac:dyDescent="0.2">
      <c r="A57" s="219"/>
      <c r="B57" s="222"/>
      <c r="C57" s="218"/>
      <c r="D57" s="218"/>
      <c r="E57" s="218"/>
      <c r="F57" s="225"/>
      <c r="G57" s="217"/>
      <c r="I57" s="207"/>
    </row>
    <row r="58" spans="1:9" x14ac:dyDescent="0.2">
      <c r="A58" s="70"/>
      <c r="B58" s="80"/>
      <c r="C58" s="81"/>
      <c r="D58" s="81"/>
      <c r="E58" s="81"/>
      <c r="F58" s="227"/>
      <c r="G58" s="217"/>
      <c r="I58" s="207"/>
    </row>
    <row r="59" spans="1:9" x14ac:dyDescent="0.2">
      <c r="G59" s="217"/>
    </row>
    <row r="60" spans="1:9" x14ac:dyDescent="0.2">
      <c r="G60" s="217"/>
    </row>
    <row r="61" spans="1:9" x14ac:dyDescent="0.2">
      <c r="G61" s="217"/>
    </row>
    <row r="62" spans="1:9" x14ac:dyDescent="0.2">
      <c r="G62" s="217"/>
    </row>
    <row r="63" spans="1:9" x14ac:dyDescent="0.2">
      <c r="G63" s="217"/>
    </row>
  </sheetData>
  <mergeCells count="7">
    <mergeCell ref="B8:F8"/>
    <mergeCell ref="B2:F2"/>
    <mergeCell ref="B3:F3"/>
    <mergeCell ref="B4:F4"/>
    <mergeCell ref="B5:F5"/>
    <mergeCell ref="B6:F6"/>
    <mergeCell ref="B7:F7"/>
  </mergeCells>
  <phoneticPr fontId="3" type="noConversion"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F5EF2-DFA5-4B66-BE93-CF313547FFB9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0C9A1-E13F-4968-91BD-1D52C3E97B81}">
  <sheetPr>
    <tabColor rgb="FFFFFF00"/>
  </sheetPr>
  <dimension ref="A1:E14"/>
  <sheetViews>
    <sheetView workbookViewId="0">
      <selection activeCell="A2" sqref="A2"/>
    </sheetView>
  </sheetViews>
  <sheetFormatPr defaultRowHeight="12.75" x14ac:dyDescent="0.2"/>
  <cols>
    <col min="1" max="1" width="18.28515625" customWidth="1"/>
    <col min="2" max="2" width="36.85546875" customWidth="1"/>
    <col min="3" max="3" width="16.7109375" style="254" customWidth="1"/>
    <col min="4" max="4" width="17.7109375" style="254" customWidth="1"/>
    <col min="5" max="5" width="20.7109375" style="254" customWidth="1"/>
  </cols>
  <sheetData>
    <row r="1" spans="1:5" x14ac:dyDescent="0.2">
      <c r="A1" s="38" t="s">
        <v>343</v>
      </c>
    </row>
    <row r="2" spans="1:5" x14ac:dyDescent="0.2">
      <c r="A2" s="38" t="s">
        <v>413</v>
      </c>
    </row>
    <row r="4" spans="1:5" x14ac:dyDescent="0.2">
      <c r="A4" s="38" t="s">
        <v>257</v>
      </c>
      <c r="B4" s="38" t="s">
        <v>414</v>
      </c>
      <c r="C4" s="271" t="s">
        <v>415</v>
      </c>
      <c r="D4" s="271" t="s">
        <v>225</v>
      </c>
      <c r="E4" s="271" t="s">
        <v>416</v>
      </c>
    </row>
    <row r="5" spans="1:5" x14ac:dyDescent="0.2">
      <c r="A5" s="63" t="s">
        <v>417</v>
      </c>
      <c r="B5" s="63" t="s">
        <v>418</v>
      </c>
      <c r="C5" s="299"/>
      <c r="D5" s="299"/>
      <c r="E5" s="254">
        <f>D5-C5</f>
        <v>0</v>
      </c>
    </row>
    <row r="6" spans="1:5" x14ac:dyDescent="0.2">
      <c r="B6" s="63" t="s">
        <v>419</v>
      </c>
      <c r="C6" s="299"/>
      <c r="D6" s="299"/>
      <c r="E6" s="254">
        <f>E5+D6-C6</f>
        <v>0</v>
      </c>
    </row>
    <row r="13" spans="1:5" x14ac:dyDescent="0.2">
      <c r="B13" s="300" t="s">
        <v>420</v>
      </c>
    </row>
    <row r="14" spans="1:5" x14ac:dyDescent="0.2">
      <c r="B14" s="63" t="s">
        <v>421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H34"/>
  <sheetViews>
    <sheetView workbookViewId="0">
      <selection activeCell="H32" sqref="H32"/>
    </sheetView>
  </sheetViews>
  <sheetFormatPr defaultRowHeight="12.75" x14ac:dyDescent="0.2"/>
  <cols>
    <col min="1" max="1" width="26.5703125" bestFit="1" customWidth="1"/>
    <col min="2" max="2" width="10.85546875" customWidth="1"/>
    <col min="3" max="5" width="11.85546875" customWidth="1"/>
    <col min="7" max="8" width="12.5703125" customWidth="1"/>
  </cols>
  <sheetData>
    <row r="1" spans="1:8" ht="15" x14ac:dyDescent="0.25">
      <c r="A1" s="197" t="s">
        <v>290</v>
      </c>
      <c r="B1" s="197"/>
      <c r="C1" s="197"/>
      <c r="D1" s="197"/>
      <c r="E1" s="133"/>
      <c r="F1" s="133"/>
      <c r="G1" s="133"/>
      <c r="H1" s="196"/>
    </row>
    <row r="2" spans="1:8" ht="15" x14ac:dyDescent="0.25">
      <c r="A2" s="197" t="s">
        <v>291</v>
      </c>
      <c r="B2" s="197"/>
      <c r="C2" s="197"/>
      <c r="D2" s="197"/>
      <c r="E2" s="133"/>
      <c r="F2" s="133"/>
      <c r="G2" s="133"/>
      <c r="H2" s="196"/>
    </row>
    <row r="3" spans="1:8" ht="15" x14ac:dyDescent="0.25">
      <c r="A3" s="198" t="s">
        <v>360</v>
      </c>
      <c r="B3" s="198"/>
      <c r="C3" s="198"/>
      <c r="D3" s="198"/>
      <c r="E3" s="171"/>
      <c r="F3" s="133"/>
      <c r="G3" s="133"/>
      <c r="H3" s="196"/>
    </row>
    <row r="7" spans="1:8" ht="15" x14ac:dyDescent="0.25">
      <c r="A7" s="197" t="s">
        <v>292</v>
      </c>
      <c r="B7" s="197" t="s">
        <v>191</v>
      </c>
      <c r="C7" s="197" t="s">
        <v>293</v>
      </c>
      <c r="D7" s="197" t="s">
        <v>294</v>
      </c>
      <c r="E7" s="197" t="s">
        <v>295</v>
      </c>
      <c r="F7" s="133"/>
      <c r="G7" s="197" t="s">
        <v>296</v>
      </c>
      <c r="H7" s="196"/>
    </row>
    <row r="8" spans="1:8" ht="15" x14ac:dyDescent="0.25">
      <c r="A8" s="198"/>
      <c r="B8" s="198" t="s">
        <v>297</v>
      </c>
      <c r="C8" s="198" t="s">
        <v>298</v>
      </c>
      <c r="D8" s="198" t="s">
        <v>298</v>
      </c>
      <c r="E8" s="198" t="s">
        <v>299</v>
      </c>
      <c r="F8" s="133"/>
      <c r="G8" s="197" t="s">
        <v>300</v>
      </c>
      <c r="H8" s="195" t="s">
        <v>301</v>
      </c>
    </row>
    <row r="10" spans="1:8" ht="15" x14ac:dyDescent="0.25">
      <c r="A10" s="133" t="s">
        <v>302</v>
      </c>
      <c r="B10" s="199">
        <v>44551</v>
      </c>
      <c r="C10" s="200">
        <v>0</v>
      </c>
      <c r="D10" s="200">
        <v>976.2</v>
      </c>
      <c r="E10" s="200">
        <v>418.37</v>
      </c>
      <c r="F10" s="133"/>
      <c r="G10" s="204">
        <f>SUM(C10:E10)</f>
        <v>1394.5700000000002</v>
      </c>
      <c r="H10" s="196">
        <f>+G10*0.3</f>
        <v>418.37100000000004</v>
      </c>
    </row>
    <row r="11" spans="1:8" ht="15" x14ac:dyDescent="0.25">
      <c r="A11" s="133" t="s">
        <v>302</v>
      </c>
      <c r="B11" s="199">
        <v>44736</v>
      </c>
      <c r="C11" s="200">
        <v>0</v>
      </c>
      <c r="D11" s="200">
        <v>992.47</v>
      </c>
      <c r="E11" s="200">
        <v>425.34</v>
      </c>
      <c r="F11" s="133"/>
      <c r="G11" s="204">
        <f>SUM(C11:E11)</f>
        <v>1417.81</v>
      </c>
      <c r="H11" s="196">
        <f>+G11*0.3</f>
        <v>425.34299999999996</v>
      </c>
    </row>
    <row r="12" spans="1:8" ht="15.75" thickBot="1" x14ac:dyDescent="0.3">
      <c r="A12" s="201"/>
      <c r="B12" s="201"/>
      <c r="C12" s="202">
        <f>SUM(C10:C11)</f>
        <v>0</v>
      </c>
      <c r="D12" s="202">
        <f>SUM(D10:D11)</f>
        <v>1968.67</v>
      </c>
      <c r="E12" s="202">
        <f>SUM(E10:E11)</f>
        <v>843.71</v>
      </c>
      <c r="F12" s="133"/>
      <c r="G12" s="204"/>
      <c r="H12" s="196"/>
    </row>
    <row r="13" spans="1:8" ht="15.75" thickTop="1" x14ac:dyDescent="0.25">
      <c r="A13" s="133"/>
      <c r="B13" s="133"/>
      <c r="C13" s="133"/>
      <c r="D13" s="133"/>
      <c r="E13" s="133"/>
      <c r="F13" s="133"/>
      <c r="G13" s="133"/>
      <c r="H13" s="196"/>
    </row>
    <row r="14" spans="1:8" ht="15" x14ac:dyDescent="0.25">
      <c r="A14" s="133" t="s">
        <v>303</v>
      </c>
      <c r="B14" s="199">
        <v>44426</v>
      </c>
      <c r="C14" s="200">
        <v>0</v>
      </c>
      <c r="D14" s="200">
        <v>2000</v>
      </c>
      <c r="E14" s="200">
        <v>857.14</v>
      </c>
      <c r="F14" s="133"/>
      <c r="G14" s="204">
        <f t="shared" ref="G14:G15" si="0">SUM(C14:E14)</f>
        <v>2857.14</v>
      </c>
      <c r="H14" s="196">
        <f t="shared" ref="H14:H15" si="1">+G14*0.3</f>
        <v>857.14199999999994</v>
      </c>
    </row>
    <row r="15" spans="1:8" ht="15" x14ac:dyDescent="0.25">
      <c r="A15" s="133" t="s">
        <v>303</v>
      </c>
      <c r="B15" s="199">
        <v>44609</v>
      </c>
      <c r="C15" s="203">
        <v>0</v>
      </c>
      <c r="D15" s="203">
        <v>1750</v>
      </c>
      <c r="E15" s="200">
        <v>750</v>
      </c>
      <c r="F15" s="133"/>
      <c r="G15" s="204">
        <f t="shared" si="0"/>
        <v>2500</v>
      </c>
      <c r="H15" s="196">
        <f t="shared" si="1"/>
        <v>750</v>
      </c>
    </row>
    <row r="16" spans="1:8" ht="15.75" thickBot="1" x14ac:dyDescent="0.3">
      <c r="A16" s="201"/>
      <c r="B16" s="201"/>
      <c r="C16" s="202">
        <f>SUM(C14:C15)</f>
        <v>0</v>
      </c>
      <c r="D16" s="202">
        <f>SUM(D14:D15)</f>
        <v>3750</v>
      </c>
      <c r="E16" s="202">
        <f>SUM(E14:E15)</f>
        <v>1607.1399999999999</v>
      </c>
      <c r="F16" s="133"/>
      <c r="G16" s="204"/>
      <c r="H16" s="196"/>
    </row>
    <row r="17" spans="1:8" ht="15.75" thickTop="1" x14ac:dyDescent="0.25">
      <c r="A17" s="133"/>
      <c r="B17" s="133"/>
      <c r="C17" s="133"/>
      <c r="D17" s="133"/>
      <c r="E17" s="133"/>
      <c r="F17" s="133"/>
      <c r="G17" s="133"/>
      <c r="H17" s="196"/>
    </row>
    <row r="18" spans="1:8" ht="15" x14ac:dyDescent="0.25">
      <c r="A18" s="133" t="s">
        <v>195</v>
      </c>
      <c r="B18" s="199"/>
      <c r="C18" s="133"/>
      <c r="D18" s="200"/>
      <c r="E18" s="200"/>
      <c r="F18" s="133"/>
      <c r="G18" s="133"/>
      <c r="H18" s="196"/>
    </row>
    <row r="19" spans="1:8" ht="15" x14ac:dyDescent="0.25">
      <c r="A19" s="133"/>
      <c r="B19" s="199"/>
      <c r="C19" s="133"/>
      <c r="D19" s="200"/>
      <c r="E19" s="200"/>
      <c r="F19" s="133"/>
      <c r="G19" s="133"/>
      <c r="H19" s="196"/>
    </row>
    <row r="20" spans="1:8" ht="15" x14ac:dyDescent="0.25">
      <c r="A20" s="133"/>
      <c r="B20" s="199"/>
      <c r="C20" s="133"/>
      <c r="D20" s="203"/>
      <c r="E20" s="200"/>
      <c r="F20" s="133"/>
      <c r="G20" s="133"/>
      <c r="H20" s="196"/>
    </row>
    <row r="21" spans="1:8" ht="15.75" thickBot="1" x14ac:dyDescent="0.3">
      <c r="A21" s="201"/>
      <c r="B21" s="201"/>
      <c r="C21" s="201"/>
      <c r="D21" s="202"/>
      <c r="E21" s="202"/>
      <c r="F21" s="133"/>
      <c r="G21" s="204"/>
      <c r="H21" s="196"/>
    </row>
    <row r="22" spans="1:8" ht="15.75" thickTop="1" x14ac:dyDescent="0.25">
      <c r="A22" s="133"/>
      <c r="B22" s="133"/>
      <c r="C22" s="133"/>
      <c r="D22" s="133"/>
      <c r="E22" s="133"/>
      <c r="F22" s="133"/>
      <c r="G22" s="133"/>
      <c r="H22" s="196"/>
    </row>
    <row r="23" spans="1:8" ht="15" x14ac:dyDescent="0.25">
      <c r="A23" s="133" t="s">
        <v>195</v>
      </c>
      <c r="B23" s="199"/>
      <c r="C23" s="200"/>
      <c r="D23" s="200"/>
      <c r="E23" s="200"/>
      <c r="F23" s="133"/>
      <c r="G23" s="133"/>
      <c r="H23" s="196"/>
    </row>
    <row r="24" spans="1:8" ht="15" x14ac:dyDescent="0.25">
      <c r="A24" s="133"/>
      <c r="B24" s="199"/>
      <c r="C24" s="203"/>
      <c r="D24" s="203"/>
      <c r="E24" s="200"/>
      <c r="F24" s="133"/>
      <c r="G24" s="133"/>
      <c r="H24" s="196"/>
    </row>
    <row r="25" spans="1:8" ht="15.75" thickBot="1" x14ac:dyDescent="0.3">
      <c r="A25" s="201"/>
      <c r="B25" s="201"/>
      <c r="C25" s="202"/>
      <c r="D25" s="202"/>
      <c r="E25" s="202"/>
      <c r="F25" s="133"/>
      <c r="G25" s="204"/>
      <c r="H25" s="196"/>
    </row>
    <row r="26" spans="1:8" ht="15.75" thickTop="1" x14ac:dyDescent="0.25">
      <c r="A26" s="133"/>
      <c r="B26" s="133"/>
      <c r="C26" s="133"/>
      <c r="D26" s="133"/>
      <c r="E26" s="133"/>
      <c r="F26" s="133"/>
      <c r="G26" s="133"/>
      <c r="H26" s="196"/>
    </row>
    <row r="27" spans="1:8" ht="15" x14ac:dyDescent="0.25">
      <c r="A27" s="133" t="s">
        <v>195</v>
      </c>
      <c r="B27" s="199"/>
      <c r="C27" s="133"/>
      <c r="D27" s="200"/>
      <c r="E27" s="200"/>
      <c r="F27" s="133"/>
      <c r="G27" s="133"/>
      <c r="H27" s="196"/>
    </row>
    <row r="28" spans="1:8" ht="15" x14ac:dyDescent="0.25">
      <c r="A28" s="133"/>
      <c r="B28" s="199"/>
      <c r="C28" s="133"/>
      <c r="D28" s="200"/>
      <c r="E28" s="200"/>
      <c r="F28" s="133"/>
      <c r="G28" s="133"/>
      <c r="H28" s="196"/>
    </row>
    <row r="29" spans="1:8" ht="15.75" thickBot="1" x14ac:dyDescent="0.3">
      <c r="A29" s="201"/>
      <c r="B29" s="201"/>
      <c r="C29" s="201"/>
      <c r="D29" s="202"/>
      <c r="E29" s="202"/>
      <c r="F29" s="133"/>
      <c r="G29" s="204"/>
      <c r="H29" s="196"/>
    </row>
    <row r="30" spans="1:8" ht="15.75" thickTop="1" x14ac:dyDescent="0.25">
      <c r="A30" s="133"/>
      <c r="B30" s="133"/>
      <c r="C30" s="133"/>
      <c r="D30" s="133"/>
      <c r="E30" s="133"/>
      <c r="F30" s="133"/>
      <c r="G30" s="133"/>
      <c r="H30" s="196"/>
    </row>
    <row r="31" spans="1:8" ht="15" x14ac:dyDescent="0.25">
      <c r="C31" s="206" t="s">
        <v>304</v>
      </c>
      <c r="D31" s="205">
        <f>+D12+D16+D21+D25+D29</f>
        <v>5718.67</v>
      </c>
      <c r="E31" s="133"/>
      <c r="F31" s="133"/>
      <c r="G31" s="204">
        <f>SUM(G10:G29)</f>
        <v>8169.52</v>
      </c>
      <c r="H31" s="204">
        <f>SUM(H10:H29)</f>
        <v>2450.8559999999998</v>
      </c>
    </row>
    <row r="32" spans="1:8" ht="15" x14ac:dyDescent="0.25">
      <c r="C32" s="206" t="s">
        <v>305</v>
      </c>
      <c r="D32" s="205">
        <f>+E12+E16+E21+E25+E29</f>
        <v>2450.85</v>
      </c>
      <c r="E32" s="133"/>
      <c r="F32" s="133"/>
      <c r="G32" s="133"/>
      <c r="H32" s="196"/>
    </row>
    <row r="33" spans="1:4" ht="15" x14ac:dyDescent="0.25">
      <c r="C33" s="206" t="s">
        <v>306</v>
      </c>
      <c r="D33" s="204">
        <f>+C12+C16+C21+C25+C29</f>
        <v>0</v>
      </c>
    </row>
    <row r="34" spans="1:4" ht="15" x14ac:dyDescent="0.25">
      <c r="A34" s="133"/>
      <c r="B34" s="199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79EE4-DA5C-4EE6-ADCA-ECD1E4C22DD9}">
  <sheetPr>
    <tabColor rgb="FFFFFF00"/>
    <pageSetUpPr fitToPage="1"/>
  </sheetPr>
  <dimension ref="A1:F13"/>
  <sheetViews>
    <sheetView zoomScaleNormal="100" workbookViewId="0">
      <selection sqref="A1:B1"/>
    </sheetView>
  </sheetViews>
  <sheetFormatPr defaultRowHeight="12.75" x14ac:dyDescent="0.2"/>
  <cols>
    <col min="1" max="1" width="17" customWidth="1"/>
    <col min="2" max="2" width="18.42578125" customWidth="1"/>
    <col min="3" max="3" width="18.140625" customWidth="1"/>
    <col min="4" max="4" width="22.7109375" customWidth="1"/>
    <col min="5" max="5" width="21" customWidth="1"/>
    <col min="6" max="6" width="22.7109375" customWidth="1"/>
    <col min="7" max="7" width="18.42578125" customWidth="1"/>
    <col min="10" max="10" width="20.85546875" customWidth="1"/>
  </cols>
  <sheetData>
    <row r="1" spans="1:6" ht="15.75" x14ac:dyDescent="0.25">
      <c r="A1" s="335" t="s">
        <v>194</v>
      </c>
      <c r="B1" s="335"/>
    </row>
    <row r="2" spans="1:6" s="89" customFormat="1" ht="15.75" x14ac:dyDescent="0.25">
      <c r="A2" s="62" t="s">
        <v>166</v>
      </c>
      <c r="C2" s="89" t="s">
        <v>196</v>
      </c>
    </row>
    <row r="3" spans="1:6" s="89" customFormat="1" ht="15" x14ac:dyDescent="0.2">
      <c r="A3" s="89" t="s">
        <v>197</v>
      </c>
    </row>
    <row r="6" spans="1:6" x14ac:dyDescent="0.2">
      <c r="A6" s="38" t="s">
        <v>354</v>
      </c>
      <c r="B6" s="235" t="s">
        <v>346</v>
      </c>
      <c r="C6" s="235" t="s">
        <v>347</v>
      </c>
      <c r="D6" s="235" t="s">
        <v>348</v>
      </c>
      <c r="E6" s="235" t="s">
        <v>92</v>
      </c>
      <c r="F6" s="235" t="s">
        <v>355</v>
      </c>
    </row>
    <row r="7" spans="1:6" x14ac:dyDescent="0.2">
      <c r="A7" s="246" t="s">
        <v>349</v>
      </c>
      <c r="B7" s="111">
        <v>9913</v>
      </c>
      <c r="C7" s="111">
        <v>901</v>
      </c>
      <c r="D7" s="111">
        <v>434</v>
      </c>
      <c r="E7" s="111">
        <v>1445</v>
      </c>
      <c r="F7" s="111">
        <f t="shared" ref="F7:F9" si="0">C7-D7+E7</f>
        <v>1912</v>
      </c>
    </row>
    <row r="8" spans="1:6" x14ac:dyDescent="0.2">
      <c r="A8" s="246" t="s">
        <v>350</v>
      </c>
      <c r="B8" s="111">
        <v>9913</v>
      </c>
      <c r="C8" s="111">
        <v>901</v>
      </c>
      <c r="D8" s="111">
        <v>296</v>
      </c>
      <c r="E8" s="111">
        <v>1445</v>
      </c>
      <c r="F8" s="111">
        <f t="shared" si="0"/>
        <v>2050</v>
      </c>
    </row>
    <row r="9" spans="1:6" x14ac:dyDescent="0.2">
      <c r="A9" s="246" t="s">
        <v>351</v>
      </c>
      <c r="B9" s="111">
        <v>9913</v>
      </c>
      <c r="C9" s="111">
        <v>901</v>
      </c>
      <c r="D9" s="111">
        <v>106</v>
      </c>
      <c r="E9" s="111">
        <v>1445</v>
      </c>
      <c r="F9" s="111">
        <f t="shared" si="0"/>
        <v>2240</v>
      </c>
    </row>
    <row r="10" spans="1:6" x14ac:dyDescent="0.2">
      <c r="A10" s="246" t="s">
        <v>353</v>
      </c>
      <c r="B10" s="111">
        <v>6609</v>
      </c>
      <c r="C10" s="111">
        <v>601</v>
      </c>
      <c r="D10" s="111">
        <v>84</v>
      </c>
      <c r="E10" s="111">
        <v>1445</v>
      </c>
      <c r="F10" s="111">
        <f>C10-D10+E10</f>
        <v>1962</v>
      </c>
    </row>
    <row r="11" spans="1:6" ht="13.5" thickBot="1" x14ac:dyDescent="0.25">
      <c r="B11" s="211">
        <f>SUM(B7:B10)</f>
        <v>36348</v>
      </c>
      <c r="C11" s="211">
        <f t="shared" ref="C11:F11" si="1">SUM(C7:C10)</f>
        <v>3304</v>
      </c>
      <c r="D11" s="211">
        <f t="shared" si="1"/>
        <v>920</v>
      </c>
      <c r="E11" s="211">
        <f t="shared" si="1"/>
        <v>5780</v>
      </c>
      <c r="F11" s="211">
        <f t="shared" si="1"/>
        <v>8164</v>
      </c>
    </row>
    <row r="12" spans="1:6" ht="13.5" thickTop="1" x14ac:dyDescent="0.2">
      <c r="B12" s="111"/>
      <c r="C12" s="111"/>
      <c r="D12" s="111"/>
      <c r="E12" s="111"/>
      <c r="F12" s="111"/>
    </row>
    <row r="13" spans="1:6" x14ac:dyDescent="0.2">
      <c r="A13" s="246"/>
      <c r="B13" s="111"/>
      <c r="C13" s="111"/>
      <c r="D13" s="111"/>
      <c r="E13" s="111"/>
      <c r="F13" s="111"/>
    </row>
  </sheetData>
  <mergeCells count="1">
    <mergeCell ref="A1:B1"/>
  </mergeCells>
  <pageMargins left="0.74803149606299213" right="0.74803149606299213" top="0.98425196850393704" bottom="0.98425196850393704" header="0.51181102362204722" footer="0.51181102362204722"/>
  <pageSetup paperSize="9" scale="34" orientation="landscape" r:id="rId1"/>
  <headerFooter alignWithMargins="0">
    <oddFooter>&amp;L&amp;8&amp;Z&amp;F  &amp;F  _&amp;A
&amp;D 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A0C00-72A7-4C24-98FC-22F5B5AF10B2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8C3D0-DC44-4416-91CB-96AEB757D374}">
  <sheetPr>
    <tabColor rgb="FFFFFF00"/>
  </sheetPr>
  <dimension ref="A1"/>
  <sheetViews>
    <sheetView zoomScale="130" zoomScaleNormal="130" workbookViewId="0"/>
  </sheetViews>
  <sheetFormatPr defaultRowHeight="12.75" x14ac:dyDescent="0.2"/>
  <cols>
    <col min="1" max="1" width="35" customWidth="1"/>
    <col min="3" max="3" width="10.140625" bestFit="1" customWidth="1"/>
  </cols>
  <sheetData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969DA-6ABA-41AF-81B7-2CABD8EAE580}">
  <dimension ref="A1:A3"/>
  <sheetViews>
    <sheetView workbookViewId="0">
      <selection activeCell="A4" sqref="A4"/>
    </sheetView>
  </sheetViews>
  <sheetFormatPr defaultRowHeight="12.75" x14ac:dyDescent="0.2"/>
  <sheetData>
    <row r="1" spans="1:1" x14ac:dyDescent="0.2">
      <c r="A1" t="s">
        <v>439</v>
      </c>
    </row>
    <row r="3" spans="1:1" x14ac:dyDescent="0.2">
      <c r="A3" t="s">
        <v>440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G35"/>
  <sheetViews>
    <sheetView workbookViewId="0">
      <selection activeCell="D23" sqref="D23"/>
    </sheetView>
  </sheetViews>
  <sheetFormatPr defaultRowHeight="12.75" x14ac:dyDescent="0.2"/>
  <cols>
    <col min="2" max="2" width="26" bestFit="1" customWidth="1"/>
    <col min="4" max="4" width="8.85546875" bestFit="1" customWidth="1"/>
    <col min="5" max="6" width="9.85546875" bestFit="1" customWidth="1"/>
  </cols>
  <sheetData>
    <row r="1" spans="1:7" x14ac:dyDescent="0.2">
      <c r="A1" s="215"/>
      <c r="B1" s="1"/>
      <c r="C1" s="1"/>
      <c r="D1" s="1"/>
      <c r="E1" s="1"/>
      <c r="F1" s="1"/>
      <c r="G1" s="216"/>
    </row>
    <row r="2" spans="1:7" x14ac:dyDescent="0.2">
      <c r="A2" s="70"/>
      <c r="B2" s="317" t="s">
        <v>116</v>
      </c>
      <c r="C2" s="318"/>
      <c r="D2" s="318"/>
      <c r="E2" s="318"/>
      <c r="F2" s="318"/>
      <c r="G2" s="319"/>
    </row>
    <row r="3" spans="1:7" x14ac:dyDescent="0.2">
      <c r="A3" s="70"/>
      <c r="B3" s="320" t="s">
        <v>13</v>
      </c>
      <c r="C3" s="321"/>
      <c r="D3" s="321"/>
      <c r="E3" s="321"/>
      <c r="F3" s="321"/>
      <c r="G3" s="322"/>
    </row>
    <row r="4" spans="1:7" x14ac:dyDescent="0.2">
      <c r="A4" s="70"/>
      <c r="B4" s="320"/>
      <c r="C4" s="321"/>
      <c r="D4" s="321"/>
      <c r="E4" s="321"/>
      <c r="F4" s="321"/>
      <c r="G4" s="322"/>
    </row>
    <row r="5" spans="1:7" x14ac:dyDescent="0.2">
      <c r="A5" s="70"/>
      <c r="B5" s="320"/>
      <c r="C5" s="321"/>
      <c r="D5" s="321"/>
      <c r="E5" s="321"/>
      <c r="F5" s="321"/>
      <c r="G5" s="322"/>
    </row>
    <row r="6" spans="1:7" x14ac:dyDescent="0.2">
      <c r="A6" s="70"/>
      <c r="B6" s="320"/>
      <c r="C6" s="321"/>
      <c r="D6" s="321"/>
      <c r="E6" s="321"/>
      <c r="F6" s="321"/>
      <c r="G6" s="322"/>
    </row>
    <row r="7" spans="1:7" ht="20.25" x14ac:dyDescent="0.3">
      <c r="A7" s="70"/>
      <c r="B7" s="323" t="s">
        <v>323</v>
      </c>
      <c r="C7" s="324"/>
      <c r="D7" s="324"/>
      <c r="E7" s="324"/>
      <c r="F7" s="324"/>
      <c r="G7" s="325"/>
    </row>
    <row r="8" spans="1:7" x14ac:dyDescent="0.2">
      <c r="A8" s="70"/>
      <c r="B8" s="314" t="s">
        <v>324</v>
      </c>
      <c r="C8" s="315"/>
      <c r="D8" s="315"/>
      <c r="E8" s="315"/>
      <c r="F8" s="315"/>
      <c r="G8" s="316"/>
    </row>
    <row r="9" spans="1:7" x14ac:dyDescent="0.2">
      <c r="A9" s="70"/>
      <c r="B9" s="91"/>
      <c r="C9" s="70"/>
      <c r="D9" s="70"/>
      <c r="E9" s="70"/>
      <c r="F9" s="70"/>
      <c r="G9" s="223"/>
    </row>
    <row r="10" spans="1:7" x14ac:dyDescent="0.2">
      <c r="A10" s="220"/>
      <c r="B10" s="79"/>
      <c r="C10" s="79"/>
      <c r="D10" s="79"/>
      <c r="E10" s="79"/>
      <c r="F10" s="79"/>
      <c r="G10" s="226"/>
    </row>
    <row r="11" spans="1:7" x14ac:dyDescent="0.2">
      <c r="A11" s="221"/>
      <c r="B11" s="92"/>
      <c r="C11" s="71"/>
      <c r="D11" s="71"/>
      <c r="E11" s="71"/>
      <c r="F11" s="71"/>
      <c r="G11" s="224"/>
    </row>
    <row r="12" spans="1:7" x14ac:dyDescent="0.2">
      <c r="A12" s="219"/>
      <c r="B12" s="228" t="s">
        <v>153</v>
      </c>
      <c r="C12" s="76" t="s">
        <v>13</v>
      </c>
      <c r="D12" s="75"/>
      <c r="E12" s="75"/>
      <c r="F12" s="75"/>
      <c r="G12" s="233"/>
    </row>
    <row r="13" spans="1:7" x14ac:dyDescent="0.2">
      <c r="A13" s="219"/>
      <c r="B13" s="228" t="s">
        <v>154</v>
      </c>
      <c r="C13" s="76" t="s">
        <v>13</v>
      </c>
      <c r="D13" s="75"/>
      <c r="E13" s="75">
        <v>36048</v>
      </c>
      <c r="F13" s="75"/>
      <c r="G13" s="233"/>
    </row>
    <row r="14" spans="1:7" x14ac:dyDescent="0.2">
      <c r="A14" s="219"/>
      <c r="B14" s="228" t="s">
        <v>155</v>
      </c>
      <c r="C14" s="76" t="s">
        <v>13</v>
      </c>
      <c r="D14" s="75"/>
      <c r="E14" s="75">
        <v>90.68</v>
      </c>
      <c r="F14" s="75"/>
      <c r="G14" s="233"/>
    </row>
    <row r="15" spans="1:7" x14ac:dyDescent="0.2">
      <c r="A15" s="219"/>
      <c r="B15" s="228" t="s">
        <v>246</v>
      </c>
      <c r="C15" s="76" t="s">
        <v>13</v>
      </c>
      <c r="D15" s="75"/>
      <c r="E15" s="75">
        <v>5718.67</v>
      </c>
      <c r="F15" s="75"/>
      <c r="G15" s="233"/>
    </row>
    <row r="16" spans="1:7" x14ac:dyDescent="0.2">
      <c r="A16" s="219"/>
      <c r="B16" s="228" t="s">
        <v>156</v>
      </c>
      <c r="C16" s="76" t="s">
        <v>13</v>
      </c>
      <c r="D16" s="75"/>
      <c r="E16" s="75">
        <v>15886.08</v>
      </c>
      <c r="F16" s="75"/>
      <c r="G16" s="233"/>
    </row>
    <row r="17" spans="1:7" x14ac:dyDescent="0.2">
      <c r="A17" s="219"/>
      <c r="B17" s="228" t="s">
        <v>157</v>
      </c>
      <c r="C17" s="76" t="s">
        <v>13</v>
      </c>
      <c r="D17" s="75"/>
      <c r="E17" s="75"/>
      <c r="F17" s="75">
        <v>57743.43</v>
      </c>
      <c r="G17" s="233"/>
    </row>
    <row r="18" spans="1:7" ht="24" customHeight="1" x14ac:dyDescent="0.2">
      <c r="A18" s="219"/>
      <c r="B18" s="228" t="s">
        <v>158</v>
      </c>
      <c r="C18" s="76"/>
      <c r="D18" s="75"/>
      <c r="E18" s="75"/>
      <c r="F18" s="75">
        <v>57743.43</v>
      </c>
      <c r="G18" s="233"/>
    </row>
    <row r="19" spans="1:7" x14ac:dyDescent="0.2">
      <c r="A19" s="219"/>
      <c r="B19" s="228" t="s">
        <v>159</v>
      </c>
      <c r="C19" s="76" t="s">
        <v>13</v>
      </c>
      <c r="D19" s="75"/>
      <c r="E19" s="75"/>
      <c r="F19" s="75"/>
      <c r="G19" s="233"/>
    </row>
    <row r="20" spans="1:7" x14ac:dyDescent="0.2">
      <c r="A20" s="219"/>
      <c r="B20" s="228" t="s">
        <v>160</v>
      </c>
      <c r="C20" s="76" t="s">
        <v>13</v>
      </c>
      <c r="D20" s="75"/>
      <c r="E20" s="75">
        <v>3729.5</v>
      </c>
      <c r="F20" s="75"/>
      <c r="G20" s="233"/>
    </row>
    <row r="21" spans="1:7" x14ac:dyDescent="0.2">
      <c r="A21" s="219"/>
      <c r="B21" s="228" t="s">
        <v>185</v>
      </c>
      <c r="C21" s="76" t="s">
        <v>13</v>
      </c>
      <c r="D21" s="75"/>
      <c r="E21" s="75"/>
      <c r="F21" s="75"/>
      <c r="G21" s="233"/>
    </row>
    <row r="22" spans="1:7" x14ac:dyDescent="0.2">
      <c r="A22" s="219"/>
      <c r="B22" s="228" t="s">
        <v>325</v>
      </c>
      <c r="C22" s="76" t="s">
        <v>13</v>
      </c>
      <c r="D22" s="75">
        <v>178.98</v>
      </c>
      <c r="E22" s="75"/>
      <c r="F22" s="75"/>
      <c r="G22" s="233"/>
    </row>
    <row r="23" spans="1:7" x14ac:dyDescent="0.2">
      <c r="A23" s="219"/>
      <c r="B23" s="228" t="s">
        <v>189</v>
      </c>
      <c r="C23" s="76" t="s">
        <v>13</v>
      </c>
      <c r="D23" s="75">
        <v>4346.2700000000004</v>
      </c>
      <c r="E23" s="75"/>
      <c r="F23" s="75"/>
      <c r="G23" s="233"/>
    </row>
    <row r="24" spans="1:7" x14ac:dyDescent="0.2">
      <c r="A24" s="219"/>
      <c r="B24" s="228" t="s">
        <v>199</v>
      </c>
      <c r="C24" s="76" t="s">
        <v>13</v>
      </c>
      <c r="D24" s="75">
        <v>8026.75</v>
      </c>
      <c r="E24" s="75"/>
      <c r="F24" s="75"/>
      <c r="G24" s="233"/>
    </row>
    <row r="25" spans="1:7" ht="24" customHeight="1" x14ac:dyDescent="0.2">
      <c r="A25" s="219"/>
      <c r="B25" s="228" t="s">
        <v>247</v>
      </c>
      <c r="C25" s="76" t="s">
        <v>13</v>
      </c>
      <c r="D25" s="75"/>
      <c r="E25" s="75">
        <v>12552</v>
      </c>
      <c r="F25" s="75"/>
      <c r="G25" s="233"/>
    </row>
    <row r="26" spans="1:7" x14ac:dyDescent="0.2">
      <c r="A26" s="219"/>
      <c r="B26" s="228" t="s">
        <v>55</v>
      </c>
      <c r="C26" s="76" t="s">
        <v>13</v>
      </c>
      <c r="D26" s="75"/>
      <c r="E26" s="75">
        <v>56</v>
      </c>
      <c r="F26" s="75"/>
      <c r="G26" s="233"/>
    </row>
    <row r="27" spans="1:7" x14ac:dyDescent="0.2">
      <c r="A27" s="219"/>
      <c r="B27" s="228" t="s">
        <v>326</v>
      </c>
      <c r="C27" s="76" t="s">
        <v>13</v>
      </c>
      <c r="D27" s="75"/>
      <c r="E27" s="75"/>
      <c r="F27" s="75"/>
      <c r="G27" s="233"/>
    </row>
    <row r="28" spans="1:7" ht="36" customHeight="1" x14ac:dyDescent="0.2">
      <c r="A28" s="219"/>
      <c r="B28" s="228" t="s">
        <v>327</v>
      </c>
      <c r="C28" s="76" t="s">
        <v>13</v>
      </c>
      <c r="D28" s="75">
        <v>1566.86</v>
      </c>
      <c r="E28" s="75"/>
      <c r="F28" s="75"/>
      <c r="G28" s="233"/>
    </row>
    <row r="29" spans="1:7" x14ac:dyDescent="0.2">
      <c r="A29" s="219"/>
      <c r="B29" s="228" t="s">
        <v>161</v>
      </c>
      <c r="C29" s="76" t="s">
        <v>13</v>
      </c>
      <c r="D29" s="75"/>
      <c r="E29" s="75"/>
      <c r="F29" s="75">
        <v>17904.36</v>
      </c>
      <c r="G29" s="233"/>
    </row>
    <row r="30" spans="1:7" x14ac:dyDescent="0.2">
      <c r="A30" s="219"/>
      <c r="B30" s="228" t="s">
        <v>162</v>
      </c>
      <c r="C30" s="76"/>
      <c r="D30" s="75"/>
      <c r="E30" s="75"/>
      <c r="F30" s="75">
        <v>39839.07</v>
      </c>
      <c r="G30" s="233"/>
    </row>
    <row r="31" spans="1:7" x14ac:dyDescent="0.2">
      <c r="A31" s="219"/>
      <c r="B31" s="228" t="s">
        <v>163</v>
      </c>
      <c r="C31" s="76" t="s">
        <v>13</v>
      </c>
      <c r="D31" s="75"/>
      <c r="E31" s="75"/>
      <c r="F31" s="75">
        <v>0</v>
      </c>
      <c r="G31" s="233"/>
    </row>
    <row r="32" spans="1:7" x14ac:dyDescent="0.2">
      <c r="A32" s="219"/>
      <c r="B32" s="228" t="s">
        <v>164</v>
      </c>
      <c r="C32" s="76" t="s">
        <v>13</v>
      </c>
      <c r="D32" s="75"/>
      <c r="E32" s="75"/>
      <c r="F32" s="75">
        <v>0</v>
      </c>
      <c r="G32" s="233"/>
    </row>
    <row r="33" spans="1:7" x14ac:dyDescent="0.2">
      <c r="A33" s="219"/>
      <c r="B33" s="228" t="s">
        <v>165</v>
      </c>
      <c r="C33" s="76"/>
      <c r="D33" s="75"/>
      <c r="E33" s="75"/>
      <c r="F33" s="75">
        <v>39839.07</v>
      </c>
      <c r="G33" s="233"/>
    </row>
    <row r="34" spans="1:7" x14ac:dyDescent="0.2">
      <c r="A34" s="219"/>
      <c r="B34" s="222"/>
      <c r="C34" s="93"/>
      <c r="D34" s="231"/>
      <c r="E34" s="231"/>
      <c r="F34" s="231"/>
      <c r="G34" s="232"/>
    </row>
    <row r="35" spans="1:7" x14ac:dyDescent="0.2">
      <c r="A35" s="70"/>
      <c r="B35" s="80"/>
      <c r="C35" s="81"/>
      <c r="D35" s="81"/>
      <c r="E35" s="81"/>
      <c r="F35" s="81"/>
      <c r="G35" s="227"/>
    </row>
  </sheetData>
  <mergeCells count="7">
    <mergeCell ref="B8:G8"/>
    <mergeCell ref="B2:G2"/>
    <mergeCell ref="B3:G3"/>
    <mergeCell ref="B4:G4"/>
    <mergeCell ref="B5:G5"/>
    <mergeCell ref="B6:G6"/>
    <mergeCell ref="B7:G7"/>
  </mergeCells>
  <phoneticPr fontId="3" type="noConversion"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FEBE2-1062-4C50-91BD-A5A9EEBB0B3A}">
  <dimension ref="B3:L22"/>
  <sheetViews>
    <sheetView workbookViewId="0"/>
  </sheetViews>
  <sheetFormatPr defaultRowHeight="12.75" x14ac:dyDescent="0.2"/>
  <cols>
    <col min="11" max="11" width="15.42578125" bestFit="1" customWidth="1"/>
  </cols>
  <sheetData>
    <row r="3" spans="2:12" x14ac:dyDescent="0.2">
      <c r="B3" s="317" t="s">
        <v>116</v>
      </c>
      <c r="C3" s="318"/>
      <c r="D3" s="318"/>
      <c r="E3" s="318"/>
      <c r="F3" s="318"/>
      <c r="G3" s="318"/>
      <c r="H3" s="318"/>
      <c r="I3" s="318"/>
      <c r="J3" s="318"/>
      <c r="K3" s="318"/>
      <c r="L3" s="319"/>
    </row>
    <row r="4" spans="2:12" x14ac:dyDescent="0.2">
      <c r="B4" s="320" t="s">
        <v>13</v>
      </c>
      <c r="C4" s="321"/>
      <c r="D4" s="321"/>
      <c r="E4" s="321"/>
      <c r="F4" s="321"/>
      <c r="G4" s="321"/>
      <c r="H4" s="321"/>
      <c r="I4" s="321"/>
      <c r="J4" s="321"/>
      <c r="K4" s="321"/>
      <c r="L4" s="322"/>
    </row>
    <row r="5" spans="2:12" x14ac:dyDescent="0.2">
      <c r="B5" s="320"/>
      <c r="C5" s="321"/>
      <c r="D5" s="321"/>
      <c r="E5" s="321"/>
      <c r="F5" s="321"/>
      <c r="G5" s="321"/>
      <c r="H5" s="321"/>
      <c r="I5" s="321"/>
      <c r="J5" s="321"/>
      <c r="K5" s="321"/>
      <c r="L5" s="322"/>
    </row>
    <row r="6" spans="2:12" x14ac:dyDescent="0.2">
      <c r="B6" s="320"/>
      <c r="C6" s="321"/>
      <c r="D6" s="321"/>
      <c r="E6" s="321"/>
      <c r="F6" s="321"/>
      <c r="G6" s="321"/>
      <c r="H6" s="321"/>
      <c r="I6" s="321"/>
      <c r="J6" s="321"/>
      <c r="K6" s="321"/>
      <c r="L6" s="322"/>
    </row>
    <row r="7" spans="2:12" x14ac:dyDescent="0.2">
      <c r="B7" s="320"/>
      <c r="C7" s="321"/>
      <c r="D7" s="321"/>
      <c r="E7" s="321"/>
      <c r="F7" s="321"/>
      <c r="G7" s="321"/>
      <c r="H7" s="321"/>
      <c r="I7" s="321"/>
      <c r="J7" s="321"/>
      <c r="K7" s="321"/>
      <c r="L7" s="322"/>
    </row>
    <row r="8" spans="2:12" ht="20.25" x14ac:dyDescent="0.3">
      <c r="B8" s="323" t="s">
        <v>200</v>
      </c>
      <c r="C8" s="324"/>
      <c r="D8" s="324"/>
      <c r="E8" s="324"/>
      <c r="F8" s="324"/>
      <c r="G8" s="324"/>
      <c r="H8" s="324"/>
      <c r="I8" s="324"/>
      <c r="J8" s="324"/>
      <c r="K8" s="324"/>
      <c r="L8" s="325"/>
    </row>
    <row r="9" spans="2:12" x14ac:dyDescent="0.2">
      <c r="B9" s="314" t="s">
        <v>198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2:12" x14ac:dyDescent="0.2">
      <c r="B10" s="91"/>
      <c r="C10" s="70"/>
      <c r="D10" s="115"/>
      <c r="E10" s="70"/>
      <c r="F10" s="70"/>
      <c r="G10" s="70"/>
      <c r="H10" s="70"/>
      <c r="I10" s="70"/>
      <c r="J10" s="70"/>
      <c r="K10" s="70"/>
      <c r="L10" s="116"/>
    </row>
    <row r="11" spans="2:12" x14ac:dyDescent="0.2">
      <c r="B11" s="79"/>
      <c r="C11" s="79" t="s">
        <v>190</v>
      </c>
      <c r="D11" s="117" t="s">
        <v>201</v>
      </c>
      <c r="E11" s="117" t="s">
        <v>191</v>
      </c>
      <c r="F11" s="117" t="s">
        <v>202</v>
      </c>
      <c r="G11" s="117" t="s">
        <v>203</v>
      </c>
      <c r="H11" s="117" t="s">
        <v>204</v>
      </c>
      <c r="I11" s="117" t="s">
        <v>205</v>
      </c>
      <c r="J11" s="117" t="s">
        <v>206</v>
      </c>
      <c r="K11" s="117" t="s">
        <v>207</v>
      </c>
      <c r="L11" s="124"/>
    </row>
    <row r="12" spans="2:12" x14ac:dyDescent="0.2">
      <c r="B12" s="92"/>
      <c r="C12" s="71"/>
      <c r="D12" s="77"/>
      <c r="E12" s="77"/>
      <c r="F12" s="77"/>
      <c r="G12" s="77"/>
      <c r="H12" s="77"/>
      <c r="I12" s="77"/>
      <c r="J12" s="77"/>
      <c r="K12" s="77"/>
      <c r="L12" s="125"/>
    </row>
    <row r="13" spans="2:12" ht="24" x14ac:dyDescent="0.2">
      <c r="B13" s="126" t="s">
        <v>208</v>
      </c>
      <c r="C13" s="72" t="s">
        <v>154</v>
      </c>
      <c r="D13" s="74"/>
      <c r="E13" s="76"/>
      <c r="F13" s="74"/>
      <c r="G13" s="75"/>
      <c r="H13" s="75"/>
      <c r="I13" s="74"/>
      <c r="J13" s="76"/>
      <c r="K13" s="75"/>
      <c r="L13" s="127"/>
    </row>
    <row r="14" spans="2:12" ht="24" x14ac:dyDescent="0.2">
      <c r="B14" s="126" t="s">
        <v>209</v>
      </c>
      <c r="C14" s="72" t="s">
        <v>210</v>
      </c>
      <c r="D14" s="74"/>
      <c r="E14" s="76"/>
      <c r="F14" s="74"/>
      <c r="G14" s="75"/>
      <c r="H14" s="75"/>
      <c r="I14" s="74"/>
      <c r="J14" s="76"/>
      <c r="K14" s="75"/>
      <c r="L14" s="127"/>
    </row>
    <row r="15" spans="2:12" x14ac:dyDescent="0.2">
      <c r="B15" s="126" t="s">
        <v>13</v>
      </c>
      <c r="C15" s="72" t="s">
        <v>211</v>
      </c>
      <c r="D15" s="74" t="s">
        <v>212</v>
      </c>
      <c r="E15" s="76" t="s">
        <v>213</v>
      </c>
      <c r="F15" s="74" t="s">
        <v>214</v>
      </c>
      <c r="G15" s="75"/>
      <c r="H15" s="75">
        <v>3004</v>
      </c>
      <c r="I15" s="74" t="s">
        <v>13</v>
      </c>
      <c r="J15" s="76" t="s">
        <v>13</v>
      </c>
      <c r="K15" s="75">
        <v>-57076</v>
      </c>
      <c r="L15" s="127"/>
    </row>
    <row r="16" spans="2:12" x14ac:dyDescent="0.2">
      <c r="B16" s="126" t="s">
        <v>13</v>
      </c>
      <c r="C16" s="72" t="s">
        <v>215</v>
      </c>
      <c r="D16" s="74" t="s">
        <v>212</v>
      </c>
      <c r="E16" s="76" t="s">
        <v>216</v>
      </c>
      <c r="F16" s="74" t="s">
        <v>214</v>
      </c>
      <c r="G16" s="75"/>
      <c r="H16" s="75">
        <v>3004</v>
      </c>
      <c r="I16" s="74" t="s">
        <v>13</v>
      </c>
      <c r="J16" s="76" t="s">
        <v>13</v>
      </c>
      <c r="K16" s="75">
        <v>-60080</v>
      </c>
      <c r="L16" s="127"/>
    </row>
    <row r="17" spans="2:12" x14ac:dyDescent="0.2">
      <c r="B17" s="126" t="s">
        <v>13</v>
      </c>
      <c r="C17" s="72" t="s">
        <v>217</v>
      </c>
      <c r="D17" s="74" t="s">
        <v>212</v>
      </c>
      <c r="E17" s="76" t="s">
        <v>218</v>
      </c>
      <c r="F17" s="74" t="s">
        <v>214</v>
      </c>
      <c r="G17" s="75"/>
      <c r="H17" s="75">
        <v>3004</v>
      </c>
      <c r="I17" s="74" t="s">
        <v>13</v>
      </c>
      <c r="J17" s="76" t="s">
        <v>13</v>
      </c>
      <c r="K17" s="75">
        <v>-63084</v>
      </c>
      <c r="L17" s="127"/>
    </row>
    <row r="18" spans="2:12" x14ac:dyDescent="0.2">
      <c r="B18" s="126"/>
      <c r="C18" s="72"/>
      <c r="D18" s="74"/>
      <c r="E18" s="76"/>
      <c r="F18" s="76" t="s">
        <v>219</v>
      </c>
      <c r="G18" s="75">
        <v>0</v>
      </c>
      <c r="H18" s="75">
        <v>9012</v>
      </c>
      <c r="I18" s="74"/>
      <c r="J18" s="76" t="s">
        <v>220</v>
      </c>
      <c r="K18" s="75">
        <v>-63084</v>
      </c>
      <c r="L18" s="127"/>
    </row>
    <row r="19" spans="2:12" x14ac:dyDescent="0.2">
      <c r="B19" s="126"/>
      <c r="C19" s="72"/>
      <c r="D19" s="74"/>
      <c r="E19" s="76"/>
      <c r="F19" s="76" t="s">
        <v>221</v>
      </c>
      <c r="G19" s="75">
        <v>0</v>
      </c>
      <c r="H19" s="75">
        <v>9012</v>
      </c>
      <c r="I19" s="74"/>
      <c r="J19" s="76"/>
      <c r="K19" s="75"/>
      <c r="L19" s="127"/>
    </row>
    <row r="20" spans="2:12" x14ac:dyDescent="0.2">
      <c r="B20" s="118"/>
      <c r="C20" s="78"/>
      <c r="D20" s="93"/>
      <c r="E20" s="128"/>
      <c r="F20" s="119"/>
      <c r="G20" s="119"/>
      <c r="H20" s="129"/>
      <c r="I20" s="119"/>
      <c r="J20" s="128"/>
      <c r="K20" s="119"/>
      <c r="L20" s="130"/>
    </row>
    <row r="21" spans="2:12" x14ac:dyDescent="0.2">
      <c r="B21" s="80"/>
      <c r="C21" s="81"/>
      <c r="D21" s="120"/>
      <c r="E21" s="121"/>
      <c r="F21" s="121"/>
      <c r="G21" s="121"/>
      <c r="H21" s="121"/>
      <c r="I21" s="121"/>
      <c r="J21" s="121"/>
      <c r="K21" s="121"/>
      <c r="L21" s="122"/>
    </row>
    <row r="22" spans="2:12" x14ac:dyDescent="0.2">
      <c r="B22" s="70"/>
      <c r="C22" s="70"/>
      <c r="D22" s="115"/>
      <c r="E22" s="70"/>
      <c r="F22" s="70"/>
      <c r="G22" s="70"/>
      <c r="H22" s="70"/>
      <c r="I22" s="70"/>
      <c r="J22" s="70"/>
      <c r="K22" s="70"/>
      <c r="L22" s="123"/>
    </row>
  </sheetData>
  <mergeCells count="7">
    <mergeCell ref="B9:L9"/>
    <mergeCell ref="B3:L3"/>
    <mergeCell ref="B4:L4"/>
    <mergeCell ref="B5:L5"/>
    <mergeCell ref="B6:L6"/>
    <mergeCell ref="B7:L7"/>
    <mergeCell ref="B8:L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A0318-22DD-483B-850E-C25A60322C13}">
  <dimension ref="A6:K46"/>
  <sheetViews>
    <sheetView workbookViewId="0"/>
  </sheetViews>
  <sheetFormatPr defaultRowHeight="12.75" x14ac:dyDescent="0.2"/>
  <cols>
    <col min="10" max="10" width="15.42578125" bestFit="1" customWidth="1"/>
  </cols>
  <sheetData>
    <row r="6" spans="1:11" x14ac:dyDescent="0.2">
      <c r="A6" s="317" t="s">
        <v>116</v>
      </c>
      <c r="B6" s="318"/>
      <c r="C6" s="318"/>
      <c r="D6" s="318"/>
      <c r="E6" s="318"/>
      <c r="F6" s="318"/>
      <c r="G6" s="318"/>
      <c r="H6" s="318"/>
      <c r="I6" s="318"/>
      <c r="J6" s="318"/>
      <c r="K6" s="319"/>
    </row>
    <row r="7" spans="1:11" x14ac:dyDescent="0.2">
      <c r="A7" s="320" t="s">
        <v>13</v>
      </c>
      <c r="B7" s="321"/>
      <c r="C7" s="321"/>
      <c r="D7" s="321"/>
      <c r="E7" s="321"/>
      <c r="F7" s="321"/>
      <c r="G7" s="321"/>
      <c r="H7" s="321"/>
      <c r="I7" s="321"/>
      <c r="J7" s="321"/>
      <c r="K7" s="322"/>
    </row>
    <row r="8" spans="1:11" x14ac:dyDescent="0.2">
      <c r="A8" s="320"/>
      <c r="B8" s="321"/>
      <c r="C8" s="321"/>
      <c r="D8" s="321"/>
      <c r="E8" s="321"/>
      <c r="F8" s="321"/>
      <c r="G8" s="321"/>
      <c r="H8" s="321"/>
      <c r="I8" s="321"/>
      <c r="J8" s="321"/>
      <c r="K8" s="322"/>
    </row>
    <row r="9" spans="1:11" x14ac:dyDescent="0.2">
      <c r="A9" s="320"/>
      <c r="B9" s="321"/>
      <c r="C9" s="321"/>
      <c r="D9" s="321"/>
      <c r="E9" s="321"/>
      <c r="F9" s="321"/>
      <c r="G9" s="321"/>
      <c r="H9" s="321"/>
      <c r="I9" s="321"/>
      <c r="J9" s="321"/>
      <c r="K9" s="322"/>
    </row>
    <row r="10" spans="1:11" x14ac:dyDescent="0.2">
      <c r="A10" s="320"/>
      <c r="B10" s="321"/>
      <c r="C10" s="321"/>
      <c r="D10" s="321"/>
      <c r="E10" s="321"/>
      <c r="F10" s="321"/>
      <c r="G10" s="321"/>
      <c r="H10" s="321"/>
      <c r="I10" s="321"/>
      <c r="J10" s="321"/>
      <c r="K10" s="322"/>
    </row>
    <row r="11" spans="1:11" ht="20.25" x14ac:dyDescent="0.3">
      <c r="A11" s="323" t="s">
        <v>200</v>
      </c>
      <c r="B11" s="324"/>
      <c r="C11" s="324"/>
      <c r="D11" s="324"/>
      <c r="E11" s="324"/>
      <c r="F11" s="324"/>
      <c r="G11" s="324"/>
      <c r="H11" s="324"/>
      <c r="I11" s="324"/>
      <c r="J11" s="324"/>
      <c r="K11" s="325"/>
    </row>
    <row r="12" spans="1:11" x14ac:dyDescent="0.2">
      <c r="A12" s="314" t="s">
        <v>198</v>
      </c>
      <c r="B12" s="315"/>
      <c r="C12" s="315"/>
      <c r="D12" s="315"/>
      <c r="E12" s="315"/>
      <c r="F12" s="315"/>
      <c r="G12" s="315"/>
      <c r="H12" s="315"/>
      <c r="I12" s="315"/>
      <c r="J12" s="315"/>
      <c r="K12" s="316"/>
    </row>
    <row r="13" spans="1:11" x14ac:dyDescent="0.2">
      <c r="A13" s="91"/>
      <c r="B13" s="70"/>
      <c r="C13" s="115"/>
      <c r="D13" s="70"/>
      <c r="E13" s="70"/>
      <c r="F13" s="70"/>
      <c r="G13" s="70"/>
      <c r="H13" s="70"/>
      <c r="I13" s="70"/>
      <c r="J13" s="70"/>
      <c r="K13" s="116"/>
    </row>
    <row r="14" spans="1:11" x14ac:dyDescent="0.2">
      <c r="A14" s="79"/>
      <c r="B14" s="79" t="s">
        <v>190</v>
      </c>
      <c r="C14" s="117" t="s">
        <v>201</v>
      </c>
      <c r="D14" s="117" t="s">
        <v>191</v>
      </c>
      <c r="E14" s="117" t="s">
        <v>202</v>
      </c>
      <c r="F14" s="117" t="s">
        <v>203</v>
      </c>
      <c r="G14" s="117" t="s">
        <v>204</v>
      </c>
      <c r="H14" s="117" t="s">
        <v>205</v>
      </c>
      <c r="I14" s="117" t="s">
        <v>206</v>
      </c>
      <c r="J14" s="117" t="s">
        <v>207</v>
      </c>
      <c r="K14" s="124"/>
    </row>
    <row r="15" spans="1:11" x14ac:dyDescent="0.2">
      <c r="A15" s="92"/>
      <c r="B15" s="71"/>
      <c r="C15" s="77"/>
      <c r="D15" s="77"/>
      <c r="E15" s="77"/>
      <c r="F15" s="77"/>
      <c r="G15" s="77"/>
      <c r="H15" s="77"/>
      <c r="I15" s="77"/>
      <c r="J15" s="77"/>
      <c r="K15" s="125"/>
    </row>
    <row r="16" spans="1:11" ht="24" x14ac:dyDescent="0.2">
      <c r="A16" s="126" t="s">
        <v>222</v>
      </c>
      <c r="B16" s="72" t="s">
        <v>155</v>
      </c>
      <c r="C16" s="74"/>
      <c r="D16" s="76"/>
      <c r="E16" s="74"/>
      <c r="F16" s="75"/>
      <c r="G16" s="75"/>
      <c r="H16" s="74"/>
      <c r="I16" s="76"/>
      <c r="J16" s="75"/>
      <c r="K16" s="127"/>
    </row>
    <row r="17" spans="1:11" ht="24" x14ac:dyDescent="0.2">
      <c r="A17" s="126" t="s">
        <v>209</v>
      </c>
      <c r="B17" s="72" t="s">
        <v>223</v>
      </c>
      <c r="C17" s="74"/>
      <c r="D17" s="76"/>
      <c r="E17" s="74"/>
      <c r="F17" s="75"/>
      <c r="G17" s="75"/>
      <c r="H17" s="74"/>
      <c r="I17" s="76"/>
      <c r="J17" s="75"/>
      <c r="K17" s="127"/>
    </row>
    <row r="18" spans="1:11" ht="24" x14ac:dyDescent="0.2">
      <c r="A18" s="126" t="s">
        <v>13</v>
      </c>
      <c r="B18" s="72" t="s">
        <v>224</v>
      </c>
      <c r="C18" s="74" t="s">
        <v>225</v>
      </c>
      <c r="D18" s="76" t="s">
        <v>226</v>
      </c>
      <c r="E18" s="74" t="s">
        <v>193</v>
      </c>
      <c r="F18" s="75"/>
      <c r="G18" s="75">
        <v>56.33</v>
      </c>
      <c r="H18" s="74" t="s">
        <v>13</v>
      </c>
      <c r="I18" s="76" t="s">
        <v>13</v>
      </c>
      <c r="J18" s="75">
        <v>-1536.97</v>
      </c>
      <c r="K18" s="127"/>
    </row>
    <row r="19" spans="1:11" ht="24" x14ac:dyDescent="0.2">
      <c r="A19" s="126" t="s">
        <v>13</v>
      </c>
      <c r="B19" s="72" t="s">
        <v>227</v>
      </c>
      <c r="C19" s="74" t="s">
        <v>225</v>
      </c>
      <c r="D19" s="76" t="s">
        <v>228</v>
      </c>
      <c r="E19" s="74" t="s">
        <v>193</v>
      </c>
      <c r="F19" s="75"/>
      <c r="G19" s="75">
        <v>57.86</v>
      </c>
      <c r="H19" s="74" t="s">
        <v>13</v>
      </c>
      <c r="I19" s="76" t="s">
        <v>13</v>
      </c>
      <c r="J19" s="75">
        <v>-1594.83</v>
      </c>
      <c r="K19" s="127"/>
    </row>
    <row r="20" spans="1:11" ht="24" x14ac:dyDescent="0.2">
      <c r="A20" s="126" t="s">
        <v>13</v>
      </c>
      <c r="B20" s="72" t="s">
        <v>229</v>
      </c>
      <c r="C20" s="74" t="s">
        <v>225</v>
      </c>
      <c r="D20" s="76" t="s">
        <v>230</v>
      </c>
      <c r="E20" s="74" t="s">
        <v>193</v>
      </c>
      <c r="F20" s="75"/>
      <c r="G20" s="75">
        <v>56.52</v>
      </c>
      <c r="H20" s="74" t="s">
        <v>13</v>
      </c>
      <c r="I20" s="76" t="s">
        <v>13</v>
      </c>
      <c r="J20" s="75">
        <v>-1651.35</v>
      </c>
      <c r="K20" s="127"/>
    </row>
    <row r="21" spans="1:11" x14ac:dyDescent="0.2">
      <c r="A21" s="126"/>
      <c r="B21" s="72"/>
      <c r="C21" s="74"/>
      <c r="D21" s="76"/>
      <c r="E21" s="76" t="s">
        <v>219</v>
      </c>
      <c r="F21" s="75">
        <v>0</v>
      </c>
      <c r="G21" s="75">
        <v>170.71</v>
      </c>
      <c r="H21" s="74"/>
      <c r="I21" s="76" t="s">
        <v>231</v>
      </c>
      <c r="J21" s="75">
        <v>-1651.35</v>
      </c>
      <c r="K21" s="127"/>
    </row>
    <row r="22" spans="1:11" x14ac:dyDescent="0.2">
      <c r="A22" s="126"/>
      <c r="B22" s="72"/>
      <c r="C22" s="74"/>
      <c r="D22" s="76"/>
      <c r="E22" s="76" t="s">
        <v>221</v>
      </c>
      <c r="F22" s="75">
        <v>0</v>
      </c>
      <c r="G22" s="75">
        <v>170.71</v>
      </c>
      <c r="H22" s="74"/>
      <c r="I22" s="76"/>
      <c r="J22" s="75"/>
      <c r="K22" s="127"/>
    </row>
    <row r="23" spans="1:11" x14ac:dyDescent="0.2">
      <c r="A23" s="118"/>
      <c r="B23" s="78"/>
      <c r="C23" s="93"/>
      <c r="D23" s="128"/>
      <c r="E23" s="119"/>
      <c r="F23" s="119"/>
      <c r="G23" s="129"/>
      <c r="H23" s="119"/>
      <c r="I23" s="128"/>
      <c r="J23" s="119"/>
      <c r="K23" s="130"/>
    </row>
    <row r="24" spans="1:11" x14ac:dyDescent="0.2">
      <c r="A24" s="80"/>
      <c r="B24" s="81"/>
      <c r="C24" s="120"/>
      <c r="D24" s="121"/>
      <c r="E24" s="121"/>
      <c r="F24" s="121"/>
      <c r="G24" s="121"/>
      <c r="H24" s="121"/>
      <c r="I24" s="121"/>
      <c r="J24" s="121"/>
      <c r="K24" s="122"/>
    </row>
    <row r="25" spans="1:11" x14ac:dyDescent="0.2">
      <c r="A25" s="70"/>
      <c r="B25" s="70"/>
      <c r="C25" s="115"/>
      <c r="D25" s="70"/>
      <c r="E25" s="70"/>
      <c r="F25" s="70"/>
      <c r="G25" s="70"/>
      <c r="H25" s="70"/>
      <c r="I25" s="70"/>
      <c r="J25" s="70"/>
      <c r="K25" s="123"/>
    </row>
    <row r="27" spans="1:11" x14ac:dyDescent="0.2">
      <c r="A27" s="317" t="s">
        <v>116</v>
      </c>
      <c r="B27" s="318"/>
      <c r="C27" s="318"/>
      <c r="D27" s="318"/>
      <c r="E27" s="318"/>
      <c r="F27" s="318"/>
      <c r="G27" s="318"/>
      <c r="H27" s="318"/>
      <c r="I27" s="318"/>
      <c r="J27" s="318"/>
      <c r="K27" s="319"/>
    </row>
    <row r="28" spans="1:11" x14ac:dyDescent="0.2">
      <c r="A28" s="320" t="s">
        <v>13</v>
      </c>
      <c r="B28" s="321"/>
      <c r="C28" s="321"/>
      <c r="D28" s="321"/>
      <c r="E28" s="321"/>
      <c r="F28" s="321"/>
      <c r="G28" s="321"/>
      <c r="H28" s="321"/>
      <c r="I28" s="321"/>
      <c r="J28" s="321"/>
      <c r="K28" s="322"/>
    </row>
    <row r="29" spans="1:11" x14ac:dyDescent="0.2">
      <c r="A29" s="320"/>
      <c r="B29" s="321"/>
      <c r="C29" s="321"/>
      <c r="D29" s="321"/>
      <c r="E29" s="321"/>
      <c r="F29" s="321"/>
      <c r="G29" s="321"/>
      <c r="H29" s="321"/>
      <c r="I29" s="321"/>
      <c r="J29" s="321"/>
      <c r="K29" s="322"/>
    </row>
    <row r="30" spans="1:11" x14ac:dyDescent="0.2">
      <c r="A30" s="320"/>
      <c r="B30" s="321"/>
      <c r="C30" s="321"/>
      <c r="D30" s="321"/>
      <c r="E30" s="321"/>
      <c r="F30" s="321"/>
      <c r="G30" s="321"/>
      <c r="H30" s="321"/>
      <c r="I30" s="321"/>
      <c r="J30" s="321"/>
      <c r="K30" s="322"/>
    </row>
    <row r="31" spans="1:11" x14ac:dyDescent="0.2">
      <c r="A31" s="320"/>
      <c r="B31" s="321"/>
      <c r="C31" s="321"/>
      <c r="D31" s="321"/>
      <c r="E31" s="321"/>
      <c r="F31" s="321"/>
      <c r="G31" s="321"/>
      <c r="H31" s="321"/>
      <c r="I31" s="321"/>
      <c r="J31" s="321"/>
      <c r="K31" s="322"/>
    </row>
    <row r="32" spans="1:11" ht="20.25" x14ac:dyDescent="0.3">
      <c r="A32" s="323" t="s">
        <v>200</v>
      </c>
      <c r="B32" s="324"/>
      <c r="C32" s="324"/>
      <c r="D32" s="324"/>
      <c r="E32" s="324"/>
      <c r="F32" s="324"/>
      <c r="G32" s="324"/>
      <c r="H32" s="324"/>
      <c r="I32" s="324"/>
      <c r="J32" s="324"/>
      <c r="K32" s="325"/>
    </row>
    <row r="33" spans="1:11" x14ac:dyDescent="0.2">
      <c r="A33" s="314" t="s">
        <v>198</v>
      </c>
      <c r="B33" s="315"/>
      <c r="C33" s="315"/>
      <c r="D33" s="315"/>
      <c r="E33" s="315"/>
      <c r="F33" s="315"/>
      <c r="G33" s="315"/>
      <c r="H33" s="315"/>
      <c r="I33" s="315"/>
      <c r="J33" s="315"/>
      <c r="K33" s="316"/>
    </row>
    <row r="34" spans="1:11" x14ac:dyDescent="0.2">
      <c r="A34" s="91"/>
      <c r="B34" s="70"/>
      <c r="C34" s="115"/>
      <c r="D34" s="70"/>
      <c r="E34" s="70"/>
      <c r="F34" s="70"/>
      <c r="G34" s="70"/>
      <c r="H34" s="70"/>
      <c r="I34" s="70"/>
      <c r="J34" s="70"/>
      <c r="K34" s="116"/>
    </row>
    <row r="35" spans="1:11" x14ac:dyDescent="0.2">
      <c r="A35" s="79"/>
      <c r="B35" s="79" t="s">
        <v>190</v>
      </c>
      <c r="C35" s="117" t="s">
        <v>201</v>
      </c>
      <c r="D35" s="117" t="s">
        <v>191</v>
      </c>
      <c r="E35" s="117" t="s">
        <v>202</v>
      </c>
      <c r="F35" s="117" t="s">
        <v>203</v>
      </c>
      <c r="G35" s="117" t="s">
        <v>204</v>
      </c>
      <c r="H35" s="117" t="s">
        <v>205</v>
      </c>
      <c r="I35" s="117" t="s">
        <v>206</v>
      </c>
      <c r="J35" s="117" t="s">
        <v>207</v>
      </c>
      <c r="K35" s="124"/>
    </row>
    <row r="36" spans="1:11" x14ac:dyDescent="0.2">
      <c r="A36" s="92"/>
      <c r="B36" s="71"/>
      <c r="C36" s="77"/>
      <c r="D36" s="77"/>
      <c r="E36" s="77"/>
      <c r="F36" s="77"/>
      <c r="G36" s="77"/>
      <c r="H36" s="77"/>
      <c r="I36" s="77"/>
      <c r="J36" s="77"/>
      <c r="K36" s="125"/>
    </row>
    <row r="37" spans="1:11" ht="36" x14ac:dyDescent="0.2">
      <c r="A37" s="126" t="s">
        <v>232</v>
      </c>
      <c r="B37" s="72" t="s">
        <v>156</v>
      </c>
      <c r="C37" s="74"/>
      <c r="D37" s="76"/>
      <c r="E37" s="74"/>
      <c r="F37" s="75"/>
      <c r="G37" s="75"/>
      <c r="H37" s="74"/>
      <c r="I37" s="76"/>
      <c r="J37" s="75"/>
      <c r="K37" s="127"/>
    </row>
    <row r="38" spans="1:11" ht="24" x14ac:dyDescent="0.2">
      <c r="A38" s="126" t="s">
        <v>209</v>
      </c>
      <c r="B38" s="72" t="s">
        <v>233</v>
      </c>
      <c r="C38" s="74"/>
      <c r="D38" s="76"/>
      <c r="E38" s="74"/>
      <c r="F38" s="75"/>
      <c r="G38" s="75"/>
      <c r="H38" s="74"/>
      <c r="I38" s="76"/>
      <c r="J38" s="75"/>
      <c r="K38" s="127"/>
    </row>
    <row r="39" spans="1:11" ht="24" x14ac:dyDescent="0.2">
      <c r="A39" s="126" t="s">
        <v>13</v>
      </c>
      <c r="B39" s="72" t="s">
        <v>234</v>
      </c>
      <c r="C39" s="74" t="s">
        <v>225</v>
      </c>
      <c r="D39" s="76" t="s">
        <v>235</v>
      </c>
      <c r="E39" s="74" t="s">
        <v>236</v>
      </c>
      <c r="F39" s="75"/>
      <c r="G39" s="75">
        <v>1417.13</v>
      </c>
      <c r="H39" s="74" t="s">
        <v>13</v>
      </c>
      <c r="I39" s="76" t="s">
        <v>13</v>
      </c>
      <c r="J39" s="75">
        <v>-21593.96</v>
      </c>
      <c r="K39" s="127"/>
    </row>
    <row r="40" spans="1:11" ht="24" x14ac:dyDescent="0.2">
      <c r="A40" s="126" t="s">
        <v>13</v>
      </c>
      <c r="B40" s="72" t="s">
        <v>237</v>
      </c>
      <c r="C40" s="74" t="s">
        <v>225</v>
      </c>
      <c r="D40" s="76" t="s">
        <v>238</v>
      </c>
      <c r="E40" s="74" t="s">
        <v>192</v>
      </c>
      <c r="F40" s="75"/>
      <c r="G40" s="75">
        <v>1039.99</v>
      </c>
      <c r="H40" s="74" t="s">
        <v>13</v>
      </c>
      <c r="I40" s="76" t="s">
        <v>13</v>
      </c>
      <c r="J40" s="75">
        <v>-22633.95</v>
      </c>
      <c r="K40" s="127"/>
    </row>
    <row r="41" spans="1:11" ht="24" x14ac:dyDescent="0.2">
      <c r="A41" s="126" t="s">
        <v>13</v>
      </c>
      <c r="B41" s="72" t="s">
        <v>239</v>
      </c>
      <c r="C41" s="74" t="s">
        <v>225</v>
      </c>
      <c r="D41" s="76" t="s">
        <v>240</v>
      </c>
      <c r="E41" s="74" t="s">
        <v>192</v>
      </c>
      <c r="F41" s="75"/>
      <c r="G41" s="75">
        <v>1017.13</v>
      </c>
      <c r="H41" s="74" t="s">
        <v>13</v>
      </c>
      <c r="I41" s="76" t="s">
        <v>13</v>
      </c>
      <c r="J41" s="75">
        <v>-23651.08</v>
      </c>
      <c r="K41" s="127"/>
    </row>
    <row r="42" spans="1:11" x14ac:dyDescent="0.2">
      <c r="A42" s="126"/>
      <c r="B42" s="72"/>
      <c r="C42" s="74"/>
      <c r="D42" s="76"/>
      <c r="E42" s="76" t="s">
        <v>219</v>
      </c>
      <c r="F42" s="75">
        <v>0</v>
      </c>
      <c r="G42" s="75">
        <v>3474.25</v>
      </c>
      <c r="H42" s="74"/>
      <c r="I42" s="76" t="s">
        <v>241</v>
      </c>
      <c r="J42" s="75">
        <v>-23651.08</v>
      </c>
      <c r="K42" s="127"/>
    </row>
    <row r="43" spans="1:11" x14ac:dyDescent="0.2">
      <c r="A43" s="126"/>
      <c r="B43" s="72"/>
      <c r="C43" s="74"/>
      <c r="D43" s="76"/>
      <c r="E43" s="76" t="s">
        <v>221</v>
      </c>
      <c r="F43" s="75">
        <v>0</v>
      </c>
      <c r="G43" s="75">
        <v>3474.25</v>
      </c>
      <c r="H43" s="74"/>
      <c r="I43" s="76"/>
      <c r="J43" s="75"/>
      <c r="K43" s="127"/>
    </row>
    <row r="44" spans="1:11" x14ac:dyDescent="0.2">
      <c r="A44" s="118"/>
      <c r="B44" s="78"/>
      <c r="C44" s="93"/>
      <c r="D44" s="128"/>
      <c r="E44" s="119"/>
      <c r="F44" s="119"/>
      <c r="G44" s="129"/>
      <c r="H44" s="119"/>
      <c r="I44" s="128"/>
      <c r="J44" s="119"/>
      <c r="K44" s="130"/>
    </row>
    <row r="45" spans="1:11" x14ac:dyDescent="0.2">
      <c r="A45" s="80"/>
      <c r="B45" s="81"/>
      <c r="C45" s="120"/>
      <c r="D45" s="121"/>
      <c r="E45" s="121"/>
      <c r="F45" s="121"/>
      <c r="G45" s="121"/>
      <c r="H45" s="121"/>
      <c r="I45" s="121"/>
      <c r="J45" s="121"/>
      <c r="K45" s="122"/>
    </row>
    <row r="46" spans="1:11" x14ac:dyDescent="0.2">
      <c r="A46" s="70"/>
      <c r="B46" s="70"/>
      <c r="C46" s="115"/>
      <c r="D46" s="70"/>
      <c r="E46" s="70"/>
      <c r="F46" s="70"/>
      <c r="G46" s="70"/>
      <c r="H46" s="70"/>
      <c r="I46" s="70"/>
      <c r="J46" s="70"/>
      <c r="K46" s="123"/>
    </row>
  </sheetData>
  <mergeCells count="14">
    <mergeCell ref="A32:K32"/>
    <mergeCell ref="A33:K33"/>
    <mergeCell ref="A12:K12"/>
    <mergeCell ref="A27:K27"/>
    <mergeCell ref="A28:K28"/>
    <mergeCell ref="A29:K29"/>
    <mergeCell ref="A30:K30"/>
    <mergeCell ref="A31:K31"/>
    <mergeCell ref="A11:K11"/>
    <mergeCell ref="A6:K6"/>
    <mergeCell ref="A7:K7"/>
    <mergeCell ref="A8:K8"/>
    <mergeCell ref="A9:K9"/>
    <mergeCell ref="A10:K1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EDEFA-CDB2-4705-B192-974F1E1F6E03}">
  <dimension ref="A1"/>
  <sheetViews>
    <sheetView workbookViewId="0">
      <selection activeCell="G25" sqref="G25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288CC-57D5-4673-ABD4-2645D491D47B}">
  <dimension ref="A1"/>
  <sheetViews>
    <sheetView topLeftCell="A16" workbookViewId="0">
      <selection activeCell="P38" sqref="P38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"/>
  <sheetViews>
    <sheetView topLeftCell="A10"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4"/>
  <sheetViews>
    <sheetView workbookViewId="0">
      <selection activeCell="E20" sqref="E20"/>
    </sheetView>
  </sheetViews>
  <sheetFormatPr defaultRowHeight="12.75" x14ac:dyDescent="0.2"/>
  <sheetData>
    <row r="24" ht="12" customHeight="1" x14ac:dyDescent="0.2"/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</vt:i4>
      </vt:variant>
    </vt:vector>
  </HeadingPairs>
  <TitlesOfParts>
    <vt:vector size="55" baseType="lpstr">
      <vt:lpstr>Index</vt:lpstr>
      <vt:lpstr>Check</vt:lpstr>
      <vt:lpstr>5.after entries</vt:lpstr>
      <vt:lpstr>5.Balance Sheet</vt:lpstr>
      <vt:lpstr>5.P&amp;L</vt:lpstr>
      <vt:lpstr>7.1</vt:lpstr>
      <vt:lpstr>7.2</vt:lpstr>
      <vt:lpstr>7.3</vt:lpstr>
      <vt:lpstr>7.4</vt:lpstr>
      <vt:lpstr>7.5</vt:lpstr>
      <vt:lpstr>7.6</vt:lpstr>
      <vt:lpstr>7.7</vt:lpstr>
      <vt:lpstr>7.8</vt:lpstr>
      <vt:lpstr>10.Queries</vt:lpstr>
      <vt:lpstr>20.</vt:lpstr>
      <vt:lpstr>23.</vt:lpstr>
      <vt:lpstr>23.1</vt:lpstr>
      <vt:lpstr>27.</vt:lpstr>
      <vt:lpstr>29.</vt:lpstr>
      <vt:lpstr>26</vt:lpstr>
      <vt:lpstr>29. Suspense</vt:lpstr>
      <vt:lpstr>30.</vt:lpstr>
      <vt:lpstr>30.1</vt:lpstr>
      <vt:lpstr>31.</vt:lpstr>
      <vt:lpstr>31.Accrual</vt:lpstr>
      <vt:lpstr>36.</vt:lpstr>
      <vt:lpstr>37.</vt:lpstr>
      <vt:lpstr>38.</vt:lpstr>
      <vt:lpstr>40.</vt:lpstr>
      <vt:lpstr>50.1</vt:lpstr>
      <vt:lpstr>27</vt:lpstr>
      <vt:lpstr>27.1</vt:lpstr>
      <vt:lpstr>33</vt:lpstr>
      <vt:lpstr>33.1</vt:lpstr>
      <vt:lpstr>39.</vt:lpstr>
      <vt:lpstr>40</vt:lpstr>
      <vt:lpstr>42.</vt:lpstr>
      <vt:lpstr>42.1 Member Comp</vt:lpstr>
      <vt:lpstr>42.2 TSB</vt:lpstr>
      <vt:lpstr>51.</vt:lpstr>
      <vt:lpstr>42.3 TBAR</vt:lpstr>
      <vt:lpstr>50.Dividends</vt:lpstr>
      <vt:lpstr>52.</vt:lpstr>
      <vt:lpstr>53</vt:lpstr>
      <vt:lpstr>62</vt:lpstr>
      <vt:lpstr>65</vt:lpstr>
      <vt:lpstr>64.</vt:lpstr>
      <vt:lpstr>69.</vt:lpstr>
      <vt:lpstr>69.1</vt:lpstr>
      <vt:lpstr>54.</vt:lpstr>
      <vt:lpstr>55.</vt:lpstr>
      <vt:lpstr>62.</vt:lpstr>
      <vt:lpstr>80.GJ</vt:lpstr>
      <vt:lpstr>91.</vt:lpstr>
      <vt:lpstr>Index!Print_Area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Telma Mogo</dc:creator>
  <cp:lastModifiedBy>Anu Siva</cp:lastModifiedBy>
  <cp:lastPrinted>2022-07-05T02:34:12Z</cp:lastPrinted>
  <dcterms:created xsi:type="dcterms:W3CDTF">2006-05-26T00:36:42Z</dcterms:created>
  <dcterms:modified xsi:type="dcterms:W3CDTF">2023-03-21T02:00:05Z</dcterms:modified>
</cp:coreProperties>
</file>