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360" yWindow="15" windowWidth="11340" windowHeight="6540"/>
  </bookViews>
  <sheets>
    <sheet name="Shares CGT Calculator" sheetId="1" r:id="rId1"/>
    <sheet name="Cost base calculation sheet" sheetId="2" r:id="rId2"/>
  </sheets>
  <definedNames>
    <definedName name="_xlnm.Print_Area" localSheetId="0">'Shares CGT Calculator'!$A$1:$K$45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/>
  <c r="D24"/>
  <c r="D37" l="1"/>
  <c r="C41" s="1"/>
  <c r="F34"/>
  <c r="G34"/>
  <c r="H34" s="1"/>
  <c r="F35"/>
  <c r="G35"/>
  <c r="H35"/>
  <c r="O35" s="1"/>
  <c r="F36"/>
  <c r="G36"/>
  <c r="H36" s="1"/>
  <c r="G28"/>
  <c r="H28" s="1"/>
  <c r="G32"/>
  <c r="H32" s="1"/>
  <c r="G23"/>
  <c r="H23" s="1"/>
  <c r="O23" s="1"/>
  <c r="F24"/>
  <c r="F30"/>
  <c r="F27"/>
  <c r="N38"/>
  <c r="P38" s="1"/>
  <c r="N39"/>
  <c r="P39" s="1"/>
  <c r="N40"/>
  <c r="P40" s="1"/>
  <c r="O38"/>
  <c r="K32" s="1"/>
  <c r="O39"/>
  <c r="O40"/>
  <c r="K38" s="1"/>
  <c r="G27"/>
  <c r="H27" s="1"/>
  <c r="N27" s="1"/>
  <c r="P27" s="1"/>
  <c r="F33"/>
  <c r="G33"/>
  <c r="H33" s="1"/>
  <c r="F19"/>
  <c r="G19"/>
  <c r="H19" s="1"/>
  <c r="O19" s="1"/>
  <c r="F20"/>
  <c r="G20"/>
  <c r="H20" s="1"/>
  <c r="O20" s="1"/>
  <c r="F21"/>
  <c r="G21"/>
  <c r="H21" s="1"/>
  <c r="G18"/>
  <c r="H18" s="1"/>
  <c r="O18" s="1"/>
  <c r="F18"/>
  <c r="B13" i="2"/>
  <c r="F14" i="1"/>
  <c r="G14"/>
  <c r="H14" s="1"/>
  <c r="F28"/>
  <c r="F23"/>
  <c r="N18" l="1"/>
  <c r="P18" s="1"/>
  <c r="O21"/>
  <c r="N21"/>
  <c r="P21" s="1"/>
  <c r="O34"/>
  <c r="N34"/>
  <c r="P34" s="1"/>
  <c r="N23"/>
  <c r="P23" s="1"/>
  <c r="N35"/>
  <c r="P35" s="1"/>
  <c r="N19"/>
  <c r="P19" s="1"/>
  <c r="N14"/>
  <c r="P14" s="1"/>
  <c r="O14"/>
  <c r="G12"/>
  <c r="H12" s="1"/>
  <c r="F12"/>
  <c r="F26"/>
  <c r="G26"/>
  <c r="H26" s="1"/>
  <c r="F25"/>
  <c r="G25"/>
  <c r="H25" s="1"/>
  <c r="O33"/>
  <c r="N33"/>
  <c r="P33" s="1"/>
  <c r="O27"/>
  <c r="F13"/>
  <c r="G13"/>
  <c r="H13" s="1"/>
  <c r="F32"/>
  <c r="N28"/>
  <c r="P28" s="1"/>
  <c r="O28"/>
  <c r="G30"/>
  <c r="H30" s="1"/>
  <c r="G15"/>
  <c r="H15" s="1"/>
  <c r="F15"/>
  <c r="G24"/>
  <c r="H24" s="1"/>
  <c r="F11"/>
  <c r="G11"/>
  <c r="H11" s="1"/>
  <c r="F31"/>
  <c r="G31"/>
  <c r="H31" s="1"/>
  <c r="O32"/>
  <c r="N32"/>
  <c r="P32" s="1"/>
  <c r="N20"/>
  <c r="P20" s="1"/>
  <c r="F22" l="1"/>
  <c r="G22"/>
  <c r="H22" s="1"/>
  <c r="E37"/>
  <c r="C40" s="1"/>
  <c r="F10"/>
  <c r="G10"/>
  <c r="O13"/>
  <c r="N13"/>
  <c r="P13" s="1"/>
  <c r="F29"/>
  <c r="G29"/>
  <c r="H29" s="1"/>
  <c r="O26"/>
  <c r="N26"/>
  <c r="P26" s="1"/>
  <c r="O11"/>
  <c r="N11"/>
  <c r="P11" s="1"/>
  <c r="N15"/>
  <c r="P15" s="1"/>
  <c r="O15"/>
  <c r="F16"/>
  <c r="G16"/>
  <c r="H16" s="1"/>
  <c r="N31"/>
  <c r="P31" s="1"/>
  <c r="O31"/>
  <c r="O30"/>
  <c r="N30"/>
  <c r="P30" s="1"/>
  <c r="N12"/>
  <c r="P12" s="1"/>
  <c r="O12"/>
  <c r="G17"/>
  <c r="H17" s="1"/>
  <c r="F17"/>
  <c r="N25"/>
  <c r="P25" s="1"/>
  <c r="O25"/>
  <c r="O24"/>
  <c r="N24"/>
  <c r="P24" s="1"/>
  <c r="G37" l="1"/>
  <c r="C43" s="1"/>
  <c r="H10"/>
  <c r="F37"/>
  <c r="C44" s="1"/>
  <c r="O16"/>
  <c r="N16"/>
  <c r="P16" s="1"/>
  <c r="N17"/>
  <c r="P17" s="1"/>
  <c r="O17"/>
  <c r="O22"/>
  <c r="N22"/>
  <c r="P22" s="1"/>
  <c r="O29"/>
  <c r="N29"/>
  <c r="P29" s="1"/>
  <c r="K19" l="1"/>
  <c r="H37"/>
  <c r="O10"/>
  <c r="N10"/>
  <c r="P10" s="1"/>
  <c r="K18"/>
  <c r="C45" l="1"/>
  <c r="K20"/>
  <c r="K34" s="1"/>
  <c r="N37"/>
  <c r="P37" s="1"/>
  <c r="O37"/>
</calcChain>
</file>

<file path=xl/comments1.xml><?xml version="1.0" encoding="utf-8"?>
<comments xmlns="http://schemas.openxmlformats.org/spreadsheetml/2006/main">
  <authors>
    <author>Marisa Lopez</author>
  </authors>
  <commentList>
    <comment ref="K30" authorId="0">
      <text>
        <r>
          <rPr>
            <b/>
            <sz val="8"/>
            <color indexed="81"/>
            <rFont val="Tahoma"/>
            <family val="2"/>
          </rPr>
          <t>Enter if applicable</t>
        </r>
      </text>
    </comment>
  </commentList>
</comments>
</file>

<file path=xl/comments2.xml><?xml version="1.0" encoding="utf-8"?>
<comments xmlns="http://schemas.openxmlformats.org/spreadsheetml/2006/main">
  <authors>
    <author>Robert Lopez</author>
  </authors>
  <commentList>
    <comment ref="B9" authorId="0">
      <text>
        <r>
          <rPr>
            <b/>
            <sz val="8"/>
            <color indexed="81"/>
            <rFont val="Tahoma"/>
            <family val="2"/>
          </rPr>
          <t>You will need to go through HandiLedger as well as check what the divident re-invetments were over the life of share owned by the fund.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0">
      <text>
        <r>
          <rPr>
            <b/>
            <sz val="8"/>
            <color indexed="81"/>
            <rFont val="Tahoma"/>
            <family val="2"/>
          </rPr>
          <t>If the share was sold down in the past you will need to do a cost base adjustment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Enter this on the share spreadsheet as your cost base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<sst xmlns="http://schemas.openxmlformats.org/spreadsheetml/2006/main" count="58" uniqueCount="51">
  <si>
    <t>Capital Gains/Loss Work Sheet - Sale Shares</t>
  </si>
  <si>
    <t>Client</t>
  </si>
  <si>
    <t>Date Bought</t>
  </si>
  <si>
    <t>Date sold</t>
  </si>
  <si>
    <t>dd/mm/yy</t>
  </si>
  <si>
    <t>Sell Price</t>
  </si>
  <si>
    <t>Price</t>
  </si>
  <si>
    <t>Discount</t>
  </si>
  <si>
    <t xml:space="preserve">Capital </t>
  </si>
  <si>
    <t>Loss</t>
  </si>
  <si>
    <t>Capital</t>
  </si>
  <si>
    <t>Gain</t>
  </si>
  <si>
    <t>One Third</t>
  </si>
  <si>
    <t xml:space="preserve"> </t>
  </si>
  <si>
    <t>Note, capital losses must be deducted from gross capital gains</t>
  </si>
  <si>
    <t>Share</t>
  </si>
  <si>
    <t>Name of security</t>
  </si>
  <si>
    <t>Initial purchase price</t>
  </si>
  <si>
    <t>Cost base of dividend re-investment (if any)</t>
  </si>
  <si>
    <t>Cost base adjustments for previous sell downs (if any)</t>
  </si>
  <si>
    <t>Total cost base</t>
  </si>
  <si>
    <t xml:space="preserve">Purchase </t>
  </si>
  <si>
    <t xml:space="preserve">1) Total sale proceeds are </t>
  </si>
  <si>
    <t>2) Total Purchases are</t>
  </si>
  <si>
    <t>3) Your capital gain totals</t>
  </si>
  <si>
    <t>4) Your capital Losses total</t>
  </si>
  <si>
    <t>Total Gains</t>
  </si>
  <si>
    <t>Less Losses</t>
  </si>
  <si>
    <t>Non Discount</t>
  </si>
  <si>
    <t>The discount</t>
  </si>
  <si>
    <t>Estimated Tax</t>
  </si>
  <si>
    <t>Capital Losses from previous years</t>
  </si>
  <si>
    <t>Calculation Worksheet</t>
  </si>
  <si>
    <r>
      <t xml:space="preserve">Net Gain </t>
    </r>
    <r>
      <rPr>
        <sz val="10"/>
        <color indexed="10"/>
        <rFont val="Arial Narrow"/>
        <family val="2"/>
      </rPr>
      <t>(Loss)</t>
    </r>
  </si>
  <si>
    <r>
      <t xml:space="preserve">Taxable Gain </t>
    </r>
    <r>
      <rPr>
        <sz val="10"/>
        <color indexed="10"/>
        <rFont val="Arial Narrow"/>
        <family val="2"/>
      </rPr>
      <t>(Loss)</t>
    </r>
  </si>
  <si>
    <t>Regis Resources</t>
  </si>
  <si>
    <t>Stewart Retirement Fund</t>
  </si>
  <si>
    <t>BHP Bilitton</t>
  </si>
  <si>
    <t>Rio Tinto</t>
  </si>
  <si>
    <t>Annual Tax Summaries</t>
  </si>
  <si>
    <t>Tian An Australia Ltd</t>
  </si>
  <si>
    <t>Mineral Deposits</t>
  </si>
  <si>
    <t>Enero Group Limited</t>
  </si>
  <si>
    <t>Sealink Travel Group Limited</t>
  </si>
  <si>
    <t>Healthscope Limited</t>
  </si>
  <si>
    <t>Ruralco Holdings Limited</t>
  </si>
  <si>
    <t>Brambles Ltd</t>
  </si>
  <si>
    <t>Technology One Limited</t>
  </si>
  <si>
    <t>Orora Limited</t>
  </si>
  <si>
    <t>Appen Limited</t>
  </si>
  <si>
    <t>SPDR S&amp;P/ASX 200 Fund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</si>
</sst>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#,##0.00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b/>
      <u/>
      <sz val="8"/>
      <color indexed="18"/>
      <name val="Arial Narrow"/>
      <family val="2"/>
    </font>
    <font>
      <sz val="10"/>
      <color indexed="10"/>
      <name val="Arial Narrow"/>
      <family val="2"/>
    </font>
    <font>
      <i/>
      <sz val="10"/>
      <name val="Arial Narrow"/>
      <family val="2"/>
    </font>
    <font>
      <b/>
      <i/>
      <sz val="10"/>
      <color indexed="10"/>
      <name val="Arial Narrow"/>
      <family val="2"/>
    </font>
    <font>
      <i/>
      <sz val="10"/>
      <color indexed="10"/>
      <name val="Arial Narrow"/>
      <family val="2"/>
    </font>
    <font>
      <b/>
      <i/>
      <sz val="10"/>
      <color indexed="18"/>
      <name val="Arial Narrow"/>
      <family val="2"/>
    </font>
    <font>
      <sz val="20"/>
      <name val="Arial Narrow"/>
      <family val="2"/>
    </font>
    <font>
      <b/>
      <sz val="13"/>
      <name val="Arial Narrow"/>
      <family val="2"/>
    </font>
    <font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44" fontId="0" fillId="2" borderId="1" xfId="1" applyFont="1" applyFill="1" applyBorder="1"/>
    <xf numFmtId="44" fontId="0" fillId="3" borderId="1" xfId="0" applyNumberForma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5" fillId="0" borderId="0" xfId="1" applyFont="1"/>
    <xf numFmtId="0" fontId="8" fillId="0" borderId="0" xfId="0" applyFont="1"/>
    <xf numFmtId="0" fontId="8" fillId="4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8" fillId="4" borderId="0" xfId="0" applyFont="1" applyFill="1"/>
    <xf numFmtId="0" fontId="5" fillId="4" borderId="0" xfId="0" applyFont="1" applyFill="1"/>
    <xf numFmtId="0" fontId="5" fillId="5" borderId="0" xfId="0" applyFont="1" applyFill="1" applyBorder="1"/>
    <xf numFmtId="44" fontId="5" fillId="5" borderId="0" xfId="1" applyFont="1" applyFill="1" applyBorder="1"/>
    <xf numFmtId="44" fontId="10" fillId="5" borderId="0" xfId="1" applyFont="1" applyFill="1" applyBorder="1"/>
    <xf numFmtId="0" fontId="5" fillId="5" borderId="0" xfId="0" applyFont="1" applyFill="1" applyBorder="1" applyAlignment="1">
      <alignment wrapText="1"/>
    </xf>
    <xf numFmtId="0" fontId="5" fillId="6" borderId="0" xfId="0" applyFont="1" applyFill="1" applyBorder="1" applyAlignment="1">
      <alignment wrapText="1"/>
    </xf>
    <xf numFmtId="44" fontId="5" fillId="6" borderId="0" xfId="1" applyFont="1" applyFill="1"/>
    <xf numFmtId="0" fontId="5" fillId="6" borderId="0" xfId="0" applyFont="1" applyFill="1" applyBorder="1"/>
    <xf numFmtId="44" fontId="5" fillId="6" borderId="0" xfId="1" applyFont="1" applyFill="1" applyBorder="1"/>
    <xf numFmtId="44" fontId="5" fillId="2" borderId="0" xfId="1" applyFont="1" applyFill="1" applyBorder="1"/>
    <xf numFmtId="0" fontId="5" fillId="0" borderId="0" xfId="0" applyFont="1" applyBorder="1"/>
    <xf numFmtId="0" fontId="11" fillId="7" borderId="2" xfId="0" applyFont="1" applyFill="1" applyBorder="1" applyAlignment="1">
      <alignment horizontal="left"/>
    </xf>
    <xf numFmtId="44" fontId="12" fillId="7" borderId="2" xfId="0" applyNumberFormat="1" applyFont="1" applyFill="1" applyBorder="1" applyAlignment="1">
      <alignment horizontal="left"/>
    </xf>
    <xf numFmtId="0" fontId="13" fillId="7" borderId="2" xfId="0" applyFont="1" applyFill="1" applyBorder="1" applyAlignment="1">
      <alignment horizontal="left"/>
    </xf>
    <xf numFmtId="0" fontId="11" fillId="7" borderId="3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44" fontId="5" fillId="0" borderId="0" xfId="0" applyNumberFormat="1" applyFont="1"/>
    <xf numFmtId="0" fontId="11" fillId="7" borderId="0" xfId="0" applyFont="1" applyFill="1" applyAlignment="1">
      <alignment horizontal="left"/>
    </xf>
    <xf numFmtId="44" fontId="14" fillId="7" borderId="0" xfId="1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1" fillId="7" borderId="4" xfId="0" applyFont="1" applyFill="1" applyBorder="1" applyAlignment="1">
      <alignment horizontal="left"/>
    </xf>
    <xf numFmtId="0" fontId="11" fillId="7" borderId="5" xfId="0" applyFont="1" applyFill="1" applyBorder="1" applyAlignment="1">
      <alignment horizontal="left"/>
    </xf>
    <xf numFmtId="0" fontId="13" fillId="7" borderId="5" xfId="0" applyFont="1" applyFill="1" applyBorder="1" applyAlignment="1">
      <alignment horizontal="left"/>
    </xf>
    <xf numFmtId="0" fontId="11" fillId="7" borderId="6" xfId="0" applyFont="1" applyFill="1" applyBorder="1" applyAlignment="1">
      <alignment horizontal="left"/>
    </xf>
    <xf numFmtId="0" fontId="11" fillId="7" borderId="5" xfId="0" applyFont="1" applyFill="1" applyBorder="1"/>
    <xf numFmtId="44" fontId="14" fillId="7" borderId="5" xfId="0" applyNumberFormat="1" applyFont="1" applyFill="1" applyBorder="1"/>
    <xf numFmtId="0" fontId="13" fillId="7" borderId="5" xfId="0" applyFont="1" applyFill="1" applyBorder="1"/>
    <xf numFmtId="0" fontId="11" fillId="7" borderId="6" xfId="0" applyFont="1" applyFill="1" applyBorder="1"/>
    <xf numFmtId="0" fontId="11" fillId="0" borderId="0" xfId="0" applyFont="1"/>
    <xf numFmtId="0" fontId="5" fillId="0" borderId="2" xfId="0" applyFont="1" applyBorder="1"/>
    <xf numFmtId="44" fontId="12" fillId="0" borderId="2" xfId="0" applyNumberFormat="1" applyFont="1" applyBorder="1"/>
    <xf numFmtId="0" fontId="11" fillId="7" borderId="2" xfId="0" applyFont="1" applyFill="1" applyBorder="1"/>
    <xf numFmtId="0" fontId="7" fillId="0" borderId="2" xfId="0" applyFont="1" applyBorder="1"/>
    <xf numFmtId="0" fontId="5" fillId="0" borderId="3" xfId="0" applyFont="1" applyBorder="1"/>
    <xf numFmtId="0" fontId="5" fillId="5" borderId="7" xfId="0" applyFont="1" applyFill="1" applyBorder="1"/>
    <xf numFmtId="44" fontId="5" fillId="5" borderId="7" xfId="1" applyFont="1" applyFill="1" applyBorder="1"/>
    <xf numFmtId="14" fontId="5" fillId="0" borderId="0" xfId="0" applyNumberFormat="1" applyFont="1" applyFill="1"/>
    <xf numFmtId="44" fontId="5" fillId="0" borderId="0" xfId="1" applyFont="1" applyFill="1"/>
    <xf numFmtId="14" fontId="5" fillId="0" borderId="0" xfId="0" applyNumberFormat="1" applyFont="1" applyAlignment="1">
      <alignment horizontal="right"/>
    </xf>
    <xf numFmtId="14" fontId="5" fillId="0" borderId="0" xfId="0" applyNumberFormat="1" applyFont="1"/>
    <xf numFmtId="4" fontId="5" fillId="0" borderId="0" xfId="0" applyNumberFormat="1" applyFont="1" applyAlignment="1">
      <alignment horizontal="right"/>
    </xf>
    <xf numFmtId="14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4" fontId="5" fillId="0" borderId="0" xfId="0" applyNumberFormat="1" applyFont="1"/>
    <xf numFmtId="44" fontId="8" fillId="0" borderId="7" xfId="0" applyNumberFormat="1" applyFont="1" applyBorder="1"/>
    <xf numFmtId="44" fontId="5" fillId="0" borderId="0" xfId="1" applyFont="1" applyFill="1" applyBorder="1"/>
    <xf numFmtId="14" fontId="0" fillId="0" borderId="0" xfId="0" applyNumberFormat="1" applyFont="1" applyFill="1"/>
    <xf numFmtId="4" fontId="0" fillId="0" borderId="0" xfId="0" applyNumberFormat="1" applyFont="1" applyFill="1"/>
    <xf numFmtId="0" fontId="5" fillId="5" borderId="0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47625</xdr:rowOff>
    </xdr:from>
    <xdr:to>
      <xdr:col>7</xdr:col>
      <xdr:colOff>123825</xdr:colOff>
      <xdr:row>21</xdr:row>
      <xdr:rowOff>104775</xdr:rowOff>
    </xdr:to>
    <xdr:sp macro="" textlink="">
      <xdr:nvSpPr>
        <xdr:cNvPr id="2052" name="WordArt 4">
          <a:extLst>
            <a:ext uri="{FF2B5EF4-FFF2-40B4-BE49-F238E27FC236}">
              <a16:creationId xmlns:a16="http://schemas.microsoft.com/office/drawing/2014/main" xmlns="" id="{00000000-0008-0000-0100-000004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100" y="3286125"/>
          <a:ext cx="9334500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4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gency FB"/>
            </a:rPr>
            <a:t>Please make sure that the above calculation is correct. There is no real cross-checking mechanism other than getting it right.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64"/>
  <sheetViews>
    <sheetView tabSelected="1" workbookViewId="0">
      <selection activeCell="A17" sqref="A17"/>
    </sheetView>
  </sheetViews>
  <sheetFormatPr defaultRowHeight="12.75"/>
  <cols>
    <col min="1" max="1" width="25.42578125" style="4" customWidth="1"/>
    <col min="2" max="2" width="12.85546875" style="4" customWidth="1"/>
    <col min="3" max="3" width="14.28515625" style="4" customWidth="1"/>
    <col min="4" max="4" width="13.5703125" style="4" customWidth="1"/>
    <col min="5" max="5" width="12.28515625" style="4" customWidth="1"/>
    <col min="6" max="6" width="12.42578125" style="6" customWidth="1"/>
    <col min="7" max="8" width="11.28515625" style="4" customWidth="1"/>
    <col min="9" max="9" width="8" style="4" customWidth="1"/>
    <col min="10" max="10" width="18.5703125" style="4" customWidth="1"/>
    <col min="11" max="11" width="12" style="7" customWidth="1"/>
    <col min="12" max="12" width="9.85546875" style="4" bestFit="1" customWidth="1"/>
    <col min="13" max="13" width="7.85546875" style="4" customWidth="1"/>
    <col min="14" max="14" width="8.5703125" style="4" customWidth="1"/>
    <col min="15" max="15" width="9.85546875" style="4" customWidth="1"/>
    <col min="16" max="16" width="16.42578125" style="4" customWidth="1"/>
    <col min="17" max="16384" width="9.140625" style="4"/>
  </cols>
  <sheetData>
    <row r="1" spans="1:16" ht="15.75">
      <c r="B1" s="5" t="s">
        <v>0</v>
      </c>
    </row>
    <row r="2" spans="1:16">
      <c r="G2" s="63">
        <v>2019</v>
      </c>
      <c r="H2" s="64"/>
      <c r="I2" s="65"/>
    </row>
    <row r="3" spans="1:16" ht="12.75" customHeight="1">
      <c r="B3" s="8" t="s">
        <v>1</v>
      </c>
      <c r="C3" s="73" t="s">
        <v>36</v>
      </c>
      <c r="D3" s="74"/>
      <c r="E3" s="74"/>
      <c r="G3" s="66"/>
      <c r="H3" s="67"/>
      <c r="I3" s="68"/>
      <c r="J3" s="4" t="s">
        <v>13</v>
      </c>
    </row>
    <row r="4" spans="1:16">
      <c r="C4" s="73"/>
      <c r="D4" s="74"/>
      <c r="E4" s="74"/>
      <c r="G4" s="69"/>
      <c r="H4" s="70"/>
      <c r="I4" s="71"/>
      <c r="J4" s="4" t="s">
        <v>13</v>
      </c>
      <c r="K4" s="7" t="s">
        <v>13</v>
      </c>
    </row>
    <row r="5" spans="1:16">
      <c r="K5" s="7" t="s">
        <v>13</v>
      </c>
    </row>
    <row r="6" spans="1:16">
      <c r="B6" s="9" t="s">
        <v>2</v>
      </c>
      <c r="C6" s="9" t="s">
        <v>3</v>
      </c>
      <c r="D6" s="9" t="s">
        <v>21</v>
      </c>
      <c r="E6" s="9" t="s">
        <v>5</v>
      </c>
      <c r="F6" s="10" t="s">
        <v>8</v>
      </c>
      <c r="G6" s="9" t="s">
        <v>10</v>
      </c>
      <c r="H6" s="9" t="s">
        <v>12</v>
      </c>
      <c r="I6" s="11" t="s">
        <v>13</v>
      </c>
    </row>
    <row r="7" spans="1:16">
      <c r="A7" s="12" t="s">
        <v>15</v>
      </c>
      <c r="B7" s="9" t="s">
        <v>4</v>
      </c>
      <c r="C7" s="9" t="s">
        <v>4</v>
      </c>
      <c r="D7" s="9" t="s">
        <v>6</v>
      </c>
      <c r="E7" s="13"/>
      <c r="F7" s="10" t="s">
        <v>9</v>
      </c>
      <c r="G7" s="9" t="s">
        <v>11</v>
      </c>
      <c r="H7" s="9" t="s">
        <v>7</v>
      </c>
    </row>
    <row r="8" spans="1:16">
      <c r="B8" s="11"/>
      <c r="C8" s="11"/>
      <c r="N8" s="4" t="s">
        <v>7</v>
      </c>
      <c r="O8" s="4" t="s">
        <v>28</v>
      </c>
      <c r="P8" s="4" t="s">
        <v>29</v>
      </c>
    </row>
    <row r="9" spans="1:16" ht="12" customHeight="1">
      <c r="J9" s="72" t="s">
        <v>14</v>
      </c>
      <c r="K9" s="72"/>
    </row>
    <row r="10" spans="1:16" s="8" customFormat="1">
      <c r="A10" s="4"/>
      <c r="B10" s="51"/>
      <c r="C10" s="52"/>
      <c r="D10" s="53"/>
      <c r="E10" s="4"/>
      <c r="F10" s="50">
        <f t="shared" ref="F10:F17" si="0">IF(E10&gt;D10,0,(E10-D10))</f>
        <v>0</v>
      </c>
      <c r="G10" s="50">
        <f t="shared" ref="G10:G17" si="1">IF(D10&lt;E10,(E10-D10),0)</f>
        <v>0</v>
      </c>
      <c r="H10" s="50">
        <f t="shared" ref="H10:H17" si="2">IF(C10-B10&lt;365, G10*0,G10/3)</f>
        <v>0</v>
      </c>
      <c r="J10" s="72"/>
      <c r="K10" s="72"/>
      <c r="N10" s="8">
        <f t="shared" ref="N10:N13" si="3">IF(H10&gt;0,G10,0)</f>
        <v>0</v>
      </c>
      <c r="O10" s="8">
        <f t="shared" ref="O10:O13" si="4">IF(H10=0,G10,0)</f>
        <v>0</v>
      </c>
      <c r="P10" s="8">
        <f>+N10/3</f>
        <v>0</v>
      </c>
    </row>
    <row r="11" spans="1:16" s="8" customFormat="1">
      <c r="A11" s="4" t="s">
        <v>37</v>
      </c>
      <c r="B11" s="51">
        <v>41897</v>
      </c>
      <c r="C11" s="52">
        <v>43646</v>
      </c>
      <c r="D11" s="53">
        <v>2196.4</v>
      </c>
      <c r="E11" s="4">
        <v>2769.5</v>
      </c>
      <c r="F11" s="50">
        <f t="shared" si="0"/>
        <v>0</v>
      </c>
      <c r="G11" s="50">
        <f t="shared" si="1"/>
        <v>573.09999999999991</v>
      </c>
      <c r="H11" s="50">
        <f t="shared" si="2"/>
        <v>191.0333333333333</v>
      </c>
      <c r="J11" s="72"/>
      <c r="K11" s="72"/>
      <c r="N11" s="8">
        <f t="shared" si="3"/>
        <v>573.09999999999991</v>
      </c>
      <c r="O11" s="8">
        <f t="shared" si="4"/>
        <v>0</v>
      </c>
      <c r="P11" s="8">
        <f t="shared" ref="P11:P40" si="5">+N11/3</f>
        <v>191.0333333333333</v>
      </c>
    </row>
    <row r="12" spans="1:16" s="8" customFormat="1">
      <c r="A12" s="4" t="s">
        <v>40</v>
      </c>
      <c r="B12" s="51">
        <v>39245</v>
      </c>
      <c r="C12" s="52">
        <v>43282</v>
      </c>
      <c r="D12" s="53">
        <v>9624.9500000000007</v>
      </c>
      <c r="E12" s="4">
        <v>0</v>
      </c>
      <c r="F12" s="50">
        <f t="shared" si="0"/>
        <v>-9624.9500000000007</v>
      </c>
      <c r="G12" s="50">
        <f t="shared" si="1"/>
        <v>0</v>
      </c>
      <c r="H12" s="50">
        <f t="shared" si="2"/>
        <v>0</v>
      </c>
      <c r="J12" s="72"/>
      <c r="K12" s="72"/>
      <c r="N12" s="8">
        <f t="shared" si="3"/>
        <v>0</v>
      </c>
      <c r="O12" s="8">
        <f t="shared" si="4"/>
        <v>0</v>
      </c>
      <c r="P12" s="8">
        <f t="shared" si="5"/>
        <v>0</v>
      </c>
    </row>
    <row r="13" spans="1:16" s="8" customFormat="1">
      <c r="A13" s="4" t="s">
        <v>41</v>
      </c>
      <c r="B13" s="51">
        <v>39337</v>
      </c>
      <c r="C13" s="52">
        <v>43340</v>
      </c>
      <c r="D13" s="53">
        <v>5290.78</v>
      </c>
      <c r="E13" s="4">
        <v>8750</v>
      </c>
      <c r="F13" s="50">
        <f t="shared" si="0"/>
        <v>0</v>
      </c>
      <c r="G13" s="50">
        <f t="shared" si="1"/>
        <v>3459.2200000000003</v>
      </c>
      <c r="H13" s="50">
        <f t="shared" si="2"/>
        <v>1153.0733333333335</v>
      </c>
      <c r="J13" s="72"/>
      <c r="K13" s="72"/>
      <c r="N13" s="8">
        <f t="shared" si="3"/>
        <v>3459.2200000000003</v>
      </c>
      <c r="O13" s="8">
        <f t="shared" si="4"/>
        <v>0</v>
      </c>
      <c r="P13" s="8">
        <f t="shared" si="5"/>
        <v>1153.0733333333335</v>
      </c>
    </row>
    <row r="14" spans="1:16">
      <c r="A14" s="4" t="s">
        <v>42</v>
      </c>
      <c r="B14" s="51">
        <v>43005</v>
      </c>
      <c r="C14" s="52">
        <v>43282</v>
      </c>
      <c r="D14" s="53">
        <v>19471.900000000001</v>
      </c>
      <c r="E14" s="4">
        <v>0</v>
      </c>
      <c r="F14" s="50">
        <f t="shared" si="0"/>
        <v>-19471.900000000001</v>
      </c>
      <c r="G14" s="50">
        <f t="shared" si="1"/>
        <v>0</v>
      </c>
      <c r="H14" s="50">
        <f t="shared" si="2"/>
        <v>0</v>
      </c>
      <c r="J14" s="72"/>
      <c r="K14" s="72"/>
      <c r="N14" s="8">
        <f>IF(H14&gt;0,G14,0)</f>
        <v>0</v>
      </c>
      <c r="O14" s="8">
        <f t="shared" ref="O14:O40" si="6">IF(H14=0,G14,0)</f>
        <v>0</v>
      </c>
      <c r="P14" s="8">
        <f t="shared" si="5"/>
        <v>0</v>
      </c>
    </row>
    <row r="15" spans="1:16">
      <c r="A15" s="4" t="s">
        <v>38</v>
      </c>
      <c r="B15" s="51">
        <v>43363</v>
      </c>
      <c r="C15" s="52">
        <v>43646</v>
      </c>
      <c r="D15" s="53">
        <v>3271.58</v>
      </c>
      <c r="E15" s="4">
        <v>47955.79</v>
      </c>
      <c r="F15" s="50">
        <f t="shared" si="0"/>
        <v>0</v>
      </c>
      <c r="G15" s="50">
        <f t="shared" si="1"/>
        <v>44684.21</v>
      </c>
      <c r="H15" s="50">
        <f t="shared" si="2"/>
        <v>0</v>
      </c>
      <c r="J15" s="72"/>
      <c r="K15" s="72"/>
      <c r="N15" s="8">
        <f t="shared" ref="N15:N40" si="7">IF(H15&gt;0,G15,0)</f>
        <v>0</v>
      </c>
      <c r="O15" s="8">
        <f t="shared" si="6"/>
        <v>44684.21</v>
      </c>
      <c r="P15" s="8">
        <f t="shared" si="5"/>
        <v>0</v>
      </c>
    </row>
    <row r="16" spans="1:16">
      <c r="A16" s="4" t="s">
        <v>43</v>
      </c>
      <c r="B16" s="51">
        <v>43006</v>
      </c>
      <c r="C16" s="52">
        <v>43646</v>
      </c>
      <c r="D16" s="53">
        <v>19086.75</v>
      </c>
      <c r="E16" s="4">
        <v>16562.349999999999</v>
      </c>
      <c r="F16" s="50">
        <f t="shared" si="0"/>
        <v>-2524.4000000000015</v>
      </c>
      <c r="G16" s="50">
        <f t="shared" si="1"/>
        <v>0</v>
      </c>
      <c r="H16" s="50">
        <f t="shared" si="2"/>
        <v>0</v>
      </c>
      <c r="N16" s="8">
        <f t="shared" si="7"/>
        <v>0</v>
      </c>
      <c r="O16" s="8">
        <f t="shared" si="6"/>
        <v>0</v>
      </c>
      <c r="P16" s="8">
        <f t="shared" si="5"/>
        <v>0</v>
      </c>
    </row>
    <row r="17" spans="1:16">
      <c r="A17" s="4" t="s">
        <v>44</v>
      </c>
      <c r="B17" s="51">
        <v>43005</v>
      </c>
      <c r="C17" s="52">
        <v>43622</v>
      </c>
      <c r="D17" s="53">
        <v>24931.9</v>
      </c>
      <c r="E17" s="4">
        <v>36975</v>
      </c>
      <c r="F17" s="50">
        <f t="shared" si="0"/>
        <v>0</v>
      </c>
      <c r="G17" s="50">
        <f t="shared" si="1"/>
        <v>12043.099999999999</v>
      </c>
      <c r="H17" s="50">
        <f t="shared" si="2"/>
        <v>4014.3666666666663</v>
      </c>
      <c r="J17" s="62" t="s">
        <v>32</v>
      </c>
      <c r="K17" s="62"/>
      <c r="N17" s="8">
        <f t="shared" si="7"/>
        <v>12043.099999999999</v>
      </c>
      <c r="O17" s="8">
        <f t="shared" si="6"/>
        <v>0</v>
      </c>
      <c r="P17" s="8">
        <f t="shared" si="5"/>
        <v>4014.3666666666663</v>
      </c>
    </row>
    <row r="18" spans="1:16">
      <c r="A18" s="4" t="s">
        <v>45</v>
      </c>
      <c r="B18" s="54">
        <v>43005</v>
      </c>
      <c r="C18" s="52">
        <v>43646</v>
      </c>
      <c r="D18" s="58">
        <v>54806.89</v>
      </c>
      <c r="E18" s="58">
        <v>83198.09</v>
      </c>
      <c r="F18" s="50">
        <f>IF(E18&gt;D18,0,(E18-D18))</f>
        <v>0</v>
      </c>
      <c r="G18" s="50">
        <f>IF(D18&lt;E18,(E18-D18),0)</f>
        <v>28391.199999999997</v>
      </c>
      <c r="H18" s="50">
        <f>IF(C18-B18&lt;365, G18*0,G18/3)</f>
        <v>9463.7333333333318</v>
      </c>
      <c r="J18" s="14" t="s">
        <v>26</v>
      </c>
      <c r="K18" s="15">
        <f>+G37</f>
        <v>195304.90999999997</v>
      </c>
      <c r="N18" s="8">
        <f t="shared" si="7"/>
        <v>28391.199999999997</v>
      </c>
      <c r="O18" s="8">
        <f t="shared" si="6"/>
        <v>0</v>
      </c>
      <c r="P18" s="8">
        <f t="shared" si="5"/>
        <v>9463.7333333333318</v>
      </c>
    </row>
    <row r="19" spans="1:16">
      <c r="A19" s="4" t="s">
        <v>39</v>
      </c>
      <c r="B19" s="52"/>
      <c r="C19" s="49"/>
      <c r="D19" s="56"/>
      <c r="E19" s="50">
        <f>234.46+65.16</f>
        <v>299.62</v>
      </c>
      <c r="F19" s="50">
        <f>IF(E19&gt;D19,0,(E19-D19))</f>
        <v>0</v>
      </c>
      <c r="G19" s="50">
        <f>IF(D19&lt;E19,(E19-D19),0)</f>
        <v>299.62</v>
      </c>
      <c r="H19" s="50">
        <f>IF(C19-B19&lt;365, G19*0,G19/3)</f>
        <v>0</v>
      </c>
      <c r="J19" s="14" t="s">
        <v>27</v>
      </c>
      <c r="K19" s="16">
        <f>+F37</f>
        <v>-33653.22</v>
      </c>
      <c r="N19" s="8">
        <f t="shared" si="7"/>
        <v>0</v>
      </c>
      <c r="O19" s="8">
        <f t="shared" si="6"/>
        <v>299.62</v>
      </c>
      <c r="P19" s="8">
        <f t="shared" si="5"/>
        <v>0</v>
      </c>
    </row>
    <row r="20" spans="1:16">
      <c r="A20" s="4" t="s">
        <v>46</v>
      </c>
      <c r="B20" s="54">
        <v>43011</v>
      </c>
      <c r="C20" s="52">
        <v>43646</v>
      </c>
      <c r="D20" s="53">
        <v>27124.18</v>
      </c>
      <c r="E20" s="56">
        <v>38657.15</v>
      </c>
      <c r="F20" s="50">
        <f>IF(E20&gt;D20,0,(E20-D20))</f>
        <v>0</v>
      </c>
      <c r="G20" s="50">
        <f>IF(D20&lt;E20,(E20-D20),0)</f>
        <v>11532.970000000001</v>
      </c>
      <c r="H20" s="50">
        <f>IF(C20-B20&lt;365, G20*0,G20/3)</f>
        <v>3844.3233333333337</v>
      </c>
      <c r="J20" s="17" t="s">
        <v>33</v>
      </c>
      <c r="K20" s="15">
        <f>+K18+K19</f>
        <v>161651.68999999997</v>
      </c>
      <c r="N20" s="8">
        <f t="shared" si="7"/>
        <v>11532.970000000001</v>
      </c>
      <c r="O20" s="8">
        <f t="shared" si="6"/>
        <v>0</v>
      </c>
      <c r="P20" s="8">
        <f t="shared" si="5"/>
        <v>3844.3233333333337</v>
      </c>
    </row>
    <row r="21" spans="1:16">
      <c r="A21" s="4" t="s">
        <v>47</v>
      </c>
      <c r="B21" s="54">
        <v>43104</v>
      </c>
      <c r="C21" s="52">
        <v>43646</v>
      </c>
      <c r="D21" s="55">
        <v>19831.900000000001</v>
      </c>
      <c r="E21" s="50">
        <v>31865.45</v>
      </c>
      <c r="F21" s="50">
        <f>IF(E21&gt;D21,0,(E21-D21))</f>
        <v>0</v>
      </c>
      <c r="G21" s="50">
        <f>IF(D21&lt;E21,(E21-D21),0)</f>
        <v>12033.55</v>
      </c>
      <c r="H21" s="50">
        <f>IF(C21-B21&lt;365, G21*0,G21/3)</f>
        <v>4011.1833333333329</v>
      </c>
      <c r="J21" s="17"/>
      <c r="K21" s="15"/>
      <c r="N21" s="8">
        <f t="shared" si="7"/>
        <v>12033.55</v>
      </c>
      <c r="O21" s="8">
        <f t="shared" si="6"/>
        <v>0</v>
      </c>
      <c r="P21" s="8">
        <f t="shared" si="5"/>
        <v>4011.1833333333329</v>
      </c>
    </row>
    <row r="22" spans="1:16">
      <c r="A22" s="4" t="s">
        <v>48</v>
      </c>
      <c r="B22" s="59">
        <v>43104</v>
      </c>
      <c r="C22" s="49">
        <v>43642</v>
      </c>
      <c r="D22" s="60">
        <v>40503.800000000003</v>
      </c>
      <c r="E22" s="50">
        <v>38471.83</v>
      </c>
      <c r="F22" s="50">
        <f t="shared" ref="F22:F33" si="8">IF(E22&gt;D22,0,(E22-D22))</f>
        <v>-2031.9700000000012</v>
      </c>
      <c r="G22" s="50">
        <f t="shared" ref="G22:G33" si="9">IF(D22&lt;E22,(E22-D22),0)</f>
        <v>0</v>
      </c>
      <c r="H22" s="50">
        <f t="shared" ref="H22:H33" si="10">IF(C22-B22&lt;365, G22*0,G22/3)</f>
        <v>0</v>
      </c>
      <c r="J22" s="17"/>
      <c r="K22" s="15"/>
      <c r="N22" s="8">
        <f t="shared" si="7"/>
        <v>0</v>
      </c>
      <c r="O22" s="8">
        <f t="shared" si="6"/>
        <v>0</v>
      </c>
      <c r="P22" s="8">
        <f t="shared" si="5"/>
        <v>0</v>
      </c>
    </row>
    <row r="23" spans="1:16">
      <c r="A23" s="4" t="s">
        <v>49</v>
      </c>
      <c r="B23" s="59">
        <v>43108</v>
      </c>
      <c r="C23" s="49">
        <v>43641</v>
      </c>
      <c r="D23" s="60">
        <v>32946.269999999997</v>
      </c>
      <c r="E23" s="50">
        <v>106126.72</v>
      </c>
      <c r="F23" s="50">
        <f t="shared" si="8"/>
        <v>0</v>
      </c>
      <c r="G23" s="50">
        <f t="shared" si="9"/>
        <v>73180.450000000012</v>
      </c>
      <c r="H23" s="50">
        <f t="shared" si="10"/>
        <v>24393.483333333337</v>
      </c>
      <c r="J23" s="17"/>
      <c r="K23" s="15"/>
      <c r="N23" s="8">
        <f t="shared" si="7"/>
        <v>73180.450000000012</v>
      </c>
      <c r="O23" s="8">
        <f t="shared" si="6"/>
        <v>0</v>
      </c>
      <c r="P23" s="8">
        <f t="shared" si="5"/>
        <v>24393.483333333337</v>
      </c>
    </row>
    <row r="24" spans="1:16">
      <c r="A24" s="4" t="s">
        <v>50</v>
      </c>
      <c r="B24" s="59">
        <v>43110</v>
      </c>
      <c r="C24" s="49">
        <v>43646</v>
      </c>
      <c r="D24" s="60">
        <f>27863.84-39.53</f>
        <v>27824.31</v>
      </c>
      <c r="E24" s="50">
        <v>36931.800000000003</v>
      </c>
      <c r="F24" s="50">
        <f t="shared" si="8"/>
        <v>0</v>
      </c>
      <c r="G24" s="50">
        <f t="shared" si="9"/>
        <v>9107.4900000000016</v>
      </c>
      <c r="H24" s="50">
        <f t="shared" si="10"/>
        <v>3035.8300000000004</v>
      </c>
      <c r="J24" s="17"/>
      <c r="K24" s="15"/>
      <c r="N24" s="8">
        <f t="shared" si="7"/>
        <v>9107.4900000000016</v>
      </c>
      <c r="O24" s="8">
        <f t="shared" si="6"/>
        <v>0</v>
      </c>
      <c r="P24" s="8">
        <f t="shared" si="5"/>
        <v>3035.8300000000004</v>
      </c>
    </row>
    <row r="25" spans="1:16">
      <c r="B25" s="59"/>
      <c r="C25" s="49"/>
      <c r="D25" s="60"/>
      <c r="E25" s="50"/>
      <c r="F25" s="50">
        <f t="shared" si="8"/>
        <v>0</v>
      </c>
      <c r="G25" s="50">
        <f t="shared" si="9"/>
        <v>0</v>
      </c>
      <c r="H25" s="50">
        <f t="shared" si="10"/>
        <v>0</v>
      </c>
      <c r="J25" s="17"/>
      <c r="K25" s="15"/>
      <c r="N25" s="8">
        <f t="shared" si="7"/>
        <v>0</v>
      </c>
      <c r="O25" s="8">
        <f t="shared" si="6"/>
        <v>0</v>
      </c>
      <c r="P25" s="8">
        <f t="shared" si="5"/>
        <v>0</v>
      </c>
    </row>
    <row r="26" spans="1:16">
      <c r="B26" s="59"/>
      <c r="C26" s="49"/>
      <c r="D26" s="60"/>
      <c r="E26" s="50"/>
      <c r="F26" s="50">
        <f t="shared" si="8"/>
        <v>0</v>
      </c>
      <c r="G26" s="50">
        <f t="shared" si="9"/>
        <v>0</v>
      </c>
      <c r="H26" s="50">
        <f t="shared" si="10"/>
        <v>0</v>
      </c>
      <c r="J26" s="17"/>
      <c r="K26" s="15"/>
      <c r="N26" s="8">
        <f t="shared" si="7"/>
        <v>0</v>
      </c>
      <c r="O26" s="8">
        <f t="shared" si="6"/>
        <v>0</v>
      </c>
      <c r="P26" s="8">
        <f t="shared" si="5"/>
        <v>0</v>
      </c>
    </row>
    <row r="27" spans="1:16">
      <c r="B27" s="59"/>
      <c r="C27" s="49"/>
      <c r="D27" s="60"/>
      <c r="E27" s="50"/>
      <c r="F27" s="50">
        <f t="shared" si="8"/>
        <v>0</v>
      </c>
      <c r="G27" s="50">
        <f t="shared" si="9"/>
        <v>0</v>
      </c>
      <c r="H27" s="50">
        <f t="shared" si="10"/>
        <v>0</v>
      </c>
      <c r="J27" s="18"/>
      <c r="K27" s="19"/>
      <c r="N27" s="8">
        <f t="shared" si="7"/>
        <v>0</v>
      </c>
      <c r="O27" s="8">
        <f t="shared" si="6"/>
        <v>0</v>
      </c>
      <c r="P27" s="8">
        <f t="shared" si="5"/>
        <v>0</v>
      </c>
    </row>
    <row r="28" spans="1:16">
      <c r="B28" s="59"/>
      <c r="C28" s="49"/>
      <c r="D28" s="60"/>
      <c r="E28" s="50"/>
      <c r="F28" s="50">
        <f t="shared" si="8"/>
        <v>0</v>
      </c>
      <c r="G28" s="50">
        <f t="shared" si="9"/>
        <v>0</v>
      </c>
      <c r="H28" s="50">
        <f t="shared" si="10"/>
        <v>0</v>
      </c>
      <c r="J28" s="20"/>
      <c r="K28" s="21"/>
      <c r="N28" s="8">
        <f t="shared" si="7"/>
        <v>0</v>
      </c>
      <c r="O28" s="8">
        <f t="shared" si="6"/>
        <v>0</v>
      </c>
      <c r="P28" s="8">
        <f t="shared" si="5"/>
        <v>0</v>
      </c>
    </row>
    <row r="29" spans="1:16">
      <c r="B29" s="59"/>
      <c r="C29" s="49"/>
      <c r="D29" s="60"/>
      <c r="E29" s="50"/>
      <c r="F29" s="50">
        <f t="shared" si="8"/>
        <v>0</v>
      </c>
      <c r="G29" s="50">
        <f t="shared" si="9"/>
        <v>0</v>
      </c>
      <c r="H29" s="50">
        <f t="shared" si="10"/>
        <v>0</v>
      </c>
      <c r="J29" s="61" t="s">
        <v>31</v>
      </c>
      <c r="K29" s="15"/>
      <c r="N29" s="8">
        <f t="shared" si="7"/>
        <v>0</v>
      </c>
      <c r="O29" s="8">
        <f t="shared" si="6"/>
        <v>0</v>
      </c>
      <c r="P29" s="8">
        <f t="shared" si="5"/>
        <v>0</v>
      </c>
    </row>
    <row r="30" spans="1:16">
      <c r="B30" s="59"/>
      <c r="C30" s="49"/>
      <c r="D30" s="60"/>
      <c r="E30" s="50"/>
      <c r="F30" s="50">
        <f t="shared" si="8"/>
        <v>0</v>
      </c>
      <c r="G30" s="50">
        <f t="shared" si="9"/>
        <v>0</v>
      </c>
      <c r="H30" s="50">
        <f t="shared" si="10"/>
        <v>0</v>
      </c>
      <c r="J30" s="61"/>
      <c r="K30" s="22">
        <v>-262746</v>
      </c>
      <c r="L30" s="29"/>
      <c r="N30" s="8">
        <f t="shared" si="7"/>
        <v>0</v>
      </c>
      <c r="O30" s="8">
        <f t="shared" si="6"/>
        <v>0</v>
      </c>
      <c r="P30" s="8">
        <f t="shared" si="5"/>
        <v>0</v>
      </c>
    </row>
    <row r="31" spans="1:16">
      <c r="B31" s="59"/>
      <c r="C31" s="49"/>
      <c r="D31" s="60"/>
      <c r="E31" s="50"/>
      <c r="F31" s="50">
        <f t="shared" si="8"/>
        <v>0</v>
      </c>
      <c r="G31" s="50">
        <f t="shared" si="9"/>
        <v>0</v>
      </c>
      <c r="H31" s="50">
        <f t="shared" si="10"/>
        <v>0</v>
      </c>
      <c r="J31" s="20"/>
      <c r="K31" s="21"/>
      <c r="N31" s="8">
        <f t="shared" si="7"/>
        <v>0</v>
      </c>
      <c r="O31" s="8">
        <f t="shared" si="6"/>
        <v>0</v>
      </c>
      <c r="P31" s="8">
        <f t="shared" si="5"/>
        <v>0</v>
      </c>
    </row>
    <row r="32" spans="1:16">
      <c r="B32" s="59"/>
      <c r="C32" s="49"/>
      <c r="D32" s="60"/>
      <c r="E32" s="50"/>
      <c r="F32" s="50">
        <f t="shared" si="8"/>
        <v>0</v>
      </c>
      <c r="G32" s="50">
        <f t="shared" si="9"/>
        <v>0</v>
      </c>
      <c r="H32" s="50">
        <f t="shared" si="10"/>
        <v>0</v>
      </c>
      <c r="J32" s="14" t="s">
        <v>7</v>
      </c>
      <c r="K32" s="15">
        <f>IF(O38&lt;0,0,O38)</f>
        <v>0</v>
      </c>
      <c r="N32" s="8">
        <f t="shared" si="7"/>
        <v>0</v>
      </c>
      <c r="O32" s="8">
        <f t="shared" si="6"/>
        <v>0</v>
      </c>
      <c r="P32" s="8">
        <f t="shared" si="5"/>
        <v>0</v>
      </c>
    </row>
    <row r="33" spans="1:16">
      <c r="B33" s="59"/>
      <c r="C33" s="49"/>
      <c r="D33" s="60"/>
      <c r="E33" s="50"/>
      <c r="F33" s="50">
        <f t="shared" si="8"/>
        <v>0</v>
      </c>
      <c r="G33" s="50">
        <f t="shared" si="9"/>
        <v>0</v>
      </c>
      <c r="H33" s="50">
        <f t="shared" si="10"/>
        <v>0</v>
      </c>
      <c r="J33" s="20"/>
      <c r="K33" s="21"/>
      <c r="N33" s="8">
        <f t="shared" si="7"/>
        <v>0</v>
      </c>
      <c r="O33" s="8">
        <f>IF(H33=0,G33,0)</f>
        <v>0</v>
      </c>
      <c r="P33" s="8">
        <f t="shared" si="5"/>
        <v>0</v>
      </c>
    </row>
    <row r="34" spans="1:16" ht="12.75" customHeight="1">
      <c r="B34" s="54"/>
      <c r="C34" s="52"/>
      <c r="D34" s="55"/>
      <c r="E34" s="50"/>
      <c r="F34" s="50">
        <f>IF(E34&gt;D34,0,(E34-D34))</f>
        <v>0</v>
      </c>
      <c r="G34" s="50">
        <f>IF(D34&lt;E34,(E34-D34),0)</f>
        <v>0</v>
      </c>
      <c r="H34" s="50">
        <f>IF(C34-B34&lt;365, G34*0,G34/3)</f>
        <v>0</v>
      </c>
      <c r="J34" s="17" t="s">
        <v>34</v>
      </c>
      <c r="K34" s="15">
        <f>+K20+K30-K32</f>
        <v>-101094.31000000003</v>
      </c>
      <c r="N34" s="8">
        <f t="shared" si="7"/>
        <v>0</v>
      </c>
      <c r="O34" s="8">
        <f t="shared" si="6"/>
        <v>0</v>
      </c>
      <c r="P34" s="8">
        <f t="shared" si="5"/>
        <v>0</v>
      </c>
    </row>
    <row r="35" spans="1:16">
      <c r="B35" s="54"/>
      <c r="C35" s="52"/>
      <c r="D35" s="55"/>
      <c r="E35" s="50"/>
      <c r="F35" s="50">
        <f>IF(E35&gt;D35,0,(E35-D35))</f>
        <v>0</v>
      </c>
      <c r="G35" s="50">
        <f>IF(D35&lt;E35,(E35-D35),0)</f>
        <v>0</v>
      </c>
      <c r="H35" s="50">
        <f>IF(C35-B35&lt;365, G35*0,G35/3)</f>
        <v>0</v>
      </c>
      <c r="J35" s="18"/>
      <c r="K35" s="19"/>
      <c r="N35" s="8">
        <f t="shared" si="7"/>
        <v>0</v>
      </c>
      <c r="O35" s="8">
        <f t="shared" si="6"/>
        <v>0</v>
      </c>
      <c r="P35" s="8">
        <f t="shared" si="5"/>
        <v>0</v>
      </c>
    </row>
    <row r="36" spans="1:16">
      <c r="B36" s="54"/>
      <c r="C36" s="52"/>
      <c r="D36" s="55"/>
      <c r="E36" s="50"/>
      <c r="F36" s="50">
        <f>IF(E36&gt;D36,0,(E36-D36))</f>
        <v>0</v>
      </c>
      <c r="G36" s="50">
        <f>IF(D36&lt;E36,(E36-D36),0)</f>
        <v>0</v>
      </c>
      <c r="H36" s="50">
        <f>IF(C36-B36&lt;365, G36*0,G36/3)</f>
        <v>0</v>
      </c>
      <c r="J36" s="18"/>
      <c r="K36" s="19"/>
      <c r="N36" s="8"/>
      <c r="O36" s="8"/>
      <c r="P36" s="8"/>
    </row>
    <row r="37" spans="1:16" ht="13.5" thickBot="1">
      <c r="B37" s="23"/>
      <c r="C37" s="23"/>
      <c r="D37" s="57">
        <f>SUM(D10:D36)</f>
        <v>286911.61000000004</v>
      </c>
      <c r="E37" s="57">
        <f>SUM(E10:E36)</f>
        <v>448563.3</v>
      </c>
      <c r="F37" s="57">
        <f>SUM(F10:F36)</f>
        <v>-33653.22</v>
      </c>
      <c r="G37" s="57">
        <f>SUM(G10:G36)</f>
        <v>195304.90999999997</v>
      </c>
      <c r="H37" s="57">
        <f>SUM(H10:H36)</f>
        <v>50107.026666666672</v>
      </c>
      <c r="J37" s="20"/>
      <c r="K37" s="21"/>
      <c r="N37" s="8">
        <f>IF(H37&gt;0,G37,0)</f>
        <v>195304.90999999997</v>
      </c>
      <c r="O37" s="8">
        <f t="shared" si="6"/>
        <v>0</v>
      </c>
      <c r="P37" s="8">
        <f t="shared" si="5"/>
        <v>65101.636666666658</v>
      </c>
    </row>
    <row r="38" spans="1:16" ht="13.5" thickTop="1">
      <c r="B38" s="23"/>
      <c r="C38" s="23"/>
      <c r="D38" s="23"/>
      <c r="J38" s="14" t="s">
        <v>30</v>
      </c>
      <c r="K38" s="15">
        <f>IF(O40&gt;=0,O40,0)</f>
        <v>0</v>
      </c>
      <c r="N38" s="8">
        <f t="shared" si="7"/>
        <v>0</v>
      </c>
      <c r="O38" s="8">
        <f t="shared" si="6"/>
        <v>0</v>
      </c>
      <c r="P38" s="8">
        <f t="shared" si="5"/>
        <v>0</v>
      </c>
    </row>
    <row r="39" spans="1:16" ht="13.5" thickBot="1">
      <c r="J39" s="47"/>
      <c r="K39" s="48"/>
      <c r="N39" s="8">
        <f t="shared" si="7"/>
        <v>0</v>
      </c>
      <c r="O39" s="8">
        <f t="shared" si="6"/>
        <v>0</v>
      </c>
      <c r="P39" s="8">
        <f t="shared" si="5"/>
        <v>0</v>
      </c>
    </row>
    <row r="40" spans="1:16" ht="13.5" thickTop="1">
      <c r="A40" s="24" t="s">
        <v>22</v>
      </c>
      <c r="B40" s="24"/>
      <c r="C40" s="25">
        <f>+E37</f>
        <v>448563.3</v>
      </c>
      <c r="D40" s="24"/>
      <c r="E40" s="24"/>
      <c r="F40" s="26"/>
      <c r="G40" s="24"/>
      <c r="H40" s="27"/>
      <c r="N40" s="8">
        <f t="shared" si="7"/>
        <v>0</v>
      </c>
      <c r="O40" s="8">
        <f t="shared" si="6"/>
        <v>0</v>
      </c>
      <c r="P40" s="8">
        <f t="shared" si="5"/>
        <v>0</v>
      </c>
    </row>
    <row r="41" spans="1:16">
      <c r="A41" s="30" t="s">
        <v>23</v>
      </c>
      <c r="B41" s="30"/>
      <c r="C41" s="31">
        <f>SUM(D37)</f>
        <v>286911.61000000004</v>
      </c>
      <c r="D41" s="30"/>
      <c r="E41" s="30"/>
      <c r="F41" s="32"/>
      <c r="G41" s="30"/>
      <c r="H41" s="33"/>
    </row>
    <row r="42" spans="1:16">
      <c r="A42" s="34"/>
      <c r="B42" s="34"/>
      <c r="C42" s="34"/>
      <c r="D42" s="34"/>
      <c r="E42" s="34"/>
      <c r="F42" s="35"/>
      <c r="G42" s="34"/>
      <c r="H42" s="36"/>
    </row>
    <row r="43" spans="1:16">
      <c r="A43" s="34" t="s">
        <v>24</v>
      </c>
      <c r="B43" s="37"/>
      <c r="C43" s="38">
        <f>+G37</f>
        <v>195304.90999999997</v>
      </c>
      <c r="D43" s="37"/>
      <c r="E43" s="37"/>
      <c r="F43" s="39"/>
      <c r="G43" s="37"/>
      <c r="H43" s="40"/>
    </row>
    <row r="44" spans="1:16">
      <c r="A44" s="24" t="s">
        <v>25</v>
      </c>
      <c r="B44" s="42"/>
      <c r="C44" s="43">
        <f>+F37</f>
        <v>-33653.22</v>
      </c>
      <c r="D44" s="44"/>
      <c r="E44" s="42"/>
      <c r="F44" s="45"/>
      <c r="G44" s="42"/>
      <c r="H44" s="46"/>
    </row>
    <row r="45" spans="1:16">
      <c r="C45" s="29">
        <f>+C43+C44</f>
        <v>161651.68999999997</v>
      </c>
      <c r="I45" s="28"/>
    </row>
    <row r="46" spans="1:16">
      <c r="I46" s="28"/>
    </row>
    <row r="47" spans="1:16">
      <c r="I47" s="28"/>
    </row>
    <row r="48" spans="1:16">
      <c r="I48" s="41"/>
    </row>
    <row r="64" spans="4:4">
      <c r="D64" s="29"/>
    </row>
  </sheetData>
  <mergeCells count="5">
    <mergeCell ref="J29:J30"/>
    <mergeCell ref="J17:K17"/>
    <mergeCell ref="G2:I4"/>
    <mergeCell ref="J9:K15"/>
    <mergeCell ref="C3:E4"/>
  </mergeCells>
  <phoneticPr fontId="0" type="noConversion"/>
  <conditionalFormatting sqref="K34 K20:K26 K30 F10:F36">
    <cfRule type="cellIs" dxfId="0" priority="1" stopIfTrue="1" operator="lessThan">
      <formula>0</formula>
    </cfRule>
  </conditionalFormatting>
  <dataValidations count="7">
    <dataValidation type="decimal" operator="lessThan" allowBlank="1" showInputMessage="1" showErrorMessage="1" error="You must enter the loss as a negative number" sqref="K30">
      <formula1>0</formula1>
    </dataValidation>
    <dataValidation type="decimal" errorStyle="warning" allowBlank="1" showInputMessage="1" showErrorMessage="1" error="This is a big profit or loss. Are you sure this is right?" sqref="E10:E36">
      <formula1>D10*0.5</formula1>
      <formula2>D10*1.5</formula2>
    </dataValidation>
    <dataValidation type="custom" allowBlank="1" showInputMessage="1" showErrorMessage="1" error="Buy Date after sell date" sqref="B10:B36">
      <formula1>B10&lt;C10</formula1>
    </dataValidation>
    <dataValidation type="custom" allowBlank="1" showInputMessage="1" showErrorMessage="1" error="Sell date is before buy date" sqref="C10:C36">
      <formula1>C10&gt;B10</formula1>
    </dataValidation>
    <dataValidation type="whole" operator="greaterThanOrEqual" allowBlank="1" showInputMessage="1" showErrorMessage="1" error="You should not be entering data here" sqref="F10:F36">
      <formula1>1E+25</formula1>
    </dataValidation>
    <dataValidation type="whole" operator="greaterThan" allowBlank="1" showInputMessage="1" showErrorMessage="1" error="You should not be entering data here" sqref="G10:G36">
      <formula1>1000000000000000000</formula1>
    </dataValidation>
    <dataValidation type="whole" operator="greaterThan" allowBlank="1" showInputMessage="1" showErrorMessage="1" error="You should not be entering data here" sqref="H10:H36">
      <formula1>100000000000000</formula1>
    </dataValidation>
  </dataValidations>
  <pageMargins left="0.15748031496062992" right="0.15748031496062992" top="0.19" bottom="0.22" header="0.17" footer="0.17"/>
  <pageSetup paperSize="9" scale="9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B13"/>
  <sheetViews>
    <sheetView workbookViewId="0">
      <selection activeCell="A6" sqref="A6"/>
    </sheetView>
  </sheetViews>
  <sheetFormatPr defaultRowHeight="12.75"/>
  <cols>
    <col min="1" max="1" width="52.85546875" customWidth="1"/>
    <col min="2" max="2" width="25.5703125" customWidth="1"/>
    <col min="3" max="3" width="23.7109375" customWidth="1"/>
  </cols>
  <sheetData>
    <row r="2" spans="1:2">
      <c r="A2" s="1" t="s">
        <v>16</v>
      </c>
    </row>
    <row r="3" spans="1:2">
      <c r="A3" s="1"/>
    </row>
    <row r="4" spans="1:2">
      <c r="A4" s="75" t="s">
        <v>35</v>
      </c>
    </row>
    <row r="5" spans="1:2">
      <c r="A5" s="76"/>
    </row>
    <row r="6" spans="1:2">
      <c r="A6" s="1"/>
    </row>
    <row r="7" spans="1:2">
      <c r="A7" s="1"/>
    </row>
    <row r="8" spans="1:2">
      <c r="A8" s="1" t="s">
        <v>17</v>
      </c>
      <c r="B8" s="2"/>
    </row>
    <row r="9" spans="1:2">
      <c r="A9" s="1" t="s">
        <v>18</v>
      </c>
      <c r="B9" s="2"/>
    </row>
    <row r="10" spans="1:2">
      <c r="A10" s="1" t="s">
        <v>19</v>
      </c>
      <c r="B10" s="2"/>
    </row>
    <row r="11" spans="1:2">
      <c r="A11" s="1"/>
    </row>
    <row r="12" spans="1:2">
      <c r="A12" s="1"/>
    </row>
    <row r="13" spans="1:2">
      <c r="A13" s="1" t="s">
        <v>20</v>
      </c>
      <c r="B13" s="3">
        <f>+B8+B9-B10</f>
        <v>0</v>
      </c>
    </row>
  </sheetData>
  <mergeCells count="1">
    <mergeCell ref="A4:A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Shares CGT Calculator</vt:lpstr>
      <vt:lpstr>Cost base calculation sheet</vt:lpstr>
      <vt:lpstr>'Shares CGT Calculator'!Print_Area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D'Angelo</dc:creator>
  <cp:lastModifiedBy>Nick.Dangelo</cp:lastModifiedBy>
  <cp:lastPrinted>2019-01-17T06:08:35Z</cp:lastPrinted>
  <dcterms:created xsi:type="dcterms:W3CDTF">2003-09-12T08:14:07Z</dcterms:created>
  <dcterms:modified xsi:type="dcterms:W3CDTF">2020-01-14T06:08:37Z</dcterms:modified>
</cp:coreProperties>
</file>