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ient's records\03 - Superannuation &amp; Retirement Folders\Edvic Dos Santos Superannuation Fund\2020\"/>
    </mc:Choice>
  </mc:AlternateContent>
  <xr:revisionPtr revIDLastSave="0" documentId="13_ncr:1_{768F8F67-9F1E-4F1B-BF30-E9CBE14AD297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Transactions" sheetId="2" r:id="rId1"/>
    <sheet name="HYDO PTY LTD" sheetId="3" r:id="rId2"/>
    <sheet name="Interest on loan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8" i="2" l="1"/>
  <c r="B293" i="2" s="1"/>
  <c r="C264" i="2"/>
  <c r="D88" i="1"/>
  <c r="C297" i="2"/>
  <c r="C296" i="2"/>
  <c r="C295" i="2"/>
  <c r="C294" i="2"/>
  <c r="B292" i="2"/>
  <c r="B291" i="2"/>
  <c r="D85" i="1"/>
  <c r="C259" i="2"/>
  <c r="C221" i="2"/>
  <c r="C265" i="2"/>
  <c r="B262" i="2"/>
  <c r="B261" i="2"/>
  <c r="D269" i="2"/>
  <c r="D270" i="2"/>
  <c r="D271" i="2"/>
  <c r="D272" i="2"/>
  <c r="D273" i="2"/>
  <c r="D226" i="2"/>
  <c r="D228" i="2"/>
  <c r="D227" i="2"/>
  <c r="D229" i="2"/>
  <c r="C288" i="2"/>
  <c r="C88" i="1"/>
  <c r="C86" i="1"/>
  <c r="C90" i="1"/>
  <c r="C71" i="1"/>
  <c r="C83" i="1"/>
  <c r="B259" i="2"/>
  <c r="B263" i="2" s="1"/>
  <c r="C298" i="2" l="1"/>
  <c r="B298" i="2"/>
  <c r="D274" i="2"/>
  <c r="B219" i="2"/>
  <c r="C224" i="2" l="1"/>
  <c r="C223" i="2"/>
  <c r="C222" i="2"/>
  <c r="D230" i="2"/>
  <c r="C216" i="2"/>
  <c r="B216" i="2"/>
  <c r="B220" i="2" l="1"/>
  <c r="B225" i="2" s="1"/>
  <c r="B268" i="2" s="1"/>
  <c r="C225" i="2"/>
  <c r="N194" i="2"/>
  <c r="C176" i="2"/>
  <c r="B176" i="2"/>
  <c r="C65" i="1"/>
  <c r="C67" i="1"/>
  <c r="C69" i="1"/>
  <c r="C73" i="1"/>
  <c r="C75" i="1"/>
  <c r="C77" i="1"/>
  <c r="C79" i="1"/>
  <c r="C81" i="1"/>
  <c r="C63" i="1"/>
  <c r="C61" i="1"/>
  <c r="C58" i="1"/>
  <c r="F18" i="3"/>
  <c r="E18" i="3"/>
  <c r="E16" i="3"/>
  <c r="F16" i="3"/>
  <c r="F12" i="3"/>
  <c r="E12" i="3"/>
  <c r="I10" i="3"/>
  <c r="I11" i="3" s="1"/>
  <c r="F5" i="3"/>
  <c r="I14" i="3"/>
  <c r="F15" i="3"/>
  <c r="E15" i="3"/>
  <c r="E5" i="3" l="1"/>
  <c r="E13" i="3"/>
  <c r="F13" i="3"/>
  <c r="C57" i="1"/>
  <c r="C56" i="1"/>
  <c r="C55" i="1"/>
  <c r="C54" i="1"/>
  <c r="C52" i="1"/>
  <c r="C51" i="1"/>
  <c r="C50" i="1"/>
  <c r="C49" i="1"/>
  <c r="C48" i="1"/>
  <c r="C47" i="1"/>
  <c r="C46" i="1"/>
  <c r="C138" i="2"/>
  <c r="C42" i="1" l="1"/>
  <c r="C44" i="1"/>
  <c r="C43" i="1"/>
  <c r="B138" i="2" l="1"/>
  <c r="C90" i="2"/>
  <c r="B90" i="2"/>
  <c r="C37" i="1" l="1"/>
  <c r="C36" i="1"/>
  <c r="C35" i="1"/>
  <c r="C34" i="1"/>
  <c r="C33" i="1"/>
  <c r="C41" i="1"/>
  <c r="C40" i="1"/>
  <c r="C39" i="1"/>
  <c r="C38" i="1"/>
  <c r="C31" i="1"/>
  <c r="B31" i="1"/>
  <c r="D31" i="1" s="1"/>
  <c r="I15" i="3"/>
  <c r="C6" i="1"/>
  <c r="C5" i="1"/>
  <c r="C4" i="1"/>
  <c r="D4" i="1" s="1"/>
  <c r="E17" i="3"/>
  <c r="C53" i="1" l="1"/>
  <c r="B33" i="1"/>
  <c r="C14" i="3"/>
  <c r="F30" i="3"/>
  <c r="E30" i="3"/>
  <c r="D30" i="3"/>
  <c r="B38" i="2"/>
  <c r="F28" i="3"/>
  <c r="E28" i="3"/>
  <c r="D28" i="3"/>
  <c r="B34" i="1" l="1"/>
  <c r="D33" i="1"/>
  <c r="B63" i="2"/>
  <c r="D6" i="1"/>
  <c r="D5" i="1"/>
  <c r="C28" i="1"/>
  <c r="C29" i="1"/>
  <c r="C23" i="1"/>
  <c r="C24" i="1"/>
  <c r="C25" i="1"/>
  <c r="C26" i="1"/>
  <c r="C27" i="1"/>
  <c r="B35" i="1" l="1"/>
  <c r="D34" i="1"/>
  <c r="C19" i="1"/>
  <c r="C20" i="1"/>
  <c r="C21" i="1"/>
  <c r="C22" i="1"/>
  <c r="C17" i="1"/>
  <c r="C15" i="1"/>
  <c r="C16" i="1"/>
  <c r="C14" i="1"/>
  <c r="C13" i="1"/>
  <c r="C11" i="1"/>
  <c r="C12" i="1"/>
  <c r="F23" i="3"/>
  <c r="E23" i="3"/>
  <c r="D23" i="3"/>
  <c r="D19" i="3"/>
  <c r="E19" i="3"/>
  <c r="F19" i="3"/>
  <c r="F8" i="3"/>
  <c r="E8" i="3"/>
  <c r="D8" i="3"/>
  <c r="C13" i="2"/>
  <c r="C9" i="2"/>
  <c r="D18" i="3"/>
  <c r="C17" i="3"/>
  <c r="D16" i="3"/>
  <c r="F17" i="3"/>
  <c r="H17" i="3" s="1"/>
  <c r="D15" i="3"/>
  <c r="D17" i="3" s="1"/>
  <c r="D13" i="3"/>
  <c r="F14" i="3"/>
  <c r="D12" i="3"/>
  <c r="D14" i="3" s="1"/>
  <c r="D20" i="3" l="1"/>
  <c r="C38" i="2"/>
  <c r="C63" i="2" s="1"/>
  <c r="C30" i="1"/>
  <c r="F20" i="3"/>
  <c r="B36" i="1"/>
  <c r="D35" i="1"/>
  <c r="E14" i="3"/>
  <c r="E20" i="3" s="1"/>
  <c r="C11" i="3"/>
  <c r="C20" i="3" s="1"/>
  <c r="C6" i="3"/>
  <c r="F22" i="3"/>
  <c r="E22" i="3"/>
  <c r="D22" i="3"/>
  <c r="F9" i="3"/>
  <c r="E9" i="3"/>
  <c r="D9" i="3"/>
  <c r="D5" i="3"/>
  <c r="D6" i="3" l="1"/>
  <c r="F6" i="3"/>
  <c r="F7" i="3" s="1"/>
  <c r="E6" i="3"/>
  <c r="E7" i="3" s="1"/>
  <c r="D7" i="3"/>
  <c r="B37" i="1"/>
  <c r="D36" i="1"/>
  <c r="D63" i="2"/>
  <c r="D90" i="2" s="1"/>
  <c r="D138" i="2" s="1"/>
  <c r="D176" i="2" s="1"/>
  <c r="D216" i="2" s="1"/>
  <c r="D38" i="2"/>
  <c r="C7" i="3"/>
  <c r="B7" i="1"/>
  <c r="B11" i="1" s="1"/>
  <c r="C8" i="1"/>
  <c r="D8" i="1" s="1"/>
  <c r="D9" i="1" s="1"/>
  <c r="D259" i="2" l="1"/>
  <c r="D288" i="2" s="1"/>
  <c r="B38" i="1"/>
  <c r="D37" i="1"/>
  <c r="D11" i="1"/>
  <c r="B12" i="1"/>
  <c r="B39" i="1" l="1"/>
  <c r="D38" i="1"/>
  <c r="B13" i="1"/>
  <c r="D12" i="1"/>
  <c r="B40" i="1" l="1"/>
  <c r="D39" i="1"/>
  <c r="B14" i="1"/>
  <c r="D13" i="1"/>
  <c r="B41" i="1" l="1"/>
  <c r="D40" i="1"/>
  <c r="B15" i="1"/>
  <c r="D14" i="1"/>
  <c r="B42" i="1" l="1"/>
  <c r="D41" i="1"/>
  <c r="B16" i="1"/>
  <c r="D15" i="1"/>
  <c r="D42" i="1" l="1"/>
  <c r="B43" i="1"/>
  <c r="D16" i="1"/>
  <c r="B17" i="1"/>
  <c r="B44" i="1" l="1"/>
  <c r="D43" i="1"/>
  <c r="D17" i="1"/>
  <c r="D18" i="1" s="1"/>
  <c r="B19" i="1"/>
  <c r="D44" i="1" l="1"/>
  <c r="D45" i="1" s="1"/>
  <c r="B46" i="1"/>
  <c r="D19" i="1"/>
  <c r="B20" i="1"/>
  <c r="B47" i="1" l="1"/>
  <c r="D46" i="1"/>
  <c r="B21" i="1"/>
  <c r="D20" i="1"/>
  <c r="D47" i="1" l="1"/>
  <c r="B48" i="1"/>
  <c r="D21" i="1"/>
  <c r="B22" i="1"/>
  <c r="D48" i="1" l="1"/>
  <c r="B49" i="1"/>
  <c r="B23" i="1"/>
  <c r="D22" i="1"/>
  <c r="D30" i="1" s="1"/>
  <c r="D49" i="1" l="1"/>
  <c r="B50" i="1"/>
  <c r="D23" i="1"/>
  <c r="B24" i="1"/>
  <c r="D50" i="1" l="1"/>
  <c r="B51" i="1"/>
  <c r="D24" i="1"/>
  <c r="B25" i="1"/>
  <c r="D51" i="1" l="1"/>
  <c r="B52" i="1"/>
  <c r="D25" i="1"/>
  <c r="B26" i="1"/>
  <c r="D52" i="1" l="1"/>
  <c r="B53" i="1"/>
  <c r="D53" i="1" s="1"/>
  <c r="B54" i="1"/>
  <c r="D54" i="1" s="1"/>
  <c r="D26" i="1"/>
  <c r="B27" i="1"/>
  <c r="B55" i="1" l="1"/>
  <c r="D27" i="1"/>
  <c r="B28" i="1"/>
  <c r="D55" i="1" l="1"/>
  <c r="B56" i="1"/>
  <c r="D28" i="1"/>
  <c r="B29" i="1"/>
  <c r="D29" i="1" s="1"/>
  <c r="D32" i="1" s="1"/>
  <c r="D56" i="1" l="1"/>
  <c r="B57" i="1"/>
  <c r="B58" i="1" l="1"/>
  <c r="B61" i="1" s="1"/>
  <c r="D61" i="1" s="1"/>
  <c r="D57" i="1"/>
  <c r="D58" i="1" l="1"/>
  <c r="D59" i="1" s="1"/>
  <c r="B63" i="1" l="1"/>
  <c r="D63" i="1" s="1"/>
  <c r="B65" i="1" l="1"/>
  <c r="B67" i="1" l="1"/>
  <c r="D67" i="1" s="1"/>
  <c r="D65" i="1"/>
  <c r="B69" i="1" l="1"/>
  <c r="B71" i="1" l="1"/>
  <c r="D69" i="1"/>
  <c r="B73" i="1" l="1"/>
  <c r="D73" i="1" s="1"/>
  <c r="D71" i="1"/>
  <c r="B75" i="1" l="1"/>
  <c r="D75" i="1" s="1"/>
  <c r="B77" i="1" l="1"/>
  <c r="D77" i="1" s="1"/>
  <c r="B79" i="1" l="1"/>
  <c r="D79" i="1" l="1"/>
  <c r="B81" i="1"/>
  <c r="D81" i="1" s="1"/>
  <c r="B83" i="1"/>
  <c r="B86" i="1" l="1"/>
  <c r="B88" i="1" s="1"/>
  <c r="D83" i="1"/>
  <c r="B90" i="1" l="1"/>
  <c r="D90" i="1" s="1"/>
  <c r="D86" i="1"/>
  <c r="C26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Edalina</author>
  </authors>
  <commentList>
    <comment ref="D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Edalina:</t>
        </r>
        <r>
          <rPr>
            <sz val="9"/>
            <color indexed="81"/>
            <rFont val="Tahoma"/>
            <family val="2"/>
          </rPr>
          <t xml:space="preserve">
INV 17157</t>
        </r>
      </text>
    </comment>
    <comment ref="F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Edalina:</t>
        </r>
        <r>
          <rPr>
            <sz val="9"/>
            <color indexed="81"/>
            <rFont val="Tahoma"/>
            <family val="2"/>
          </rPr>
          <t xml:space="preserve">
INV 17156</t>
        </r>
      </text>
    </comment>
  </commentList>
</comments>
</file>

<file path=xl/sharedStrings.xml><?xml version="1.0" encoding="utf-8"?>
<sst xmlns="http://schemas.openxmlformats.org/spreadsheetml/2006/main" count="954" uniqueCount="390">
  <si>
    <t>ANZ INTERNET BANKING FUNDS TFER TRANSFER 734110  TO  014209282218154</t>
  </si>
  <si>
    <t>ANZ INTERNET BANKING FUNDS TFER EDALINA CONTRIBUTI  DOS SANTOS E</t>
  </si>
  <si>
    <t>ANZ INTERNET BANKING FUNDS TFER VICTOR CONTRIBUTIO  DOS SANTOS V</t>
  </si>
  <si>
    <t>3 EXCESS INTERNET/ONLINE TRANSACTIONS - FEE</t>
  </si>
  <si>
    <t>1 EXCESS STAFF ASSISTED TRANSACTIONS - FEE</t>
  </si>
  <si>
    <t>1 CHEQUE OR MERCHANT DEPOSITS - FEE</t>
  </si>
  <si>
    <t>BONUS CREDIT INTEREST PAID</t>
  </si>
  <si>
    <t>CREDIT INTEREST PAID</t>
  </si>
  <si>
    <t>DEPOSIT</t>
  </si>
  <si>
    <t>ANZ INTERNET BANKING FUNDS TFER TRANSFER 593239 TO HYDO PTY LTD ATF VEDA</t>
  </si>
  <si>
    <t>EB 14245 TO 152492</t>
  </si>
  <si>
    <t>ANZ INTERNET BANKING FUNDS TFER TRANSFER 944677 TO HYDO PTY LTD ATF VEDA</t>
  </si>
  <si>
    <t>ANZ INTERNET BANKING FUNDS TFER TRANSFER 942904  FROM       515596819</t>
  </si>
  <si>
    <t>ANZ INTERNET BANKING FUNDS TFER TRANSFER 624390  FROM       515596819</t>
  </si>
  <si>
    <t>ANZ INTERNET BANKING FUNDS TFER TRANSFER 770515  FROM       282218154</t>
  </si>
  <si>
    <t>No of days</t>
  </si>
  <si>
    <t>Interest</t>
  </si>
  <si>
    <t>EDVIC DOS SANTOS SUOERANNUATION FUND</t>
  </si>
  <si>
    <t>EDVIC DOS SANTOS SUPERANNUATION FUND</t>
  </si>
  <si>
    <t>DR</t>
  </si>
  <si>
    <t>CR</t>
  </si>
  <si>
    <t>TRANSACTIONS ON BANK ACCOUNT</t>
  </si>
  <si>
    <t>Stamp duty on Lot 12 Redbank Plains</t>
  </si>
  <si>
    <t>TO HYDO PTY LTD ATF VEDA</t>
  </si>
  <si>
    <t>ANZ INTERNET BANKING FUNDS TFER TRANSFER 772701</t>
  </si>
  <si>
    <t>ANZ INTERNET BANKING FUNDS TFER TRANSFER 771617</t>
  </si>
  <si>
    <t>Loan Victor dos Santos</t>
  </si>
  <si>
    <t>FROM  AC 282218154</t>
  </si>
  <si>
    <t>FROM  AC 515596819</t>
  </si>
  <si>
    <t xml:space="preserve">Purchase Lot 12 </t>
  </si>
  <si>
    <t>CALCULATION OF INTEREST ON LOAN FROM VICTOR DOS SANTOS</t>
  </si>
  <si>
    <t>INTEREST TO 10/11/15</t>
  </si>
  <si>
    <t>LOAN REPAYMENT ANZ INTERNET BANKING FUNDS TFER TRANSFER 734110  TO  014209282218154</t>
  </si>
  <si>
    <t>BALANCE OF LOAN</t>
  </si>
  <si>
    <t>Paid 4/12/15</t>
  </si>
  <si>
    <t>Paid 10/12/15</t>
  </si>
  <si>
    <t>HYDO PTY LTD ATF VEDA TRUST</t>
  </si>
  <si>
    <t>Transfer duty</t>
  </si>
  <si>
    <t>Legal fees</t>
  </si>
  <si>
    <t>EDVIC DOS SANTOS SMSF</t>
  </si>
  <si>
    <t>HYMAN SMSF</t>
  </si>
  <si>
    <t>DOS SANTOS FAMILY TRUST</t>
  </si>
  <si>
    <t>TOTAL</t>
  </si>
  <si>
    <t>COSTS RELATING TO PURCHASE OF LOT 12 , RP22540 (754 - 774 Redbank Plains Road)</t>
  </si>
  <si>
    <t>Purchase price deposit</t>
  </si>
  <si>
    <t>Purchase price balance</t>
  </si>
  <si>
    <t>Superannuation advice</t>
  </si>
  <si>
    <t>Conveyancing deposit</t>
  </si>
  <si>
    <t>INV/DUE DATE</t>
  </si>
  <si>
    <t>Conveyancing balance</t>
  </si>
  <si>
    <t>INV 17542</t>
  </si>
  <si>
    <t>Legals deposit</t>
  </si>
  <si>
    <t>Legals balance</t>
  </si>
  <si>
    <t>INV 17348</t>
  </si>
  <si>
    <t>INV 17365</t>
  </si>
  <si>
    <t>TO ANZ BANK</t>
  </si>
  <si>
    <t>Rates contribution</t>
  </si>
  <si>
    <t>Legal fees Merthyr Law:</t>
  </si>
  <si>
    <t>Legals sub total</t>
  </si>
  <si>
    <t>Inv D5330</t>
  </si>
  <si>
    <t>Duggan Hede:</t>
  </si>
  <si>
    <t>FROM AC 515596819</t>
  </si>
  <si>
    <t>DEPOSIT FROM SUNSUPER</t>
  </si>
  <si>
    <t>Interest received ANZ</t>
  </si>
  <si>
    <t>Contribution Edalina dos Santos</t>
  </si>
  <si>
    <t>Contribution Victor dos Santos</t>
  </si>
  <si>
    <t>Rollover Victor dos Santos</t>
  </si>
  <si>
    <t>FROM DOS SANTOS E</t>
  </si>
  <si>
    <t>FROM  DOS SANTOS V</t>
  </si>
  <si>
    <t>Loan repayment Victor dos Santos</t>
  </si>
  <si>
    <t>TO AC 282218154</t>
  </si>
  <si>
    <t>2 EXCESS INTERNET/ONLINE TRANSACTIONS - FEE</t>
  </si>
  <si>
    <t>ANZ INTERNET BANKING FUNDS TFER TRANSFER 296384 TO HYDO PTY LTD ATF VEDA</t>
  </si>
  <si>
    <t>ANZ INTERNET BANKING FUNDS TFER TRANSFER 293215 TO HYDO PTY LTD ATF VEDA</t>
  </si>
  <si>
    <t>TRANSFER REFERENCE 1127024604</t>
  </si>
  <si>
    <t>ANZ INTERNET BANKING FUNDS TFER TRANSFER 642927 TO HYDO PTY LTD ATF VEDA</t>
  </si>
  <si>
    <t>Return incorrect transfer</t>
  </si>
  <si>
    <t>Incorrect transfer</t>
  </si>
  <si>
    <t>FROM HYDO PTY LTD ATF VEDA</t>
  </si>
  <si>
    <t>INV 17687</t>
  </si>
  <si>
    <t>Buildings</t>
  </si>
  <si>
    <t>Interest on loan</t>
  </si>
  <si>
    <t xml:space="preserve">Interest on loan </t>
  </si>
  <si>
    <t>TO VICTOR DOS SANTOS AC 282218154</t>
  </si>
  <si>
    <t>Inv D5408</t>
  </si>
  <si>
    <t>TO MERTHYR LAW INV 17388</t>
  </si>
  <si>
    <t>Paid 10/1/16</t>
  </si>
  <si>
    <t>ANZ INTERNET BANKING FUNDS TFER TRANSFER 905335 TO HYDO PTY LTD ATF VEDA</t>
  </si>
  <si>
    <t>ANZ INTERNET BANKING FUNDS TFER TRANSFER 216184 TO           VM DOS SANT</t>
  </si>
  <si>
    <t>ANZ INTERNET BANKING FUNDS TFER TRANSFER 839632 TO HYDO PTY LTD ATF VEDA</t>
  </si>
  <si>
    <t>ANZ INTERNET BANKING FUNDS TFER TRANSFER 423701 TO           VM DOS SANT</t>
  </si>
  <si>
    <t>ANZ INTERNET BANKING FUNDS TFER TRANSFER 142322 TO HYDO PTY LTD ATF VEDA</t>
  </si>
  <si>
    <t>ANZ INTERNET BANKING FUNDS TFER TRANSFER 170872 TO HYDO PTY LTD ATF VEDA</t>
  </si>
  <si>
    <t>Paid 20/3/16</t>
  </si>
  <si>
    <t>Paid 11/5/16</t>
  </si>
  <si>
    <t>Paid 15/2/16</t>
  </si>
  <si>
    <t>ANZ INTERNET BANKING FUNDS TFER TRANSFER 702006 TO HYDO PTY LTD ATF VEDA</t>
  </si>
  <si>
    <t>ANZ INTERNET BANKING FUNDS TFER TRANSFER 702804 TO HYDO PTY LTD ATF VEDA</t>
  </si>
  <si>
    <t>ANZ INTERNET BANKING FUNDS TFER TRANSFER 592349 TO           VM DOS SANT</t>
  </si>
  <si>
    <t>ANZ INTERNET BANKING FUNDS TFER TRANSFER 187307 TO HYDO PTY LTD ATF VEDA</t>
  </si>
  <si>
    <t>ANZ INTERNET BANKING FUNDS TFER TRANSFER 722843 TO HYDO PTY LTD ATF VEDA</t>
  </si>
  <si>
    <t>ANZ INTERNET BANKING FUNDS TFER TRANSFER 699557 TO HYDO PTY LTD ATF VEDA</t>
  </si>
  <si>
    <t>ANZ INTERNET BANKING FUNDS TFER TRANSFER 123731 TO HYDO PTY LTD ATF VEDA</t>
  </si>
  <si>
    <t>ANZ INTERNET BANKING FUNDS TFER TRANSFER 702631 TO HYDO PTY LTD ATF VEDA</t>
  </si>
  <si>
    <t>Toilets</t>
  </si>
  <si>
    <t>Paid 27/6/16</t>
  </si>
  <si>
    <t>Paid 10/10/16</t>
  </si>
  <si>
    <t>ANZ INTERNET BANKING FUNDS TFER TRANSFER 742026 TO HYDO PTY LTD ATF VEDA</t>
  </si>
  <si>
    <t>ANZ INTERNET BANKING FUNDS TFER TRANSFER 322454 TO HYDO PTY LTD ATF VEDA</t>
  </si>
  <si>
    <t>CARD ENTRY AT NEWSTEAD BRANCH</t>
  </si>
  <si>
    <t>ANZ INTERNET BANKING FUNDS TFER TRANSFER 656100 TO HYDO PTY LTD ATF VEDA</t>
  </si>
  <si>
    <t>ANZ INTERNET BANKING FUNDS TFER SUPER CONTRIBUTION  DOS SANTOS E</t>
  </si>
  <si>
    <t>ANZ INTERNET BANKING FUNDS TFER SUPER CONTRIBUTION  DOS SANTOS V</t>
  </si>
  <si>
    <t>ANZ INTERNET BANKING FUNDS TFER TRANSFER 721866 TO HYDO PTY LTD ATF VEDA</t>
  </si>
  <si>
    <t>ANZ INTERNET BANKING FUNDS TFER TRANSFER 507458 TO HYDO PTY LTD ATF VEDA</t>
  </si>
  <si>
    <t>ANZ INTERNET BANKING FUNDS TFER TRANSFER 508049 TO           VM DOS SANT</t>
  </si>
  <si>
    <t>ANZ INTERNET BANKING FUNDS TFER TRANSFER 508179 TO           VM DOS SANT</t>
  </si>
  <si>
    <t>ANZ INTERNET BANKING FUNDS TFER TRANSFER 507945 TO           VM DOS SANT</t>
  </si>
  <si>
    <t>ANZ INTERNET BANKING FUNDS TFER TRANSFER 508255 TO           VM DOS SANT</t>
  </si>
  <si>
    <t>ANZ INTERNET BANKING FUNDS TFER TRANSFER 991356 TO HYDO PTY LTD ATF VEDA</t>
  </si>
  <si>
    <t>ANZ INTERNET BANKING FUNDS TFER TRANSFER 190697 TO HYDO PTY LTD ATF VEDA</t>
  </si>
  <si>
    <t>ANZ INTERNET BANKING FUNDS TFER TRANSFER 975032 TO HYDO PTY LTD ATF VEDA</t>
  </si>
  <si>
    <t>ANZ INTERNET BANKING FUNDS TFER TRANSFER 102483 TO HYDO PTY LTD ATF VEDA</t>
  </si>
  <si>
    <t>ANZ INTERNET BANKING FUNDS TFER TRANSFER 849000 TO           VM DOS SANT</t>
  </si>
  <si>
    <t>ANZ INTERNET BANKING FUNDS TFER TRANSFER 805512 TO HYDO PTY LTD ATF VEDA</t>
  </si>
  <si>
    <t>ANZ INTERNET BANKING FUNDS TFER TRANSFER 806005 TO HYDO PTY LTD ATF VEDA</t>
  </si>
  <si>
    <t>ANZ INTERNET BANKING FUNDS TFER TRANSFER 299159 TO HYDO PTY LTD ATF VEDA</t>
  </si>
  <si>
    <t>ANZ INTERNET BANKING FUNDS TFER TRANSFER 880475 TO HYDO PTY LTD ATF VEDA</t>
  </si>
  <si>
    <t>ANZ INTERNET BANKING FUNDS TFER TRANSFER 880938 TO HYDO PTY LTD ATF VEDA</t>
  </si>
  <si>
    <t>ANZ INTERNET BANKING FUNDS TFER TRANSFER 154017 TO HYDO PTY LTD ATF VEDA</t>
  </si>
  <si>
    <t>ANZ INTERNET BANKING FUNDS TFER TRANSFER 123336 TO HYDO PTY LTD ATF VEDA</t>
  </si>
  <si>
    <t>ANZ INTERNET BANKING FUNDS TFER TRANSFER 124061 TO HYDO PTY LTD ATF VEDA</t>
  </si>
  <si>
    <t>ANZ INTERNET BANKING FUNDS TFER TRANSFER 124913 TO HYDO PTY LTD ATF VEDA</t>
  </si>
  <si>
    <t>ANZ INTERNET BANKING FUNDS TFER TRANSFER 173152 TO HYDO PTY LTD ATF VEDA</t>
  </si>
  <si>
    <t>ANZ INTERNET BANKING FUNDS TFER TRANSFER 399553 TO HYDO PTY LTD ATF VEDA</t>
  </si>
  <si>
    <t>4 EXCESS INTERNET/ONLINE TRANSACTIONS - FEE</t>
  </si>
  <si>
    <t>ANZ INTERNET BANKING FUNDS TFER TRANSFER 271660 TO HYDO PTY LTD ATF VEDA</t>
  </si>
  <si>
    <t>ANZ INTERNET BANKING FUNDS TFER TRANSFER 582632  TO  014209520833532</t>
  </si>
  <si>
    <t>ANZ INTERNET BANKING FUNDS TFER TRANSFER 583285  FROM       520833532</t>
  </si>
  <si>
    <t>ANZ INTERNET BANKING FUNDS TFER TRANSFER 706228 TO HYDO PTY LTD ATF VEDA</t>
  </si>
  <si>
    <t>ANZ INTERNET BANKING FUNDS TFER TRANSFER 368370 TO HYDO PTY LTD ATF VEDA</t>
  </si>
  <si>
    <t>ANZ INTERNET BANKING FUNDS TFER TRANSFER 222222 TO HYDO PTY LTD ATF VEDA</t>
  </si>
  <si>
    <t>ANZ INTERNET BANKING FUNDS TFER TRANSFER 224249 TO HYDO PTY LTD ATF VEDA</t>
  </si>
  <si>
    <t>ANZ INTERNET BANKING FUNDS TFER TRANSFER 302890 TO HYDO PTY LTD ATF VEDA</t>
  </si>
  <si>
    <t>ANZ INTERNET BANKING FUNDS TFER TRANSFER 303336 TO HYDO PTY LTD ATF VEDA</t>
  </si>
  <si>
    <t>ANZ INTERNET BANKING FUNDS TFER TRANSFER 915093 TO HYDO PTY LTD ATF VEDA</t>
  </si>
  <si>
    <t>ANZ INTERNET BANKING FUNDS TFER TRANSFER 616118 TO HYDO PTY LTD ATF VEDA</t>
  </si>
  <si>
    <t>ANZ INTERNET BANKING FUNDS TFER TRANSFER 767722 TO HYDO PTY LTD ATF VEDA</t>
  </si>
  <si>
    <t>INTEREST TO 30/06/16</t>
  </si>
  <si>
    <t>Bank details downloaded</t>
  </si>
  <si>
    <t>Bank charges ANZ</t>
  </si>
  <si>
    <t>TO  014209520833532</t>
  </si>
  <si>
    <t>FROM       520833532</t>
  </si>
  <si>
    <t>Duggan Hede Inv D5330</t>
  </si>
  <si>
    <t>Legal fees Merthyr Law</t>
  </si>
  <si>
    <t>DATE PAID</t>
  </si>
  <si>
    <t>Legal fees Merthyr Law Inv 17687</t>
  </si>
  <si>
    <t>Legal fees Merthyr Law Inv 17388</t>
  </si>
  <si>
    <t>Graysonline</t>
  </si>
  <si>
    <t>Buildings Graysonline</t>
  </si>
  <si>
    <t>Duggan Hede fees D5408</t>
  </si>
  <si>
    <t>Int rate adjustment</t>
  </si>
  <si>
    <t>Duggan Hede fees D5491</t>
  </si>
  <si>
    <t>Allshelter</t>
  </si>
  <si>
    <t>Valuation deposit</t>
  </si>
  <si>
    <t>Hopgood Ganim</t>
  </si>
  <si>
    <t xml:space="preserve">Duggan Hede fees </t>
  </si>
  <si>
    <t>Duggan Hede fees D5875</t>
  </si>
  <si>
    <t>Duggan Hede fees D5924/25</t>
  </si>
  <si>
    <t>JR Stephens &amp; Co Inv 45393/94</t>
  </si>
  <si>
    <t>Public Liability</t>
  </si>
  <si>
    <t>Duggan Hede fees D6025</t>
  </si>
  <si>
    <t>Green Tape Solutions</t>
  </si>
  <si>
    <t>JR Stephens &amp; Co Inv 46344</t>
  </si>
  <si>
    <t>Duggan Hede fees D6175</t>
  </si>
  <si>
    <t>Duggan Hede fees D6143</t>
  </si>
  <si>
    <t>paperwork</t>
  </si>
  <si>
    <t>ok</t>
  </si>
  <si>
    <t>Charges/Rates</t>
  </si>
  <si>
    <t>Duggan Hede fees D5433</t>
  </si>
  <si>
    <t>ANZ INTERNET BANKING FUNDS TFER TRANSFER 109223 TO HYDO PTY LTD ATF VEDA</t>
  </si>
  <si>
    <t>ANZ INTERNET BANKING FUNDS TFER TRANSFER 494459 TO HYDO PTY LTD ATF VEDA</t>
  </si>
  <si>
    <t>ANZ INTERNET BANKING FUNDS TFER TRANSFER 725792 TO HYDO PTY LTD ATF VEDA</t>
  </si>
  <si>
    <t>ANZ INTERNET BANKING FUNDS TFER TRANSFER 508976 TO HYDO PTY LTD ATF VEDA</t>
  </si>
  <si>
    <t>ANZ INTERNET BANKING FUNDS TFER TRANSFER 685972 TO HYDO PTY LTD ATF VEDA</t>
  </si>
  <si>
    <t>Reliable Al's Concreting</t>
  </si>
  <si>
    <t>Reliable L's Concreting</t>
  </si>
  <si>
    <t>Southern Qld Steel</t>
  </si>
  <si>
    <t>JCB Earthmoving</t>
  </si>
  <si>
    <t>Westside Concrete Cutting</t>
  </si>
  <si>
    <t>Geo Fabrics &amp; The Ready Twoing Group</t>
  </si>
  <si>
    <t>JR Stephens &amp; Co Inv 46416</t>
  </si>
  <si>
    <t>RMA Soils</t>
  </si>
  <si>
    <t>Duggan Hede fees D6059 &amp; 6061</t>
  </si>
  <si>
    <t>Jon Car Accountant</t>
  </si>
  <si>
    <t>Paid 2/6/17</t>
  </si>
  <si>
    <t>Paid 10/6/17</t>
  </si>
  <si>
    <t>ANZ INTERNET BANKING FUNDS TFER TRANSFER 396316 TO HYDO PTY LTD ATF VEDA</t>
  </si>
  <si>
    <t>ANZ INTERNET BANKING FUNDS TFER TRANSFER 397517 TO HYDO PTY LTD ATF VEDA</t>
  </si>
  <si>
    <t>ANZ INTERNET BANKING FUNDS TFER TRANSFER 929316 TO HYDO PTY LTD ATF VEDA</t>
  </si>
  <si>
    <t>ANZ INTERNET BANKING FUNDS TFER TRANSFER 926886 TO HYDO PTY LTD ATF VEDA</t>
  </si>
  <si>
    <t>ANZ INTERNET BANKING FUNDS TFER TRANSFER 872167 TO HYDO PTY LTD ATF VEDA</t>
  </si>
  <si>
    <t>ANZ INTERNET BANKING FUNDS TFER TRANSFER 938279 TO HYDO PTY LTD ATF VEDA</t>
  </si>
  <si>
    <t>ANZ INTERNET BANKING FUNDS TFER TRANSFER 541887 TO HYDO PTY LTD ATF VEDA</t>
  </si>
  <si>
    <t>ANZ INTERNET BANKING FUNDS TFER TRANSFER 550021 TO HYDO PTY LTD ATF VEDA</t>
  </si>
  <si>
    <t>ANZ INTERNET BANKING FUNDS TFER TRANSFER 341613 TO HYDO PTY LTD ATF VEDA</t>
  </si>
  <si>
    <t>ANZ INTERNET BANKING FUNDS TFER TRANSFER 177224 TO HYDO PTY LTD ATF VEDA</t>
  </si>
  <si>
    <t>ANZ INTERNET BANKING FUNDS TFER TRANSFER 155320 TO HYDO PTY LTD ATF VEDA</t>
  </si>
  <si>
    <t>ANZ INTERNET BANKING FUNDS TFER TRANSFER 612238 TO HYDO PTY LTD ATF VEDA</t>
  </si>
  <si>
    <t>ANZ INTERNET BANKING FUNDS TFER TRANSFER 825062 TO HYDO PTY LTD ATF VEDA</t>
  </si>
  <si>
    <t>1 EXCESS INTERNET/ONLINE TRANSACTIONS - FEE</t>
  </si>
  <si>
    <t>ANZ INTERNET BANKING FUNDS TFER TRANSFER 373818 TO HYDO PTY LTD ATF VEDA</t>
  </si>
  <si>
    <t>ANZ INTERNET BANKING FUNDS TFER TRANSFER 765747 TO HYDO PTY LTD ATF VEDA</t>
  </si>
  <si>
    <t>ø</t>
  </si>
  <si>
    <t>Transport $880.20</t>
  </si>
  <si>
    <t>Duggan Hede fees D5524</t>
  </si>
  <si>
    <t xml:space="preserve">Noise Management Services </t>
  </si>
  <si>
    <t>Duggan Hede fees D5585</t>
  </si>
  <si>
    <t>Allshelter Container</t>
  </si>
  <si>
    <t>Team Transport $1320</t>
  </si>
  <si>
    <t>Duggan Hede fees D5624</t>
  </si>
  <si>
    <t>Moreton Geotechnical Services</t>
  </si>
  <si>
    <t>Duggan Hede fees D5670</t>
  </si>
  <si>
    <t>Balance</t>
  </si>
  <si>
    <t>OK</t>
  </si>
  <si>
    <t>Subtotal</t>
  </si>
  <si>
    <t>Paid 10/3/18</t>
  </si>
  <si>
    <t>Rollover Edalina dos Santos</t>
  </si>
  <si>
    <t>Ipswich City Council valuation</t>
  </si>
  <si>
    <t>Ipswich City Council rates</t>
  </si>
  <si>
    <t>Land tax and ICC Rates</t>
  </si>
  <si>
    <t>Details of deposit/payment</t>
  </si>
  <si>
    <t>Gray's Panels</t>
  </si>
  <si>
    <t>Cartage &amp; Geofab</t>
  </si>
  <si>
    <t>Duggan Hede fees D6216</t>
  </si>
  <si>
    <t>Duggan Hede fees D6266/67</t>
  </si>
  <si>
    <t>Nugrow Metro Pty Ltd</t>
  </si>
  <si>
    <t>Peter Johnson Fencing</t>
  </si>
  <si>
    <t>Peter Johnson Fencing deposit</t>
  </si>
  <si>
    <t>Paid 10/3/18 $1387.46</t>
  </si>
  <si>
    <t>Paid 2/6/17 $636.90</t>
  </si>
  <si>
    <t>Paid 2/6/17 $455.00</t>
  </si>
  <si>
    <t>Paid 10/5/18</t>
  </si>
  <si>
    <t>Paid 26/4/18</t>
  </si>
  <si>
    <t>INTEREST TO 30/06/17</t>
  </si>
  <si>
    <t>INTEREST TO 30/06/18</t>
  </si>
  <si>
    <t>ANZ INTERNET BANKING FUNDS TFER TRANSFER 931442 TO HYDO PTY LTD ATF VEDA</t>
  </si>
  <si>
    <t>ANZ INTERNET BANKING FUNDS TFER TRANSFER 608884 TO           VM DOS SANT</t>
  </si>
  <si>
    <t>ANZ INTERNET BANKING FUNDS TFER TRANSFER 139293 TO           VM DOS SANT</t>
  </si>
  <si>
    <t>Duggan Hede fees D6313/14</t>
  </si>
  <si>
    <t>QUU  water meter</t>
  </si>
  <si>
    <t>VDS Services inv 1646</t>
  </si>
  <si>
    <t>Best Plumbing - deposit</t>
  </si>
  <si>
    <t>Best Plumbing - part pmt</t>
  </si>
  <si>
    <t>Taylor Mining - survey</t>
  </si>
  <si>
    <t>Wheely's Earthmoving</t>
  </si>
  <si>
    <t>Paid 11/6/18</t>
  </si>
  <si>
    <t>INTEREST TO 30/06/19</t>
  </si>
  <si>
    <t>Paid 26/7/18</t>
  </si>
  <si>
    <t>Paid 10/8/18</t>
  </si>
  <si>
    <t>Paid 10/9/18</t>
  </si>
  <si>
    <t>ANZ INTERNET BANKING FUNDS TFER TRANSFER 574046 TO HYDO PTY LTD ATF VEDA</t>
  </si>
  <si>
    <t>ANZ INTERNET BANKING FUNDS TFER TRANSFER 577303 TO HYDO PTY LTD ATF VEDA</t>
  </si>
  <si>
    <t>ANZ INTERNET BANKING FUNDS TFER TRANSFER 832015 TO HYDO PTY LTD ATF VEDA</t>
  </si>
  <si>
    <t>ANZ INTERNET BANKING FUNDS TFER TRANSFER 832826 TO HYDO PTY LTD ATF VEDA</t>
  </si>
  <si>
    <t>ANZ INTERNET BANKING FUNDS TFER TRANSFER 481757 TO         SENRICO PTY L</t>
  </si>
  <si>
    <t>ANZ INTERNET BANKING FUNDS TFER TRANSFER 483281 TO SUPERANNUATION AUDIT</t>
  </si>
  <si>
    <t>ANZ INTERNET BANKING BPAY TAX OFFICE PAYMENT            {147686}</t>
  </si>
  <si>
    <t>ANZ INTERNET BANKING FUNDS TFER TRANSFER 810400 TO           VM DOS SANT</t>
  </si>
  <si>
    <t>ANZ INTERNET BANKING FUNDS TFER TRANSFER 240696 TO           VM DOS SANT</t>
  </si>
  <si>
    <t>ANZ INTERNET BANKING PAYMENT 561954 TO Senrico Pty Ltd</t>
  </si>
  <si>
    <t>ANZ INTERNET BANKING PAYMENT 565220 TO Superannuation Audit Assistance</t>
  </si>
  <si>
    <t>ANZ INTERNET BANKING BPAY TAX OFFICE PAYMENT            {567363}</t>
  </si>
  <si>
    <t>ANZ INTERNET BANKING FUNDS TFER TRANSFER 707789 TO           VM DOS SANT</t>
  </si>
  <si>
    <t>TRANSFER FROM ATO              ATO008000010098323</t>
  </si>
  <si>
    <t>Paid 23/10/18</t>
  </si>
  <si>
    <t>Paid 10/11/18</t>
  </si>
  <si>
    <t>Paid 10/12/18</t>
  </si>
  <si>
    <t>169.016.5</t>
  </si>
  <si>
    <t>Paid 10/1/19</t>
  </si>
  <si>
    <t>Paid 10/2/19</t>
  </si>
  <si>
    <t>Paid 10/3/19</t>
  </si>
  <si>
    <t>SUPERANNUATION AUDIT ASSISTANCE</t>
  </si>
  <si>
    <t>SENRICO PTY LTD</t>
  </si>
  <si>
    <t>Accounting fee 2015.16</t>
  </si>
  <si>
    <t xml:space="preserve">2016 Tax </t>
  </si>
  <si>
    <t xml:space="preserve">SGC V dos Santos </t>
  </si>
  <si>
    <t>Accounting fee 2016.17</t>
  </si>
  <si>
    <t>Audit Fee 2017</t>
  </si>
  <si>
    <t>Audit Fee 2016</t>
  </si>
  <si>
    <t xml:space="preserve">2017 Tax </t>
  </si>
  <si>
    <t xml:space="preserve">BPAY TAX OFFICE PAYMENT </t>
  </si>
  <si>
    <t xml:space="preserve">BPAY TAX OFFICE PAYMENT  </t>
  </si>
  <si>
    <t>Paid 13/4/19</t>
  </si>
  <si>
    <t>Paid 10/5/19</t>
  </si>
  <si>
    <t>Paid 10/6/19</t>
  </si>
  <si>
    <t>LOAN REPAYMENT</t>
  </si>
  <si>
    <t>ANZ INTERNET BANKING PAYMENT 188179 TO VM Dos Santos</t>
  </si>
  <si>
    <t>ANZ INTERNET BANKING PAYMENT 677569 TO VM Dos Santos</t>
  </si>
  <si>
    <t>ANZ INTERNET BANKING PAYMENT 814787 TO VM Dos Santos</t>
  </si>
  <si>
    <t>ANZ INTERNET BANKING PAYMENT 404177 TO VM Dos Santos</t>
  </si>
  <si>
    <t>ANZ INTERNET BANKING PAYMENT 619092 TO VM Dos Santos</t>
  </si>
  <si>
    <t>ANZ INTERNET BANKING PAYMENT 916912 TO VM Dos Santos</t>
  </si>
  <si>
    <t>ANZ INTERNET BANKING PAYMENT 513471 TO VM Dos Santos</t>
  </si>
  <si>
    <t>ANZ INTERNET BANKING PAYMENT 506057 TO VM Dos Santos</t>
  </si>
  <si>
    <t>BEST</t>
  </si>
  <si>
    <t>VICTOR SGC VDS SERVICES</t>
  </si>
  <si>
    <t>ANZ INTERNET BANKING FUNDS TFER VICTOR SGC VDS SERVICES</t>
  </si>
  <si>
    <t>VDS Services inv 1684</t>
  </si>
  <si>
    <t>DSFT</t>
  </si>
  <si>
    <t>Final</t>
  </si>
  <si>
    <t xml:space="preserve">2018 Tax </t>
  </si>
  <si>
    <t>ANZ INTERNET BANKING PAYMENT TO VM Dos Santos</t>
  </si>
  <si>
    <t>Loan repayment</t>
  </si>
  <si>
    <t>Audit Fee 2018</t>
  </si>
  <si>
    <t>Accounting fee 2017.18</t>
  </si>
  <si>
    <t>Interest on loan - RATE ADJUSTMENT</t>
  </si>
  <si>
    <t>SSA May 2019 V dos Santos</t>
  </si>
  <si>
    <t>MAY SSA VDOSSANTOS VDS SERVICES</t>
  </si>
  <si>
    <t>CHECK INTEREST RATE</t>
  </si>
  <si>
    <t>ANZ INTERNET BANKING PAYMENT 397659 TO VM Dos Santos</t>
  </si>
  <si>
    <t>ANZ INTERNET BANKING PAYMENT 396753 TO VM Dos Santos</t>
  </si>
  <si>
    <t>ANZ INTERNET BANKING PAYMENT 497462 TO VM Dos Santos</t>
  </si>
  <si>
    <t>ANZ INTERNET BANKING PAYMENT 497267 TO VM Dos Santos</t>
  </si>
  <si>
    <t>ANZ INTERNET BANKING PAYMENT 887694 TO VM Dos Santos</t>
  </si>
  <si>
    <t>ANZ INTERNET BANKING PAYMENT 887639 TO VM Dos Santos</t>
  </si>
  <si>
    <t>PAYMENT FROM VDS Services Pty</t>
  </si>
  <si>
    <t>SSA June 2019 V dos Santos</t>
  </si>
  <si>
    <t>Paid 10/10/19</t>
  </si>
  <si>
    <t>Paid 11/09/19</t>
  </si>
  <si>
    <t>Paid 10/7/19</t>
  </si>
  <si>
    <t>Paid 16/8/19</t>
  </si>
  <si>
    <t>ATO Co-contribution V dos Santos</t>
  </si>
  <si>
    <t xml:space="preserve">V dos Santos </t>
  </si>
  <si>
    <t>ANZ INTERNET BANKING PAYMENT 111113 TO VM Dos Santos</t>
  </si>
  <si>
    <t>ANZ INTERNET BANKING PAYMENT 112095 TO VM Dos Santos</t>
  </si>
  <si>
    <t>Totals for year</t>
  </si>
  <si>
    <t>Accounting &amp; audit</t>
  </si>
  <si>
    <t>Tax</t>
  </si>
  <si>
    <t>2018/2019</t>
  </si>
  <si>
    <t>2017/2018</t>
  </si>
  <si>
    <t>2019/2020</t>
  </si>
  <si>
    <t>2016/2017</t>
  </si>
  <si>
    <t>2015/2016</t>
  </si>
  <si>
    <t>SGC/SSA &amp; Co-contr</t>
  </si>
  <si>
    <t>Investment in HYDO Pty Ltd</t>
  </si>
  <si>
    <t>Payments to HYDO 2015-2016</t>
  </si>
  <si>
    <t>Payments to HYDO 2016-2017</t>
  </si>
  <si>
    <t>Payments to HYDO 2017-2018</t>
  </si>
  <si>
    <t>Payments to HYDO 2018-2019</t>
  </si>
  <si>
    <t>Paid 11/11/19</t>
  </si>
  <si>
    <t>Paid 9/2/20</t>
  </si>
  <si>
    <t>Paid 10/1/20</t>
  </si>
  <si>
    <t>Paid 10/12/19</t>
  </si>
  <si>
    <t xml:space="preserve">ANZ INTERNET BANKING PAYMENT 658136 TO VM Dos Santos </t>
  </si>
  <si>
    <t xml:space="preserve">ANZ INTERNET BANKING PAYMENT 659232 TO VM Dos Santos </t>
  </si>
  <si>
    <t xml:space="preserve">ANZ INTERNET BANKING FUNDS TFER POST TAX CONTR      EDALINADOSSANTOS </t>
  </si>
  <si>
    <t xml:space="preserve">ANZ INTERNET BANKING PAYMENT 592548 TO VM Dos Santos </t>
  </si>
  <si>
    <t xml:space="preserve">ANZ INTERNET BANKING PAYMENT 592595 TO VM Dos Santos </t>
  </si>
  <si>
    <t xml:space="preserve">ANZ INTERNET BANKING PAYMENT 209053 TO VM Dos Santos </t>
  </si>
  <si>
    <t xml:space="preserve">ANZ INTERNET BANKING PAYMENT 208515 TO VM Dos Santos </t>
  </si>
  <si>
    <t>Paid 10/3/20</t>
  </si>
  <si>
    <t>Paid 9/4/20</t>
  </si>
  <si>
    <t>Paid 12/5/20</t>
  </si>
  <si>
    <t>Paid 15/8/20</t>
  </si>
  <si>
    <t>ANZ INTERNET BANKING PAYMENT 917026 TO VM Dos Santos</t>
  </si>
  <si>
    <t>ANZ INTERNET BANKING PAYMENT 917255 TO VM Dos Santos</t>
  </si>
  <si>
    <t>ANZ INTERNET BANKING PAYMENT 236061 TO Senrico Pty Ltd</t>
  </si>
  <si>
    <t>ANZ INTERNET BANKING PAYMENT 237935 TO Super Audits</t>
  </si>
  <si>
    <t>ANZ INTERNET BANKING BPAY TAX OFFICE PAYMENT            {655570}</t>
  </si>
  <si>
    <t>PAYMENT FROM EdalinaDosSantos</t>
  </si>
  <si>
    <t>ANZ INTERNET BANKING PAYMENT 266274 TO VM Dos Santos</t>
  </si>
  <si>
    <t>ANZ INTERNET BANKING PAYMENT 265300 TO VM Dos Santos</t>
  </si>
  <si>
    <t>ANZ INTERNET BANKING FUNDS TFER POST TAX CONTR      VICTOR DOSSANTOS</t>
  </si>
  <si>
    <t>ANZ INTERNET BANKING PAYMENT 785062 TO VM Dos Santos</t>
  </si>
  <si>
    <t>ANZ INTERNET BANKING PAYMENT 234578 TO VM Dos Santos</t>
  </si>
  <si>
    <t>ANZ INTERNET BANKING PAYMENT 815311 TO VM Dos Santos</t>
  </si>
  <si>
    <t>ANZ INTERNET BANKING PAYMENT 845458 TO VM Dos Santos</t>
  </si>
  <si>
    <t>ANZ INTERNET BANKING PAYMENT 450631 TO VM Dos Santos</t>
  </si>
  <si>
    <t>Audit Fee 2019</t>
  </si>
  <si>
    <t>Accounting Fee 2019</t>
  </si>
  <si>
    <t>2019 Tax</t>
  </si>
  <si>
    <t>Edalina Dos Santos</t>
  </si>
  <si>
    <t>2020/2021</t>
  </si>
  <si>
    <t>Payments to HYDO 2019-2020</t>
  </si>
  <si>
    <t xml:space="preserve">E dos Santos </t>
  </si>
  <si>
    <t>ANZ INTERNET BANKING PAYMENT 529948 TO VM Dos Santos</t>
  </si>
  <si>
    <t>ANZ INTERNET BANKING PAYMENT 534940 TO VM Dos Santos</t>
  </si>
  <si>
    <t>ANZ INTERNET BANKING PAYMENT 400283 TO VM Dos Santos</t>
  </si>
  <si>
    <t>ANZ INTERNET BANKING PAYMENT 296380 TO VM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</si>
</sst>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1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0" xfId="0" applyBorder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43" fontId="0" fillId="0" borderId="0" xfId="42" applyFont="1"/>
    <xf numFmtId="43" fontId="0" fillId="0" borderId="12" xfId="42" applyFont="1" applyBorder="1"/>
    <xf numFmtId="43" fontId="0" fillId="0" borderId="0" xfId="42" applyFont="1" applyBorder="1"/>
    <xf numFmtId="43" fontId="0" fillId="0" borderId="0" xfId="42" applyFont="1" applyFill="1" applyBorder="1"/>
    <xf numFmtId="0" fontId="16" fillId="0" borderId="0" xfId="0" applyFont="1"/>
    <xf numFmtId="2" fontId="0" fillId="0" borderId="11" xfId="0" applyNumberFormat="1" applyBorder="1"/>
    <xf numFmtId="43" fontId="0" fillId="0" borderId="13" xfId="42" applyFont="1" applyBorder="1"/>
    <xf numFmtId="43" fontId="0" fillId="0" borderId="14" xfId="42" applyFont="1" applyBorder="1"/>
    <xf numFmtId="43" fontId="0" fillId="0" borderId="15" xfId="42" applyFont="1" applyBorder="1"/>
    <xf numFmtId="14" fontId="0" fillId="33" borderId="0" xfId="0" applyNumberFormat="1" applyFill="1"/>
    <xf numFmtId="0" fontId="0" fillId="33" borderId="0" xfId="0" applyFill="1"/>
    <xf numFmtId="43" fontId="0" fillId="0" borderId="0" xfId="0" applyNumberFormat="1"/>
    <xf numFmtId="43" fontId="0" fillId="34" borderId="0" xfId="0" applyNumberFormat="1" applyFill="1"/>
    <xf numFmtId="43" fontId="0" fillId="34" borderId="0" xfId="42" applyFont="1" applyFill="1"/>
    <xf numFmtId="43" fontId="0" fillId="34" borderId="12" xfId="42" applyFont="1" applyFill="1" applyBorder="1"/>
    <xf numFmtId="0" fontId="0" fillId="34" borderId="0" xfId="0" applyFill="1"/>
    <xf numFmtId="43" fontId="0" fillId="0" borderId="0" xfId="42" applyFont="1" applyFill="1"/>
    <xf numFmtId="0" fontId="0" fillId="0" borderId="0" xfId="0" applyFill="1"/>
    <xf numFmtId="14" fontId="16" fillId="0" borderId="0" xfId="0" applyNumberFormat="1" applyFont="1"/>
    <xf numFmtId="43" fontId="16" fillId="0" borderId="12" xfId="0" applyNumberFormat="1" applyFont="1" applyBorder="1"/>
    <xf numFmtId="43" fontId="16" fillId="0" borderId="0" xfId="42" applyFont="1"/>
    <xf numFmtId="43" fontId="16" fillId="0" borderId="0" xfId="0" applyNumberFormat="1" applyFont="1"/>
    <xf numFmtId="0" fontId="0" fillId="35" borderId="0" xfId="0" applyFill="1"/>
    <xf numFmtId="0" fontId="0" fillId="37" borderId="0" xfId="0" applyFill="1"/>
    <xf numFmtId="2" fontId="0" fillId="36" borderId="0" xfId="0" applyNumberFormat="1" applyFill="1"/>
    <xf numFmtId="2" fontId="0" fillId="0" borderId="0" xfId="0" applyNumberFormat="1" applyFill="1"/>
    <xf numFmtId="2" fontId="0" fillId="0" borderId="0" xfId="0" applyNumberFormat="1"/>
    <xf numFmtId="14" fontId="0" fillId="0" borderId="0" xfId="0" applyNumberFormat="1" applyFill="1"/>
    <xf numFmtId="0" fontId="17" fillId="0" borderId="0" xfId="0" applyFont="1"/>
    <xf numFmtId="14" fontId="17" fillId="0" borderId="0" xfId="0" applyNumberFormat="1" applyFont="1"/>
    <xf numFmtId="0" fontId="0" fillId="38" borderId="0" xfId="0" applyFill="1"/>
    <xf numFmtId="14" fontId="20" fillId="33" borderId="0" xfId="0" applyNumberFormat="1" applyFont="1" applyFill="1"/>
    <xf numFmtId="14" fontId="20" fillId="39" borderId="0" xfId="0" applyNumberFormat="1" applyFont="1" applyFill="1"/>
    <xf numFmtId="0" fontId="0" fillId="39" borderId="0" xfId="0" applyFill="1"/>
    <xf numFmtId="43" fontId="0" fillId="40" borderId="16" xfId="0" applyNumberFormat="1" applyFill="1" applyBorder="1"/>
    <xf numFmtId="0" fontId="0" fillId="40" borderId="17" xfId="0" applyFill="1" applyBorder="1"/>
    <xf numFmtId="0" fontId="0" fillId="40" borderId="18" xfId="0" applyFill="1" applyBorder="1"/>
    <xf numFmtId="43" fontId="0" fillId="40" borderId="19" xfId="0" applyNumberFormat="1" applyFill="1" applyBorder="1"/>
    <xf numFmtId="0" fontId="0" fillId="40" borderId="0" xfId="0" applyFill="1" applyBorder="1"/>
    <xf numFmtId="0" fontId="0" fillId="40" borderId="20" xfId="0" applyFill="1" applyBorder="1"/>
    <xf numFmtId="43" fontId="16" fillId="40" borderId="21" xfId="0" applyNumberFormat="1" applyFont="1" applyFill="1" applyBorder="1"/>
    <xf numFmtId="0" fontId="0" fillId="40" borderId="22" xfId="0" applyFill="1" applyBorder="1"/>
    <xf numFmtId="0" fontId="0" fillId="40" borderId="23" xfId="0" applyFill="1" applyBorder="1"/>
    <xf numFmtId="0" fontId="16" fillId="41" borderId="0" xfId="0" applyFont="1" applyFill="1"/>
    <xf numFmtId="0" fontId="0" fillId="41" borderId="0" xfId="0" applyFill="1"/>
    <xf numFmtId="2" fontId="0" fillId="41" borderId="0" xfId="0" applyNumberFormat="1" applyFill="1"/>
    <xf numFmtId="43" fontId="0" fillId="41" borderId="0" xfId="0" applyNumberFormat="1" applyFill="1"/>
    <xf numFmtId="43" fontId="16" fillId="41" borderId="12" xfId="0" applyNumberFormat="1" applyFont="1" applyFill="1" applyBorder="1"/>
    <xf numFmtId="0" fontId="0" fillId="41" borderId="0" xfId="0" applyFill="1" applyAlignment="1">
      <alignment wrapText="1"/>
    </xf>
    <xf numFmtId="43" fontId="16" fillId="0" borderId="0" xfId="0" applyNumberFormat="1" applyFont="1" applyBorder="1"/>
    <xf numFmtId="43" fontId="16" fillId="0" borderId="0" xfId="0" applyNumberFormat="1" applyFont="1" applyFill="1" applyBorder="1"/>
    <xf numFmtId="0" fontId="0" fillId="0" borderId="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60</xdr:row>
      <xdr:rowOff>142875</xdr:rowOff>
    </xdr:from>
    <xdr:to>
      <xdr:col>7</xdr:col>
      <xdr:colOff>132709</xdr:colOff>
      <xdr:row>79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408554-0300-4B55-939F-901A7B9C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1668125"/>
          <a:ext cx="5123809" cy="3619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1"/>
  <sheetViews>
    <sheetView zoomScaleNormal="100" workbookViewId="0">
      <pane ySplit="3" topLeftCell="A209" activePane="bottomLeft" state="frozen"/>
      <selection pane="bottomLeft" activeCell="C292" sqref="C292"/>
    </sheetView>
  </sheetViews>
  <sheetFormatPr defaultRowHeight="15" x14ac:dyDescent="0.25"/>
  <cols>
    <col min="1" max="1" width="12.140625" customWidth="1"/>
    <col min="2" max="2" width="11.5703125" bestFit="1" customWidth="1"/>
    <col min="3" max="3" width="12.140625" customWidth="1"/>
    <col min="4" max="4" width="11.5703125" bestFit="1" customWidth="1"/>
    <col min="5" max="5" width="34" bestFit="1" customWidth="1"/>
    <col min="6" max="6" width="76" bestFit="1" customWidth="1"/>
    <col min="7" max="7" width="0" hidden="1" customWidth="1"/>
    <col min="8" max="8" width="10.7109375" bestFit="1" customWidth="1"/>
    <col min="15" max="16" width="10.7109375" bestFit="1" customWidth="1"/>
  </cols>
  <sheetData>
    <row r="1" spans="1:7" x14ac:dyDescent="0.25">
      <c r="A1" t="s">
        <v>18</v>
      </c>
    </row>
    <row r="2" spans="1:7" x14ac:dyDescent="0.25">
      <c r="A2" t="s">
        <v>21</v>
      </c>
    </row>
    <row r="3" spans="1:7" x14ac:dyDescent="0.25">
      <c r="B3" t="s">
        <v>19</v>
      </c>
      <c r="C3" t="s">
        <v>20</v>
      </c>
      <c r="D3" t="s">
        <v>176</v>
      </c>
      <c r="E3" t="s">
        <v>231</v>
      </c>
      <c r="G3" t="s">
        <v>149</v>
      </c>
    </row>
    <row r="4" spans="1:7" ht="26.25" x14ac:dyDescent="0.4">
      <c r="A4" s="40" t="s">
        <v>343</v>
      </c>
      <c r="B4" s="41"/>
    </row>
    <row r="5" spans="1:7" x14ac:dyDescent="0.25">
      <c r="A5" s="1">
        <v>42289</v>
      </c>
      <c r="B5" s="8">
        <v>6500</v>
      </c>
      <c r="C5" s="8"/>
      <c r="D5" t="s">
        <v>177</v>
      </c>
      <c r="E5" t="s">
        <v>26</v>
      </c>
      <c r="F5" t="s">
        <v>27</v>
      </c>
      <c r="G5" t="s">
        <v>14</v>
      </c>
    </row>
    <row r="6" spans="1:7" x14ac:dyDescent="0.25">
      <c r="A6" s="1">
        <v>42289</v>
      </c>
      <c r="B6" s="8"/>
      <c r="C6" s="8">
        <v>6225.45</v>
      </c>
      <c r="D6" t="s">
        <v>177</v>
      </c>
      <c r="E6" t="s">
        <v>22</v>
      </c>
      <c r="F6" t="s">
        <v>23</v>
      </c>
      <c r="G6" t="s">
        <v>25</v>
      </c>
    </row>
    <row r="7" spans="1:7" x14ac:dyDescent="0.25">
      <c r="A7" s="1">
        <v>42289</v>
      </c>
      <c r="B7" s="8"/>
      <c r="C7" s="8">
        <v>50</v>
      </c>
      <c r="D7" t="s">
        <v>177</v>
      </c>
      <c r="E7" t="s">
        <v>178</v>
      </c>
      <c r="F7" t="s">
        <v>23</v>
      </c>
      <c r="G7" t="s">
        <v>24</v>
      </c>
    </row>
    <row r="8" spans="1:7" x14ac:dyDescent="0.25">
      <c r="A8" s="1">
        <v>42296</v>
      </c>
      <c r="B8" s="8">
        <v>166750</v>
      </c>
      <c r="C8" s="8"/>
      <c r="E8" t="s">
        <v>26</v>
      </c>
      <c r="F8" t="s">
        <v>28</v>
      </c>
      <c r="G8" t="s">
        <v>13</v>
      </c>
    </row>
    <row r="9" spans="1:7" x14ac:dyDescent="0.25">
      <c r="A9" s="1">
        <v>42297</v>
      </c>
      <c r="B9" s="8"/>
      <c r="C9" s="8">
        <f>SUM(C10:C12)</f>
        <v>169044.5</v>
      </c>
    </row>
    <row r="10" spans="1:7" x14ac:dyDescent="0.25">
      <c r="A10" s="1">
        <v>42297</v>
      </c>
      <c r="B10" s="8"/>
      <c r="C10" s="14">
        <v>166750</v>
      </c>
      <c r="D10" t="s">
        <v>177</v>
      </c>
      <c r="E10" t="s">
        <v>29</v>
      </c>
      <c r="F10" t="s">
        <v>23</v>
      </c>
      <c r="G10" t="s">
        <v>10</v>
      </c>
    </row>
    <row r="11" spans="1:7" x14ac:dyDescent="0.25">
      <c r="A11" s="1">
        <v>42297</v>
      </c>
      <c r="B11" s="8"/>
      <c r="C11" s="15">
        <v>2266.5</v>
      </c>
      <c r="D11" t="s">
        <v>177</v>
      </c>
      <c r="E11" t="s">
        <v>154</v>
      </c>
      <c r="F11" t="s">
        <v>23</v>
      </c>
      <c r="G11" t="s">
        <v>10</v>
      </c>
    </row>
    <row r="12" spans="1:7" x14ac:dyDescent="0.25">
      <c r="A12" s="1">
        <v>42297</v>
      </c>
      <c r="B12" s="8"/>
      <c r="C12" s="16">
        <v>28</v>
      </c>
      <c r="D12" t="s">
        <v>177</v>
      </c>
      <c r="E12" t="s">
        <v>150</v>
      </c>
      <c r="F12" t="s">
        <v>55</v>
      </c>
      <c r="G12" t="s">
        <v>10</v>
      </c>
    </row>
    <row r="13" spans="1:7" x14ac:dyDescent="0.25">
      <c r="A13" s="1">
        <v>42297</v>
      </c>
      <c r="B13" s="8"/>
      <c r="C13" s="8">
        <f>SUM(C14:C15)</f>
        <v>891</v>
      </c>
      <c r="G13" t="s">
        <v>11</v>
      </c>
    </row>
    <row r="14" spans="1:7" x14ac:dyDescent="0.25">
      <c r="A14" s="1">
        <v>42297</v>
      </c>
      <c r="B14" s="8"/>
      <c r="C14" s="14">
        <v>445.5</v>
      </c>
      <c r="D14" t="s">
        <v>177</v>
      </c>
      <c r="E14" t="s">
        <v>38</v>
      </c>
      <c r="F14" t="s">
        <v>23</v>
      </c>
    </row>
    <row r="15" spans="1:7" x14ac:dyDescent="0.25">
      <c r="A15" s="1">
        <v>42297</v>
      </c>
      <c r="B15" s="8"/>
      <c r="C15" s="16">
        <v>445.5</v>
      </c>
      <c r="D15" t="s">
        <v>177</v>
      </c>
      <c r="E15" t="s">
        <v>153</v>
      </c>
      <c r="F15" t="s">
        <v>23</v>
      </c>
    </row>
    <row r="16" spans="1:7" x14ac:dyDescent="0.25">
      <c r="A16" s="1">
        <v>42297</v>
      </c>
      <c r="B16" s="8">
        <v>11750</v>
      </c>
      <c r="C16" s="8"/>
      <c r="D16" t="s">
        <v>176</v>
      </c>
      <c r="E16" t="s">
        <v>26</v>
      </c>
      <c r="F16" t="s">
        <v>61</v>
      </c>
      <c r="G16" t="s">
        <v>12</v>
      </c>
    </row>
    <row r="17" spans="1:7" x14ac:dyDescent="0.25">
      <c r="A17" s="1">
        <v>42299</v>
      </c>
      <c r="B17" s="8"/>
      <c r="C17" s="8">
        <v>625</v>
      </c>
      <c r="D17" t="s">
        <v>177</v>
      </c>
      <c r="E17" t="s">
        <v>153</v>
      </c>
      <c r="F17" t="s">
        <v>23</v>
      </c>
      <c r="G17" t="s">
        <v>9</v>
      </c>
    </row>
    <row r="18" spans="1:7" x14ac:dyDescent="0.25">
      <c r="A18" s="1">
        <v>42304</v>
      </c>
      <c r="B18" s="8">
        <v>190000</v>
      </c>
      <c r="C18" s="8"/>
      <c r="D18" t="s">
        <v>177</v>
      </c>
      <c r="E18" t="s">
        <v>66</v>
      </c>
      <c r="F18" t="s">
        <v>62</v>
      </c>
      <c r="G18" t="s">
        <v>8</v>
      </c>
    </row>
    <row r="19" spans="1:7" x14ac:dyDescent="0.25">
      <c r="A19" s="1">
        <v>42307</v>
      </c>
      <c r="B19" s="8"/>
      <c r="C19" s="8">
        <v>4.8</v>
      </c>
      <c r="D19" t="s">
        <v>177</v>
      </c>
      <c r="E19" t="s">
        <v>150</v>
      </c>
      <c r="F19" t="s">
        <v>3</v>
      </c>
      <c r="G19" t="s">
        <v>3</v>
      </c>
    </row>
    <row r="20" spans="1:7" x14ac:dyDescent="0.25">
      <c r="A20" s="1">
        <v>42307</v>
      </c>
      <c r="B20" s="8"/>
      <c r="C20" s="8">
        <v>1.6</v>
      </c>
      <c r="D20" t="s">
        <v>177</v>
      </c>
      <c r="E20" t="s">
        <v>150</v>
      </c>
      <c r="F20" t="s">
        <v>4</v>
      </c>
      <c r="G20" t="s">
        <v>4</v>
      </c>
    </row>
    <row r="21" spans="1:7" x14ac:dyDescent="0.25">
      <c r="A21" s="1">
        <v>42307</v>
      </c>
      <c r="B21" s="8"/>
      <c r="C21" s="8">
        <v>1.6</v>
      </c>
      <c r="D21" t="s">
        <v>177</v>
      </c>
      <c r="E21" t="s">
        <v>150</v>
      </c>
      <c r="F21" t="s">
        <v>5</v>
      </c>
      <c r="G21" t="s">
        <v>5</v>
      </c>
    </row>
    <row r="22" spans="1:7" x14ac:dyDescent="0.25">
      <c r="A22" s="1">
        <v>42307</v>
      </c>
      <c r="B22" s="8">
        <v>25.83</v>
      </c>
      <c r="C22" s="8"/>
      <c r="D22" t="s">
        <v>177</v>
      </c>
      <c r="E22" t="s">
        <v>63</v>
      </c>
      <c r="F22" t="s">
        <v>6</v>
      </c>
      <c r="G22" t="s">
        <v>6</v>
      </c>
    </row>
    <row r="23" spans="1:7" x14ac:dyDescent="0.25">
      <c r="A23" s="1">
        <v>42307</v>
      </c>
      <c r="B23" s="8">
        <v>17.96</v>
      </c>
      <c r="C23" s="8"/>
      <c r="D23" t="s">
        <v>177</v>
      </c>
      <c r="E23" t="s">
        <v>63</v>
      </c>
      <c r="F23" t="s">
        <v>7</v>
      </c>
      <c r="G23" t="s">
        <v>7</v>
      </c>
    </row>
    <row r="24" spans="1:7" x14ac:dyDescent="0.25">
      <c r="A24" s="1">
        <v>42310</v>
      </c>
      <c r="B24" s="21">
        <v>10</v>
      </c>
      <c r="C24" s="21"/>
      <c r="D24" s="23" t="s">
        <v>176</v>
      </c>
      <c r="E24" t="s">
        <v>64</v>
      </c>
      <c r="F24" t="s">
        <v>67</v>
      </c>
      <c r="G24" t="s">
        <v>1</v>
      </c>
    </row>
    <row r="25" spans="1:7" x14ac:dyDescent="0.25">
      <c r="A25" s="1">
        <v>42310</v>
      </c>
      <c r="B25" s="21">
        <v>10</v>
      </c>
      <c r="C25" s="21"/>
      <c r="D25" s="23" t="s">
        <v>176</v>
      </c>
      <c r="E25" t="s">
        <v>65</v>
      </c>
      <c r="F25" t="s">
        <v>68</v>
      </c>
      <c r="G25" t="s">
        <v>2</v>
      </c>
    </row>
    <row r="26" spans="1:7" x14ac:dyDescent="0.25">
      <c r="A26" s="1">
        <v>42318</v>
      </c>
      <c r="B26" s="8"/>
      <c r="C26" s="8">
        <v>150000</v>
      </c>
      <c r="D26" t="s">
        <v>177</v>
      </c>
      <c r="E26" t="s">
        <v>69</v>
      </c>
      <c r="F26" t="s">
        <v>70</v>
      </c>
      <c r="G26" t="s">
        <v>0</v>
      </c>
    </row>
    <row r="27" spans="1:7" x14ac:dyDescent="0.25">
      <c r="A27" s="1">
        <v>42328</v>
      </c>
      <c r="B27" s="8"/>
      <c r="C27" s="8">
        <v>6827.7</v>
      </c>
      <c r="D27" t="s">
        <v>213</v>
      </c>
      <c r="E27" t="s">
        <v>77</v>
      </c>
      <c r="F27" t="s">
        <v>23</v>
      </c>
      <c r="G27" t="s">
        <v>75</v>
      </c>
    </row>
    <row r="28" spans="1:7" x14ac:dyDescent="0.25">
      <c r="A28" s="1">
        <v>42335</v>
      </c>
      <c r="B28" s="8">
        <v>6827.7</v>
      </c>
      <c r="C28" s="8"/>
      <c r="D28" t="s">
        <v>213</v>
      </c>
      <c r="E28" t="s">
        <v>76</v>
      </c>
      <c r="F28" t="s">
        <v>78</v>
      </c>
      <c r="G28" t="s">
        <v>74</v>
      </c>
    </row>
    <row r="29" spans="1:7" x14ac:dyDescent="0.25">
      <c r="A29" s="1">
        <v>42338</v>
      </c>
      <c r="B29" s="8"/>
      <c r="C29" s="8">
        <v>3.2</v>
      </c>
      <c r="D29" t="s">
        <v>177</v>
      </c>
      <c r="E29" t="s">
        <v>150</v>
      </c>
      <c r="F29" t="s">
        <v>71</v>
      </c>
      <c r="G29" t="s">
        <v>71</v>
      </c>
    </row>
    <row r="30" spans="1:7" x14ac:dyDescent="0.25">
      <c r="A30" s="1">
        <v>42338</v>
      </c>
      <c r="B30" s="8">
        <v>67.88</v>
      </c>
      <c r="C30" s="8"/>
      <c r="D30" t="s">
        <v>177</v>
      </c>
      <c r="E30" t="s">
        <v>63</v>
      </c>
      <c r="F30" t="s">
        <v>7</v>
      </c>
      <c r="G30" t="s">
        <v>7</v>
      </c>
    </row>
    <row r="31" spans="1:7" x14ac:dyDescent="0.25">
      <c r="A31" s="1">
        <v>42338</v>
      </c>
      <c r="B31" s="8">
        <v>99.09</v>
      </c>
      <c r="C31" s="8"/>
      <c r="D31" t="s">
        <v>177</v>
      </c>
      <c r="E31" t="s">
        <v>63</v>
      </c>
      <c r="F31" t="s">
        <v>6</v>
      </c>
      <c r="G31" t="s">
        <v>6</v>
      </c>
    </row>
    <row r="32" spans="1:7" x14ac:dyDescent="0.25">
      <c r="A32" s="1">
        <v>42338</v>
      </c>
      <c r="B32" s="8"/>
      <c r="C32" s="8">
        <v>6660</v>
      </c>
      <c r="D32" t="s">
        <v>177</v>
      </c>
      <c r="E32" t="s">
        <v>159</v>
      </c>
      <c r="F32" t="s">
        <v>23</v>
      </c>
      <c r="G32" t="s">
        <v>72</v>
      </c>
    </row>
    <row r="33" spans="1:7" x14ac:dyDescent="0.25">
      <c r="A33" s="1">
        <v>42338</v>
      </c>
      <c r="B33" s="8"/>
      <c r="C33" s="8">
        <v>577.70000000000005</v>
      </c>
      <c r="D33" t="s">
        <v>177</v>
      </c>
      <c r="E33" t="s">
        <v>156</v>
      </c>
      <c r="F33" t="s">
        <v>23</v>
      </c>
      <c r="G33" t="s">
        <v>73</v>
      </c>
    </row>
    <row r="34" spans="1:7" x14ac:dyDescent="0.25">
      <c r="A34" s="1">
        <v>42342</v>
      </c>
      <c r="B34" s="8"/>
      <c r="C34" s="8">
        <v>573.38</v>
      </c>
      <c r="D34" t="s">
        <v>177</v>
      </c>
      <c r="E34" t="s">
        <v>160</v>
      </c>
      <c r="F34" t="s">
        <v>23</v>
      </c>
    </row>
    <row r="35" spans="1:7" x14ac:dyDescent="0.25">
      <c r="A35" s="1">
        <v>42342</v>
      </c>
      <c r="B35" s="8"/>
      <c r="C35" s="8">
        <v>612.75</v>
      </c>
      <c r="D35" t="s">
        <v>177</v>
      </c>
      <c r="E35" t="s">
        <v>81</v>
      </c>
      <c r="F35" t="s">
        <v>83</v>
      </c>
    </row>
    <row r="36" spans="1:7" x14ac:dyDescent="0.25">
      <c r="A36" s="1">
        <v>42342</v>
      </c>
      <c r="B36" s="8"/>
      <c r="C36" s="8">
        <v>520.29999999999995</v>
      </c>
      <c r="D36" t="s">
        <v>177</v>
      </c>
      <c r="E36" t="s">
        <v>157</v>
      </c>
      <c r="F36" t="s">
        <v>85</v>
      </c>
    </row>
    <row r="37" spans="1:7" x14ac:dyDescent="0.25">
      <c r="A37" s="1">
        <v>42348</v>
      </c>
      <c r="B37" s="8"/>
      <c r="C37" s="8">
        <v>156.78</v>
      </c>
      <c r="D37" t="s">
        <v>177</v>
      </c>
      <c r="E37" t="s">
        <v>82</v>
      </c>
      <c r="F37" t="s">
        <v>83</v>
      </c>
    </row>
    <row r="38" spans="1:7" x14ac:dyDescent="0.25">
      <c r="A38" s="12" t="s">
        <v>225</v>
      </c>
      <c r="B38" s="28">
        <f>SUM(B5:B37)</f>
        <v>382058.46000000008</v>
      </c>
      <c r="C38" s="28">
        <f>SUM(C5:C37)-C9-C13</f>
        <v>342775.76</v>
      </c>
      <c r="D38" s="29">
        <f>B38-C38</f>
        <v>39282.70000000007</v>
      </c>
    </row>
    <row r="39" spans="1:7" x14ac:dyDescent="0.25">
      <c r="A39" s="1">
        <v>42355</v>
      </c>
      <c r="B39" s="8"/>
      <c r="C39" s="21">
        <v>220.55</v>
      </c>
      <c r="D39" s="20" t="s">
        <v>176</v>
      </c>
      <c r="E39" t="s">
        <v>214</v>
      </c>
      <c r="F39" t="s">
        <v>23</v>
      </c>
      <c r="G39" t="s">
        <v>92</v>
      </c>
    </row>
    <row r="40" spans="1:7" x14ac:dyDescent="0.25">
      <c r="A40" s="1">
        <v>42369</v>
      </c>
      <c r="B40" s="8">
        <v>26.81</v>
      </c>
      <c r="C40" s="8"/>
      <c r="D40" t="s">
        <v>177</v>
      </c>
      <c r="E40" t="s">
        <v>63</v>
      </c>
      <c r="F40" t="s">
        <v>7</v>
      </c>
    </row>
    <row r="41" spans="1:7" x14ac:dyDescent="0.25">
      <c r="A41" s="1">
        <v>42376</v>
      </c>
      <c r="B41" s="8"/>
      <c r="C41" s="8">
        <v>1402.09</v>
      </c>
      <c r="D41" t="s">
        <v>177</v>
      </c>
      <c r="E41" t="s">
        <v>179</v>
      </c>
      <c r="F41" t="s">
        <v>23</v>
      </c>
      <c r="G41" t="s">
        <v>91</v>
      </c>
    </row>
    <row r="42" spans="1:7" x14ac:dyDescent="0.25">
      <c r="A42" s="1">
        <v>42380</v>
      </c>
      <c r="B42" s="8"/>
      <c r="C42" s="8">
        <v>162.01</v>
      </c>
      <c r="D42" t="s">
        <v>177</v>
      </c>
      <c r="E42" t="s">
        <v>82</v>
      </c>
      <c r="F42" t="s">
        <v>83</v>
      </c>
      <c r="G42" t="s">
        <v>90</v>
      </c>
    </row>
    <row r="43" spans="1:7" x14ac:dyDescent="0.25">
      <c r="A43" s="1">
        <v>42398</v>
      </c>
      <c r="B43" s="8">
        <v>24.1</v>
      </c>
      <c r="C43" s="8"/>
      <c r="D43" t="s">
        <v>177</v>
      </c>
      <c r="E43" t="s">
        <v>63</v>
      </c>
      <c r="F43" t="s">
        <v>7</v>
      </c>
      <c r="G43" t="s">
        <v>7</v>
      </c>
    </row>
    <row r="44" spans="1:7" x14ac:dyDescent="0.25">
      <c r="A44" s="1">
        <v>42408</v>
      </c>
      <c r="B44" s="8"/>
      <c r="C44" s="24">
        <v>4816.07</v>
      </c>
      <c r="D44" s="25" t="s">
        <v>177</v>
      </c>
      <c r="E44" t="s">
        <v>162</v>
      </c>
      <c r="F44" t="s">
        <v>23</v>
      </c>
      <c r="G44" t="s">
        <v>89</v>
      </c>
    </row>
    <row r="45" spans="1:7" x14ac:dyDescent="0.25">
      <c r="A45" s="1">
        <v>42415</v>
      </c>
      <c r="B45" s="8"/>
      <c r="C45" s="24">
        <v>162.01</v>
      </c>
      <c r="D45" s="25" t="s">
        <v>176</v>
      </c>
      <c r="E45" t="s">
        <v>82</v>
      </c>
      <c r="F45" t="s">
        <v>83</v>
      </c>
      <c r="G45" t="s">
        <v>88</v>
      </c>
    </row>
    <row r="46" spans="1:7" x14ac:dyDescent="0.25">
      <c r="A46" s="1">
        <v>42416</v>
      </c>
      <c r="B46" s="8"/>
      <c r="C46" s="24">
        <v>562.79999999999995</v>
      </c>
      <c r="D46" s="25" t="s">
        <v>177</v>
      </c>
      <c r="E46" t="s">
        <v>229</v>
      </c>
      <c r="F46" t="s">
        <v>23</v>
      </c>
      <c r="G46" t="s">
        <v>87</v>
      </c>
    </row>
    <row r="47" spans="1:7" x14ac:dyDescent="0.25">
      <c r="A47" s="1">
        <v>42429</v>
      </c>
      <c r="B47" s="8">
        <v>22.88</v>
      </c>
      <c r="C47" s="8"/>
      <c r="D47" t="s">
        <v>177</v>
      </c>
      <c r="E47" t="s">
        <v>63</v>
      </c>
      <c r="F47" t="s">
        <v>7</v>
      </c>
    </row>
    <row r="48" spans="1:7" x14ac:dyDescent="0.25">
      <c r="A48" s="1">
        <v>42438</v>
      </c>
      <c r="B48" s="8"/>
      <c r="C48" s="8">
        <v>1192.1300000000001</v>
      </c>
      <c r="D48" s="25" t="s">
        <v>176</v>
      </c>
      <c r="E48" t="s">
        <v>216</v>
      </c>
      <c r="F48" t="s">
        <v>23</v>
      </c>
      <c r="G48" t="s">
        <v>97</v>
      </c>
    </row>
    <row r="49" spans="1:7" x14ac:dyDescent="0.25">
      <c r="A49" s="1">
        <v>42438</v>
      </c>
      <c r="B49" s="8"/>
      <c r="C49" s="8">
        <v>1217.56</v>
      </c>
      <c r="D49" s="25" t="s">
        <v>176</v>
      </c>
      <c r="E49" t="s">
        <v>215</v>
      </c>
      <c r="F49" t="s">
        <v>23</v>
      </c>
      <c r="G49" t="s">
        <v>96</v>
      </c>
    </row>
    <row r="50" spans="1:7" x14ac:dyDescent="0.25">
      <c r="A50" s="1">
        <v>42450</v>
      </c>
      <c r="B50" s="8"/>
      <c r="C50" s="8">
        <v>151.55000000000001</v>
      </c>
      <c r="D50" s="25" t="s">
        <v>176</v>
      </c>
      <c r="E50" t="s">
        <v>82</v>
      </c>
      <c r="F50" t="s">
        <v>83</v>
      </c>
      <c r="G50" t="s">
        <v>98</v>
      </c>
    </row>
    <row r="51" spans="1:7" x14ac:dyDescent="0.25">
      <c r="A51" s="1">
        <v>42460</v>
      </c>
      <c r="B51" s="8">
        <v>20.57</v>
      </c>
      <c r="C51" s="8"/>
      <c r="D51" t="s">
        <v>177</v>
      </c>
      <c r="E51" t="s">
        <v>63</v>
      </c>
      <c r="F51" t="s">
        <v>7</v>
      </c>
    </row>
    <row r="52" spans="1:7" x14ac:dyDescent="0.25">
      <c r="A52" s="1">
        <v>42464</v>
      </c>
      <c r="B52" s="8"/>
      <c r="C52" s="8">
        <v>2981</v>
      </c>
      <c r="D52" t="s">
        <v>177</v>
      </c>
      <c r="E52" t="s">
        <v>217</v>
      </c>
      <c r="F52" t="s">
        <v>23</v>
      </c>
      <c r="G52" t="s">
        <v>99</v>
      </c>
    </row>
    <row r="53" spans="1:7" x14ac:dyDescent="0.25">
      <c r="A53" s="1">
        <v>42465</v>
      </c>
      <c r="B53" s="8"/>
      <c r="C53" s="8">
        <v>3415.5</v>
      </c>
      <c r="D53" t="s">
        <v>177</v>
      </c>
      <c r="E53" t="s">
        <v>218</v>
      </c>
      <c r="F53" t="s">
        <v>23</v>
      </c>
      <c r="G53" t="s">
        <v>100</v>
      </c>
    </row>
    <row r="54" spans="1:7" x14ac:dyDescent="0.25">
      <c r="A54" s="1">
        <v>42488</v>
      </c>
      <c r="B54" s="8"/>
      <c r="C54" s="8">
        <v>3156.63</v>
      </c>
      <c r="D54" s="23" t="s">
        <v>176</v>
      </c>
      <c r="E54" t="s">
        <v>104</v>
      </c>
      <c r="F54" t="s">
        <v>23</v>
      </c>
      <c r="G54" t="s">
        <v>101</v>
      </c>
    </row>
    <row r="55" spans="1:7" x14ac:dyDescent="0.25">
      <c r="A55" s="1">
        <v>42489</v>
      </c>
      <c r="B55" s="8">
        <v>15.24</v>
      </c>
      <c r="C55" s="8"/>
      <c r="D55" t="s">
        <v>177</v>
      </c>
      <c r="E55" t="s">
        <v>63</v>
      </c>
      <c r="F55" t="s">
        <v>7</v>
      </c>
    </row>
    <row r="56" spans="1:7" x14ac:dyDescent="0.25">
      <c r="A56" s="1">
        <v>42495</v>
      </c>
      <c r="B56" s="8"/>
      <c r="C56" s="8">
        <v>330</v>
      </c>
      <c r="D56" t="s">
        <v>177</v>
      </c>
      <c r="E56" t="s">
        <v>219</v>
      </c>
      <c r="F56" t="s">
        <v>23</v>
      </c>
      <c r="G56" t="s">
        <v>102</v>
      </c>
    </row>
    <row r="57" spans="1:7" x14ac:dyDescent="0.25">
      <c r="A57" s="1">
        <v>42496</v>
      </c>
      <c r="B57" s="8"/>
      <c r="C57" s="8">
        <v>9638.9500000000007</v>
      </c>
      <c r="D57" t="s">
        <v>177</v>
      </c>
      <c r="E57" t="s">
        <v>220</v>
      </c>
      <c r="F57" t="s">
        <v>23</v>
      </c>
      <c r="G57" t="s">
        <v>103</v>
      </c>
    </row>
    <row r="58" spans="1:7" x14ac:dyDescent="0.25">
      <c r="A58" s="1">
        <v>42501</v>
      </c>
      <c r="B58" s="8"/>
      <c r="C58" s="8">
        <v>162.01</v>
      </c>
      <c r="D58" t="s">
        <v>177</v>
      </c>
      <c r="E58" t="s">
        <v>82</v>
      </c>
      <c r="F58" t="s">
        <v>83</v>
      </c>
    </row>
    <row r="59" spans="1:7" x14ac:dyDescent="0.25">
      <c r="A59" s="1">
        <v>42501</v>
      </c>
      <c r="B59" s="8"/>
      <c r="C59" s="8">
        <v>156.78</v>
      </c>
      <c r="D59" t="s">
        <v>177</v>
      </c>
      <c r="E59" t="s">
        <v>82</v>
      </c>
      <c r="F59" t="s">
        <v>83</v>
      </c>
    </row>
    <row r="60" spans="1:7" x14ac:dyDescent="0.25">
      <c r="A60" s="1">
        <v>42521</v>
      </c>
      <c r="B60" s="8">
        <v>7.19</v>
      </c>
      <c r="C60" s="8"/>
      <c r="D60" t="s">
        <v>177</v>
      </c>
      <c r="E60" t="s">
        <v>63</v>
      </c>
      <c r="F60" t="s">
        <v>7</v>
      </c>
    </row>
    <row r="61" spans="1:7" x14ac:dyDescent="0.25">
      <c r="A61" s="1">
        <v>42548</v>
      </c>
      <c r="C61" s="8">
        <v>162.01</v>
      </c>
      <c r="D61" t="s">
        <v>177</v>
      </c>
      <c r="E61" t="s">
        <v>82</v>
      </c>
      <c r="F61" t="s">
        <v>83</v>
      </c>
      <c r="G61" t="s">
        <v>123</v>
      </c>
    </row>
    <row r="62" spans="1:7" x14ac:dyDescent="0.25">
      <c r="A62" s="1">
        <v>42551</v>
      </c>
      <c r="B62">
        <v>4.37</v>
      </c>
      <c r="D62" t="s">
        <v>177</v>
      </c>
      <c r="E62" t="s">
        <v>63</v>
      </c>
      <c r="F62" t="s">
        <v>7</v>
      </c>
      <c r="G62" t="s">
        <v>7</v>
      </c>
    </row>
    <row r="63" spans="1:7" x14ac:dyDescent="0.25">
      <c r="A63" s="26" t="s">
        <v>223</v>
      </c>
      <c r="B63" s="27">
        <f>SUM(B38:B62)</f>
        <v>382179.62000000005</v>
      </c>
      <c r="C63" s="27">
        <f>SUM(C38:C62)</f>
        <v>372665.41000000009</v>
      </c>
      <c r="D63" s="27">
        <f>B63-C63</f>
        <v>9514.2099999999627</v>
      </c>
      <c r="E63" t="s">
        <v>224</v>
      </c>
    </row>
    <row r="64" spans="1:7" x14ac:dyDescent="0.25">
      <c r="A64" s="1"/>
    </row>
    <row r="65" spans="1:14" ht="26.25" x14ac:dyDescent="0.4">
      <c r="A65" s="39" t="s">
        <v>342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x14ac:dyDescent="0.25">
      <c r="A66" t="s">
        <v>18</v>
      </c>
    </row>
    <row r="67" spans="1:14" x14ac:dyDescent="0.25">
      <c r="A67" t="s">
        <v>21</v>
      </c>
    </row>
    <row r="68" spans="1:14" x14ac:dyDescent="0.25">
      <c r="B68" t="s">
        <v>19</v>
      </c>
      <c r="C68" t="s">
        <v>20</v>
      </c>
    </row>
    <row r="69" spans="1:14" x14ac:dyDescent="0.25">
      <c r="A69" s="1">
        <v>42552</v>
      </c>
      <c r="B69" s="8"/>
      <c r="C69" s="8">
        <v>1515.25</v>
      </c>
      <c r="D69" t="s">
        <v>177</v>
      </c>
      <c r="E69" t="s">
        <v>221</v>
      </c>
      <c r="F69" t="s">
        <v>23</v>
      </c>
      <c r="G69" t="s">
        <v>122</v>
      </c>
    </row>
    <row r="70" spans="1:14" x14ac:dyDescent="0.25">
      <c r="A70" s="1">
        <v>42558</v>
      </c>
      <c r="B70" s="8"/>
      <c r="C70" s="8">
        <v>2079.1</v>
      </c>
      <c r="D70" t="s">
        <v>177</v>
      </c>
      <c r="E70" t="s">
        <v>222</v>
      </c>
      <c r="F70" t="s">
        <v>23</v>
      </c>
      <c r="G70" t="s">
        <v>121</v>
      </c>
    </row>
    <row r="71" spans="1:14" x14ac:dyDescent="0.25">
      <c r="A71" s="1">
        <v>42580</v>
      </c>
      <c r="B71" s="8">
        <v>2.83</v>
      </c>
      <c r="C71" s="8"/>
      <c r="D71" t="s">
        <v>177</v>
      </c>
      <c r="E71" t="s">
        <v>63</v>
      </c>
      <c r="F71" t="s">
        <v>7</v>
      </c>
      <c r="G71" t="s">
        <v>7</v>
      </c>
    </row>
    <row r="72" spans="1:14" x14ac:dyDescent="0.25">
      <c r="A72" s="1">
        <v>42613</v>
      </c>
      <c r="B72" s="8">
        <v>2.13</v>
      </c>
      <c r="C72" s="8"/>
      <c r="D72" t="s">
        <v>177</v>
      </c>
      <c r="E72" t="s">
        <v>63</v>
      </c>
      <c r="F72" t="s">
        <v>7</v>
      </c>
      <c r="G72" t="s">
        <v>7</v>
      </c>
    </row>
    <row r="73" spans="1:14" x14ac:dyDescent="0.25">
      <c r="A73" s="1">
        <v>42633</v>
      </c>
      <c r="B73" s="8"/>
      <c r="C73" s="8">
        <v>2157.9499999999998</v>
      </c>
      <c r="D73" t="s">
        <v>177</v>
      </c>
      <c r="E73" t="s">
        <v>165</v>
      </c>
      <c r="F73" t="s">
        <v>23</v>
      </c>
      <c r="G73" t="s">
        <v>120</v>
      </c>
    </row>
    <row r="74" spans="1:14" x14ac:dyDescent="0.25">
      <c r="A74" s="1">
        <v>42643</v>
      </c>
      <c r="B74" s="8">
        <v>0.98</v>
      </c>
      <c r="C74" s="8"/>
      <c r="D74" t="s">
        <v>177</v>
      </c>
      <c r="E74" t="s">
        <v>63</v>
      </c>
      <c r="F74" t="s">
        <v>7</v>
      </c>
      <c r="G74" t="s">
        <v>7</v>
      </c>
    </row>
    <row r="75" spans="1:14" x14ac:dyDescent="0.25">
      <c r="A75" s="1">
        <v>42650</v>
      </c>
      <c r="B75" s="8"/>
      <c r="C75" s="8">
        <v>500</v>
      </c>
      <c r="D75" s="23" t="s">
        <v>176</v>
      </c>
      <c r="E75" t="s">
        <v>166</v>
      </c>
      <c r="F75" t="s">
        <v>23</v>
      </c>
      <c r="G75" t="s">
        <v>119</v>
      </c>
    </row>
    <row r="76" spans="1:14" x14ac:dyDescent="0.25">
      <c r="A76" s="1">
        <v>42653</v>
      </c>
      <c r="B76" s="8"/>
      <c r="C76" s="8">
        <v>156.78</v>
      </c>
      <c r="D76" t="s">
        <v>177</v>
      </c>
      <c r="E76" t="s">
        <v>82</v>
      </c>
      <c r="F76" t="s">
        <v>83</v>
      </c>
      <c r="G76" t="s">
        <v>117</v>
      </c>
    </row>
    <row r="77" spans="1:14" x14ac:dyDescent="0.25">
      <c r="A77" s="1">
        <v>42653</v>
      </c>
      <c r="B77" s="8"/>
      <c r="C77" s="8">
        <v>156.78</v>
      </c>
      <c r="D77" t="s">
        <v>177</v>
      </c>
      <c r="E77" t="s">
        <v>82</v>
      </c>
      <c r="F77" t="s">
        <v>83</v>
      </c>
      <c r="G77" t="s">
        <v>118</v>
      </c>
    </row>
    <row r="78" spans="1:14" x14ac:dyDescent="0.25">
      <c r="A78" s="1">
        <v>42653</v>
      </c>
      <c r="B78" s="8"/>
      <c r="C78" s="8">
        <v>162.01</v>
      </c>
      <c r="D78" t="s">
        <v>177</v>
      </c>
      <c r="E78" t="s">
        <v>82</v>
      </c>
      <c r="F78" t="s">
        <v>83</v>
      </c>
      <c r="G78" t="s">
        <v>115</v>
      </c>
    </row>
    <row r="79" spans="1:14" x14ac:dyDescent="0.25">
      <c r="A79" s="1">
        <v>42653</v>
      </c>
      <c r="B79" s="8"/>
      <c r="C79" s="8">
        <v>162.01</v>
      </c>
      <c r="D79" t="s">
        <v>177</v>
      </c>
      <c r="E79" t="s">
        <v>82</v>
      </c>
      <c r="F79" t="s">
        <v>83</v>
      </c>
      <c r="G79" t="s">
        <v>116</v>
      </c>
    </row>
    <row r="80" spans="1:14" x14ac:dyDescent="0.25">
      <c r="A80" s="1">
        <v>42653</v>
      </c>
      <c r="B80" s="8"/>
      <c r="C80" s="8">
        <v>500</v>
      </c>
      <c r="D80" t="s">
        <v>177</v>
      </c>
      <c r="E80" t="s">
        <v>164</v>
      </c>
      <c r="F80" t="s">
        <v>23</v>
      </c>
      <c r="G80" t="s">
        <v>114</v>
      </c>
    </row>
    <row r="81" spans="1:7" x14ac:dyDescent="0.25">
      <c r="A81" s="1">
        <v>42668</v>
      </c>
      <c r="B81" s="8"/>
      <c r="C81" s="8">
        <v>1421.76</v>
      </c>
      <c r="D81" s="23" t="s">
        <v>176</v>
      </c>
      <c r="E81" t="s">
        <v>230</v>
      </c>
      <c r="F81" t="s">
        <v>23</v>
      </c>
      <c r="G81" t="s">
        <v>113</v>
      </c>
    </row>
    <row r="82" spans="1:7" x14ac:dyDescent="0.25">
      <c r="A82" s="1">
        <v>42674</v>
      </c>
      <c r="B82" s="8"/>
      <c r="C82" s="8">
        <v>3.2</v>
      </c>
      <c r="E82" t="s">
        <v>150</v>
      </c>
      <c r="F82" t="s">
        <v>71</v>
      </c>
      <c r="G82" t="s">
        <v>71</v>
      </c>
    </row>
    <row r="83" spans="1:7" x14ac:dyDescent="0.25">
      <c r="A83" s="1">
        <v>42681</v>
      </c>
      <c r="B83" s="8">
        <v>600</v>
      </c>
      <c r="C83" s="8"/>
      <c r="D83" t="s">
        <v>177</v>
      </c>
      <c r="E83" t="s">
        <v>64</v>
      </c>
      <c r="F83" t="s">
        <v>67</v>
      </c>
      <c r="G83" t="s">
        <v>111</v>
      </c>
    </row>
    <row r="84" spans="1:7" x14ac:dyDescent="0.25">
      <c r="A84" s="1">
        <v>42681</v>
      </c>
      <c r="B84" s="8">
        <v>600</v>
      </c>
      <c r="C84" s="8"/>
      <c r="D84" t="s">
        <v>177</v>
      </c>
      <c r="E84" t="s">
        <v>65</v>
      </c>
      <c r="F84" t="s">
        <v>68</v>
      </c>
      <c r="G84" t="s">
        <v>112</v>
      </c>
    </row>
    <row r="85" spans="1:7" x14ac:dyDescent="0.25">
      <c r="A85" s="1">
        <v>42682</v>
      </c>
      <c r="B85" s="8"/>
      <c r="C85" s="8">
        <v>1814.82</v>
      </c>
      <c r="D85" t="s">
        <v>177</v>
      </c>
      <c r="E85" t="s">
        <v>167</v>
      </c>
      <c r="F85" t="s">
        <v>23</v>
      </c>
      <c r="G85" t="s">
        <v>110</v>
      </c>
    </row>
    <row r="86" spans="1:7" x14ac:dyDescent="0.25">
      <c r="A86" s="1">
        <v>42719</v>
      </c>
      <c r="B86" s="8">
        <v>75000</v>
      </c>
      <c r="C86" s="8"/>
      <c r="D86" s="23" t="s">
        <v>176</v>
      </c>
      <c r="E86" t="s">
        <v>66</v>
      </c>
      <c r="F86" t="s">
        <v>62</v>
      </c>
      <c r="G86" t="s">
        <v>109</v>
      </c>
    </row>
    <row r="87" spans="1:7" x14ac:dyDescent="0.25">
      <c r="A87" s="1">
        <v>42724</v>
      </c>
      <c r="B87" s="8"/>
      <c r="C87" s="8">
        <v>1509</v>
      </c>
      <c r="D87" t="s">
        <v>177</v>
      </c>
      <c r="E87" t="s">
        <v>168</v>
      </c>
      <c r="F87" t="s">
        <v>23</v>
      </c>
      <c r="G87" t="s">
        <v>108</v>
      </c>
    </row>
    <row r="88" spans="1:7" x14ac:dyDescent="0.25">
      <c r="A88" s="1">
        <v>42725</v>
      </c>
      <c r="B88" s="8"/>
      <c r="C88" s="8">
        <v>1153.68</v>
      </c>
      <c r="D88" t="s">
        <v>177</v>
      </c>
      <c r="E88" t="s">
        <v>169</v>
      </c>
      <c r="F88" t="s">
        <v>23</v>
      </c>
      <c r="G88" t="s">
        <v>107</v>
      </c>
    </row>
    <row r="89" spans="1:7" x14ac:dyDescent="0.25">
      <c r="A89" s="1">
        <v>42734</v>
      </c>
      <c r="B89" s="8">
        <v>9.0399999999999991</v>
      </c>
      <c r="C89" s="8"/>
      <c r="D89" t="s">
        <v>177</v>
      </c>
      <c r="E89" t="s">
        <v>63</v>
      </c>
      <c r="F89" t="s">
        <v>7</v>
      </c>
      <c r="G89" t="s">
        <v>7</v>
      </c>
    </row>
    <row r="90" spans="1:7" x14ac:dyDescent="0.25">
      <c r="A90" s="12" t="s">
        <v>225</v>
      </c>
      <c r="B90" s="27">
        <f>SUM(B69:B89)</f>
        <v>76214.98</v>
      </c>
      <c r="C90" s="27">
        <f>SUM(C69:C89)</f>
        <v>13292.34</v>
      </c>
      <c r="D90" s="27">
        <f>B90-C90+D63</f>
        <v>72436.849999999962</v>
      </c>
    </row>
    <row r="91" spans="1:7" x14ac:dyDescent="0.25">
      <c r="A91" s="1">
        <v>42746</v>
      </c>
      <c r="B91" s="8"/>
      <c r="C91" s="8">
        <v>500</v>
      </c>
      <c r="D91" t="s">
        <v>177</v>
      </c>
      <c r="E91" t="s">
        <v>228</v>
      </c>
      <c r="F91" t="s">
        <v>23</v>
      </c>
      <c r="G91" t="s">
        <v>147</v>
      </c>
    </row>
    <row r="92" spans="1:7" x14ac:dyDescent="0.25">
      <c r="A92" s="1">
        <v>42759</v>
      </c>
      <c r="B92" s="8"/>
      <c r="C92" s="8">
        <v>312.5</v>
      </c>
      <c r="D92" t="s">
        <v>177</v>
      </c>
      <c r="E92" t="s">
        <v>228</v>
      </c>
      <c r="F92" t="s">
        <v>23</v>
      </c>
      <c r="G92" t="s">
        <v>146</v>
      </c>
    </row>
    <row r="93" spans="1:7" x14ac:dyDescent="0.25">
      <c r="A93" s="1">
        <v>42765</v>
      </c>
      <c r="B93" s="8"/>
      <c r="C93" s="8">
        <v>177.71</v>
      </c>
      <c r="D93" t="s">
        <v>177</v>
      </c>
      <c r="E93" t="s">
        <v>170</v>
      </c>
      <c r="F93" t="s">
        <v>23</v>
      </c>
      <c r="G93" t="s">
        <v>145</v>
      </c>
    </row>
    <row r="94" spans="1:7" x14ac:dyDescent="0.25">
      <c r="A94" s="1">
        <v>42766</v>
      </c>
      <c r="B94" s="8">
        <v>17.78</v>
      </c>
      <c r="C94" s="8"/>
      <c r="D94" t="s">
        <v>177</v>
      </c>
      <c r="E94" t="s">
        <v>63</v>
      </c>
      <c r="G94" t="s">
        <v>7</v>
      </c>
    </row>
    <row r="95" spans="1:7" x14ac:dyDescent="0.25">
      <c r="A95" s="1">
        <v>42768</v>
      </c>
      <c r="B95" s="8"/>
      <c r="C95" s="8">
        <v>246.12</v>
      </c>
      <c r="D95" t="s">
        <v>177</v>
      </c>
      <c r="E95" t="s">
        <v>172</v>
      </c>
      <c r="F95" t="s">
        <v>23</v>
      </c>
      <c r="G95" t="s">
        <v>144</v>
      </c>
    </row>
    <row r="96" spans="1:7" x14ac:dyDescent="0.25">
      <c r="A96" s="1">
        <v>42768</v>
      </c>
      <c r="B96" s="8"/>
      <c r="C96" s="8">
        <v>589.88</v>
      </c>
      <c r="D96" t="s">
        <v>177</v>
      </c>
      <c r="E96" t="s">
        <v>171</v>
      </c>
      <c r="F96" t="s">
        <v>23</v>
      </c>
      <c r="G96" t="s">
        <v>143</v>
      </c>
    </row>
    <row r="97" spans="1:7" x14ac:dyDescent="0.25">
      <c r="A97" s="1">
        <v>42780</v>
      </c>
      <c r="B97" s="8"/>
      <c r="C97" s="8">
        <v>182.55</v>
      </c>
      <c r="D97" t="s">
        <v>177</v>
      </c>
      <c r="E97" t="s">
        <v>229</v>
      </c>
      <c r="F97" t="s">
        <v>23</v>
      </c>
      <c r="G97" t="s">
        <v>141</v>
      </c>
    </row>
    <row r="98" spans="1:7" x14ac:dyDescent="0.25">
      <c r="A98" s="1">
        <v>42780</v>
      </c>
      <c r="B98" s="8"/>
      <c r="C98" s="8">
        <v>182.55</v>
      </c>
      <c r="D98" t="s">
        <v>177</v>
      </c>
      <c r="E98" t="s">
        <v>229</v>
      </c>
      <c r="F98" t="s">
        <v>23</v>
      </c>
      <c r="G98" t="s">
        <v>142</v>
      </c>
    </row>
    <row r="99" spans="1:7" x14ac:dyDescent="0.25">
      <c r="A99" s="1">
        <v>42786</v>
      </c>
      <c r="B99" s="8"/>
      <c r="C99" s="8">
        <v>758.4</v>
      </c>
      <c r="D99" t="s">
        <v>177</v>
      </c>
      <c r="E99" t="s">
        <v>173</v>
      </c>
      <c r="F99" t="s">
        <v>23</v>
      </c>
      <c r="G99" t="s">
        <v>140</v>
      </c>
    </row>
    <row r="100" spans="1:7" x14ac:dyDescent="0.25">
      <c r="A100" s="1">
        <v>42789</v>
      </c>
      <c r="B100" s="8"/>
      <c r="C100" s="8">
        <v>46.75</v>
      </c>
      <c r="D100" t="s">
        <v>177</v>
      </c>
      <c r="E100" t="s">
        <v>189</v>
      </c>
      <c r="F100" t="s">
        <v>23</v>
      </c>
      <c r="G100" t="s">
        <v>139</v>
      </c>
    </row>
    <row r="101" spans="1:7" x14ac:dyDescent="0.25">
      <c r="A101" s="1">
        <v>42790</v>
      </c>
      <c r="B101" s="8"/>
      <c r="C101" s="8">
        <v>1000</v>
      </c>
      <c r="D101" t="s">
        <v>213</v>
      </c>
      <c r="E101" t="s">
        <v>77</v>
      </c>
      <c r="F101" t="s">
        <v>151</v>
      </c>
      <c r="G101" t="s">
        <v>137</v>
      </c>
    </row>
    <row r="102" spans="1:7" x14ac:dyDescent="0.25">
      <c r="A102" s="1">
        <v>42790</v>
      </c>
      <c r="B102" s="8">
        <v>1000</v>
      </c>
      <c r="C102" s="8"/>
      <c r="D102" t="s">
        <v>213</v>
      </c>
      <c r="E102" t="s">
        <v>76</v>
      </c>
      <c r="F102" t="s">
        <v>152</v>
      </c>
      <c r="G102" t="s">
        <v>138</v>
      </c>
    </row>
    <row r="103" spans="1:7" x14ac:dyDescent="0.25">
      <c r="A103" s="1">
        <v>42794</v>
      </c>
      <c r="B103" s="8"/>
      <c r="C103" s="8">
        <v>6.4</v>
      </c>
      <c r="D103" t="s">
        <v>177</v>
      </c>
      <c r="E103" t="s">
        <v>150</v>
      </c>
      <c r="F103" t="s">
        <v>135</v>
      </c>
      <c r="G103" t="s">
        <v>135</v>
      </c>
    </row>
    <row r="104" spans="1:7" x14ac:dyDescent="0.25">
      <c r="A104" s="1">
        <v>42794</v>
      </c>
      <c r="B104" s="8">
        <v>10.78</v>
      </c>
      <c r="C104" s="8"/>
      <c r="D104" t="s">
        <v>177</v>
      </c>
      <c r="E104" t="s">
        <v>63</v>
      </c>
      <c r="F104" t="s">
        <v>7</v>
      </c>
      <c r="G104" t="s">
        <v>7</v>
      </c>
    </row>
    <row r="105" spans="1:7" x14ac:dyDescent="0.25">
      <c r="A105" s="1">
        <v>42794</v>
      </c>
      <c r="B105" s="8"/>
      <c r="C105" s="8">
        <v>243.95</v>
      </c>
      <c r="D105" t="s">
        <v>177</v>
      </c>
      <c r="E105" t="s">
        <v>190</v>
      </c>
      <c r="F105" t="s">
        <v>23</v>
      </c>
      <c r="G105" t="s">
        <v>136</v>
      </c>
    </row>
    <row r="106" spans="1:7" x14ac:dyDescent="0.25">
      <c r="A106" s="1">
        <v>42795</v>
      </c>
      <c r="B106" s="8"/>
      <c r="C106" s="8">
        <v>360.36</v>
      </c>
      <c r="D106" t="s">
        <v>177</v>
      </c>
      <c r="E106" t="s">
        <v>191</v>
      </c>
      <c r="F106" t="s">
        <v>23</v>
      </c>
      <c r="G106" t="s">
        <v>134</v>
      </c>
    </row>
    <row r="107" spans="1:7" x14ac:dyDescent="0.25">
      <c r="A107" s="1">
        <v>42796</v>
      </c>
      <c r="B107" s="8"/>
      <c r="C107" s="8">
        <v>10000</v>
      </c>
      <c r="D107" t="s">
        <v>177</v>
      </c>
      <c r="E107" t="s">
        <v>188</v>
      </c>
      <c r="F107" t="s">
        <v>23</v>
      </c>
      <c r="G107" t="s">
        <v>133</v>
      </c>
    </row>
    <row r="108" spans="1:7" x14ac:dyDescent="0.25">
      <c r="A108" s="1">
        <v>42797</v>
      </c>
      <c r="B108" s="8"/>
      <c r="C108" s="8">
        <v>770.7</v>
      </c>
      <c r="D108" t="s">
        <v>177</v>
      </c>
      <c r="E108" t="s">
        <v>193</v>
      </c>
      <c r="F108" t="s">
        <v>23</v>
      </c>
      <c r="G108" t="s">
        <v>132</v>
      </c>
    </row>
    <row r="109" spans="1:7" x14ac:dyDescent="0.25">
      <c r="A109" s="1">
        <v>42797</v>
      </c>
      <c r="B109" s="8"/>
      <c r="C109" s="8">
        <v>1100</v>
      </c>
      <c r="D109" t="s">
        <v>177</v>
      </c>
      <c r="E109" t="s">
        <v>192</v>
      </c>
      <c r="F109" t="s">
        <v>23</v>
      </c>
      <c r="G109" t="s">
        <v>131</v>
      </c>
    </row>
    <row r="110" spans="1:7" x14ac:dyDescent="0.25">
      <c r="A110" s="1">
        <v>42797</v>
      </c>
      <c r="B110" s="8"/>
      <c r="C110" s="8">
        <v>6925.74</v>
      </c>
      <c r="D110" t="s">
        <v>177</v>
      </c>
      <c r="E110" t="s">
        <v>188</v>
      </c>
      <c r="F110" t="s">
        <v>23</v>
      </c>
      <c r="G110" t="s">
        <v>130</v>
      </c>
    </row>
    <row r="111" spans="1:7" x14ac:dyDescent="0.25">
      <c r="A111" s="1">
        <v>42810</v>
      </c>
      <c r="B111" s="8"/>
      <c r="C111" s="8">
        <v>4796.7700000000004</v>
      </c>
      <c r="D111" t="s">
        <v>177</v>
      </c>
      <c r="E111" t="s">
        <v>188</v>
      </c>
      <c r="F111" t="s">
        <v>23</v>
      </c>
      <c r="G111" t="s">
        <v>129</v>
      </c>
    </row>
    <row r="112" spans="1:7" x14ac:dyDescent="0.25">
      <c r="A112" s="1">
        <v>42821</v>
      </c>
      <c r="B112" s="8"/>
      <c r="C112" s="8">
        <v>605</v>
      </c>
      <c r="D112" t="s">
        <v>177</v>
      </c>
      <c r="E112" t="s">
        <v>194</v>
      </c>
      <c r="F112" t="s">
        <v>23</v>
      </c>
      <c r="G112" t="s">
        <v>127</v>
      </c>
    </row>
    <row r="113" spans="1:7" x14ac:dyDescent="0.25">
      <c r="A113" s="1">
        <v>42821</v>
      </c>
      <c r="B113" s="8"/>
      <c r="C113" s="8">
        <v>330</v>
      </c>
      <c r="D113" t="s">
        <v>177</v>
      </c>
      <c r="E113" t="s">
        <v>188</v>
      </c>
      <c r="F113" t="s">
        <v>23</v>
      </c>
      <c r="G113" t="s">
        <v>128</v>
      </c>
    </row>
    <row r="114" spans="1:7" x14ac:dyDescent="0.25">
      <c r="A114" s="1">
        <v>42825</v>
      </c>
      <c r="B114" s="8"/>
      <c r="C114" s="8">
        <v>4.8</v>
      </c>
      <c r="D114" t="s">
        <v>177</v>
      </c>
      <c r="E114" t="s">
        <v>150</v>
      </c>
      <c r="F114" t="s">
        <v>3</v>
      </c>
      <c r="G114" t="s">
        <v>3</v>
      </c>
    </row>
    <row r="115" spans="1:7" x14ac:dyDescent="0.25">
      <c r="A115" s="1">
        <v>42825</v>
      </c>
      <c r="B115" s="8">
        <v>8.35</v>
      </c>
      <c r="C115" s="8"/>
      <c r="D115" t="s">
        <v>177</v>
      </c>
      <c r="E115" t="s">
        <v>63</v>
      </c>
      <c r="F115" t="s">
        <v>7</v>
      </c>
      <c r="G115" t="s">
        <v>7</v>
      </c>
    </row>
    <row r="116" spans="1:7" x14ac:dyDescent="0.25">
      <c r="A116" s="1">
        <v>42831</v>
      </c>
      <c r="B116" s="8"/>
      <c r="C116" s="8">
        <v>185.63</v>
      </c>
      <c r="D116" t="s">
        <v>177</v>
      </c>
      <c r="E116" t="s">
        <v>175</v>
      </c>
      <c r="F116" t="s">
        <v>23</v>
      </c>
      <c r="G116" t="s">
        <v>126</v>
      </c>
    </row>
    <row r="117" spans="1:7" x14ac:dyDescent="0.25">
      <c r="A117" s="1">
        <v>42851</v>
      </c>
      <c r="B117" s="8"/>
      <c r="C117" s="8">
        <v>6472.56</v>
      </c>
      <c r="D117" t="s">
        <v>177</v>
      </c>
      <c r="E117" t="s">
        <v>188</v>
      </c>
      <c r="F117" t="s">
        <v>23</v>
      </c>
      <c r="G117" t="s">
        <v>124</v>
      </c>
    </row>
    <row r="118" spans="1:7" x14ac:dyDescent="0.25">
      <c r="A118" s="1">
        <v>42851</v>
      </c>
      <c r="B118" s="8"/>
      <c r="C118" s="8">
        <v>6000</v>
      </c>
      <c r="D118" t="s">
        <v>177</v>
      </c>
      <c r="E118" t="s">
        <v>188</v>
      </c>
      <c r="F118" t="s">
        <v>23</v>
      </c>
      <c r="G118" t="s">
        <v>125</v>
      </c>
    </row>
    <row r="119" spans="1:7" x14ac:dyDescent="0.25">
      <c r="A119" s="1">
        <v>42853</v>
      </c>
      <c r="B119" s="8">
        <v>6.57</v>
      </c>
      <c r="C119" s="8"/>
      <c r="D119" t="s">
        <v>177</v>
      </c>
      <c r="E119" t="s">
        <v>63</v>
      </c>
      <c r="F119" t="s">
        <v>7</v>
      </c>
      <c r="G119" t="s">
        <v>7</v>
      </c>
    </row>
    <row r="120" spans="1:7" x14ac:dyDescent="0.25">
      <c r="A120" s="1">
        <v>42859</v>
      </c>
      <c r="B120" s="8"/>
      <c r="C120" s="8">
        <v>525.25</v>
      </c>
      <c r="D120" t="s">
        <v>177</v>
      </c>
      <c r="E120" t="s">
        <v>174</v>
      </c>
      <c r="F120" t="s">
        <v>23</v>
      </c>
      <c r="G120" t="s">
        <v>184</v>
      </c>
    </row>
    <row r="121" spans="1:7" x14ac:dyDescent="0.25">
      <c r="A121" s="1">
        <v>42865</v>
      </c>
      <c r="B121" s="8"/>
      <c r="C121" s="8">
        <v>2034.45</v>
      </c>
      <c r="D121" t="s">
        <v>177</v>
      </c>
      <c r="E121" t="s">
        <v>188</v>
      </c>
      <c r="F121" t="s">
        <v>23</v>
      </c>
      <c r="G121" t="s">
        <v>183</v>
      </c>
    </row>
    <row r="122" spans="1:7" x14ac:dyDescent="0.25">
      <c r="A122" s="1">
        <v>42872</v>
      </c>
      <c r="B122" s="8"/>
      <c r="C122" s="8">
        <v>932.5</v>
      </c>
      <c r="D122" t="s">
        <v>177</v>
      </c>
      <c r="E122" t="s">
        <v>185</v>
      </c>
      <c r="F122" t="s">
        <v>23</v>
      </c>
      <c r="G122" t="s">
        <v>182</v>
      </c>
    </row>
    <row r="123" spans="1:7" x14ac:dyDescent="0.25">
      <c r="A123" s="1">
        <v>42877</v>
      </c>
      <c r="B123" s="8"/>
      <c r="C123" s="8">
        <v>241.13</v>
      </c>
      <c r="D123" t="s">
        <v>177</v>
      </c>
      <c r="E123" t="s">
        <v>187</v>
      </c>
      <c r="F123" t="s">
        <v>23</v>
      </c>
      <c r="G123" t="s">
        <v>181</v>
      </c>
    </row>
    <row r="124" spans="1:7" x14ac:dyDescent="0.25">
      <c r="A124" s="1">
        <v>42878</v>
      </c>
      <c r="B124" s="8"/>
      <c r="C124" s="8">
        <v>650</v>
      </c>
      <c r="D124" t="s">
        <v>177</v>
      </c>
      <c r="E124" t="s">
        <v>238</v>
      </c>
      <c r="F124" t="s">
        <v>23</v>
      </c>
      <c r="G124" t="s">
        <v>180</v>
      </c>
    </row>
    <row r="125" spans="1:7" x14ac:dyDescent="0.25">
      <c r="A125" s="1">
        <v>42879</v>
      </c>
      <c r="B125" s="8"/>
      <c r="C125" s="8">
        <v>997.5</v>
      </c>
      <c r="D125" t="s">
        <v>177</v>
      </c>
      <c r="E125" t="s">
        <v>186</v>
      </c>
      <c r="F125" t="s">
        <v>23</v>
      </c>
    </row>
    <row r="126" spans="1:7" x14ac:dyDescent="0.25">
      <c r="A126" s="1">
        <v>42886</v>
      </c>
      <c r="B126" s="8"/>
      <c r="C126" s="8">
        <v>877.42</v>
      </c>
      <c r="D126" t="s">
        <v>177</v>
      </c>
      <c r="E126" t="s">
        <v>232</v>
      </c>
      <c r="F126" t="s">
        <v>23</v>
      </c>
      <c r="G126" t="s">
        <v>198</v>
      </c>
    </row>
    <row r="127" spans="1:7" x14ac:dyDescent="0.25">
      <c r="A127" s="1">
        <v>42886</v>
      </c>
      <c r="B127" s="8"/>
      <c r="C127" s="8">
        <v>1250</v>
      </c>
      <c r="D127" t="s">
        <v>177</v>
      </c>
      <c r="E127" t="s">
        <v>233</v>
      </c>
      <c r="F127" t="s">
        <v>23</v>
      </c>
      <c r="G127" t="s">
        <v>197</v>
      </c>
    </row>
    <row r="128" spans="1:7" x14ac:dyDescent="0.25">
      <c r="A128" s="1">
        <v>42886</v>
      </c>
      <c r="B128" s="8">
        <v>5.27</v>
      </c>
      <c r="C128" s="8"/>
      <c r="D128" t="s">
        <v>177</v>
      </c>
      <c r="E128" t="s">
        <v>63</v>
      </c>
      <c r="G128" t="s">
        <v>7</v>
      </c>
    </row>
    <row r="129" spans="1:14" x14ac:dyDescent="0.25">
      <c r="A129" s="1">
        <v>42886</v>
      </c>
      <c r="B129" s="8"/>
      <c r="C129" s="8">
        <v>4.8</v>
      </c>
      <c r="D129" t="s">
        <v>177</v>
      </c>
      <c r="E129" t="s">
        <v>150</v>
      </c>
      <c r="G129" t="s">
        <v>3</v>
      </c>
    </row>
    <row r="130" spans="1:14" x14ac:dyDescent="0.25">
      <c r="A130" s="1">
        <v>42888</v>
      </c>
      <c r="B130" s="8"/>
      <c r="C130" s="8">
        <v>455</v>
      </c>
      <c r="D130" t="s">
        <v>177</v>
      </c>
      <c r="E130" t="s">
        <v>82</v>
      </c>
      <c r="F130" t="s">
        <v>83</v>
      </c>
    </row>
    <row r="131" spans="1:14" x14ac:dyDescent="0.25">
      <c r="A131" s="1">
        <v>42888</v>
      </c>
      <c r="B131" s="8"/>
      <c r="C131" s="8">
        <v>636.9</v>
      </c>
      <c r="D131" t="s">
        <v>177</v>
      </c>
      <c r="E131" t="s">
        <v>82</v>
      </c>
      <c r="F131" t="s">
        <v>83</v>
      </c>
    </row>
    <row r="132" spans="1:14" x14ac:dyDescent="0.25">
      <c r="A132" s="1">
        <v>42896</v>
      </c>
      <c r="B132" s="8"/>
      <c r="C132" s="8">
        <v>160.52000000000001</v>
      </c>
      <c r="D132" t="s">
        <v>177</v>
      </c>
      <c r="E132" t="s">
        <v>82</v>
      </c>
      <c r="F132" t="s">
        <v>83</v>
      </c>
    </row>
    <row r="133" spans="1:14" x14ac:dyDescent="0.25">
      <c r="A133" s="1">
        <v>42899</v>
      </c>
      <c r="B133" s="8"/>
      <c r="C133" s="8">
        <v>1161.19</v>
      </c>
      <c r="D133" t="s">
        <v>177</v>
      </c>
      <c r="E133" t="s">
        <v>234</v>
      </c>
      <c r="F133" t="s">
        <v>23</v>
      </c>
    </row>
    <row r="134" spans="1:14" x14ac:dyDescent="0.25">
      <c r="A134" s="1">
        <v>42912</v>
      </c>
      <c r="C134" s="8">
        <v>818.13</v>
      </c>
      <c r="D134" t="s">
        <v>177</v>
      </c>
      <c r="E134" t="s">
        <v>236</v>
      </c>
      <c r="F134" t="s">
        <v>23</v>
      </c>
      <c r="G134" t="s">
        <v>212</v>
      </c>
    </row>
    <row r="135" spans="1:14" x14ac:dyDescent="0.25">
      <c r="A135" s="1">
        <v>42914</v>
      </c>
      <c r="C135" s="8">
        <v>4530</v>
      </c>
      <c r="D135" t="s">
        <v>177</v>
      </c>
      <c r="E135" t="s">
        <v>237</v>
      </c>
      <c r="F135" t="s">
        <v>23</v>
      </c>
      <c r="G135" t="s">
        <v>211</v>
      </c>
    </row>
    <row r="136" spans="1:14" x14ac:dyDescent="0.25">
      <c r="A136" s="1">
        <v>42916</v>
      </c>
      <c r="C136" s="8">
        <v>1.6</v>
      </c>
      <c r="D136" t="s">
        <v>177</v>
      </c>
      <c r="E136" t="s">
        <v>150</v>
      </c>
      <c r="F136" t="s">
        <v>210</v>
      </c>
      <c r="G136" t="s">
        <v>210</v>
      </c>
    </row>
    <row r="137" spans="1:14" x14ac:dyDescent="0.25">
      <c r="A137" s="1">
        <v>42916</v>
      </c>
      <c r="B137">
        <v>3.61</v>
      </c>
      <c r="D137" t="s">
        <v>177</v>
      </c>
      <c r="E137" t="s">
        <v>63</v>
      </c>
      <c r="F137" t="s">
        <v>7</v>
      </c>
      <c r="G137" t="s">
        <v>7</v>
      </c>
    </row>
    <row r="138" spans="1:14" x14ac:dyDescent="0.25">
      <c r="A138" s="26" t="s">
        <v>223</v>
      </c>
      <c r="B138" s="27">
        <f>SUM(B91:B137)</f>
        <v>1052.3599999999997</v>
      </c>
      <c r="C138" s="27">
        <f>SUM(C91:C137)</f>
        <v>57074.759999999995</v>
      </c>
      <c r="D138" s="27">
        <f>B138-C138+D90</f>
        <v>16414.449999999968</v>
      </c>
      <c r="E138" t="s">
        <v>224</v>
      </c>
    </row>
    <row r="139" spans="1:14" x14ac:dyDescent="0.25">
      <c r="A139" s="1"/>
    </row>
    <row r="140" spans="1:14" ht="26.25" x14ac:dyDescent="0.4">
      <c r="A140" s="39" t="s">
        <v>340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</row>
    <row r="141" spans="1:14" x14ac:dyDescent="0.25">
      <c r="A141" s="1">
        <v>42927</v>
      </c>
      <c r="C141">
        <v>1571.63</v>
      </c>
      <c r="E141" t="s">
        <v>235</v>
      </c>
      <c r="F141" t="s">
        <v>23</v>
      </c>
      <c r="G141" t="s">
        <v>209</v>
      </c>
    </row>
    <row r="142" spans="1:14" x14ac:dyDescent="0.25">
      <c r="A142" s="1">
        <v>42947</v>
      </c>
      <c r="B142">
        <v>2.61</v>
      </c>
      <c r="E142" t="s">
        <v>63</v>
      </c>
      <c r="F142" t="s">
        <v>7</v>
      </c>
      <c r="G142" t="s">
        <v>7</v>
      </c>
    </row>
    <row r="143" spans="1:14" x14ac:dyDescent="0.25">
      <c r="A143" s="1">
        <v>42954</v>
      </c>
      <c r="C143">
        <v>992.06</v>
      </c>
      <c r="E143" t="s">
        <v>249</v>
      </c>
      <c r="F143" t="s">
        <v>23</v>
      </c>
      <c r="G143" t="s">
        <v>207</v>
      </c>
    </row>
    <row r="144" spans="1:14" x14ac:dyDescent="0.25">
      <c r="A144" s="1">
        <v>42954</v>
      </c>
      <c r="C144">
        <v>438.71</v>
      </c>
      <c r="E144" t="s">
        <v>229</v>
      </c>
      <c r="F144" t="s">
        <v>23</v>
      </c>
      <c r="G144" t="s">
        <v>208</v>
      </c>
    </row>
    <row r="145" spans="1:7" x14ac:dyDescent="0.25">
      <c r="A145" s="1">
        <v>42962</v>
      </c>
      <c r="C145">
        <v>1425.75</v>
      </c>
      <c r="E145" t="s">
        <v>250</v>
      </c>
      <c r="F145" t="s">
        <v>23</v>
      </c>
      <c r="G145" t="s">
        <v>206</v>
      </c>
    </row>
    <row r="146" spans="1:7" x14ac:dyDescent="0.25">
      <c r="A146" s="1">
        <v>42968</v>
      </c>
      <c r="C146">
        <v>137.25</v>
      </c>
      <c r="E146" t="s">
        <v>251</v>
      </c>
      <c r="F146" t="s">
        <v>23</v>
      </c>
      <c r="G146" t="s">
        <v>205</v>
      </c>
    </row>
    <row r="147" spans="1:7" x14ac:dyDescent="0.25">
      <c r="A147" s="1">
        <v>42978</v>
      </c>
      <c r="B147">
        <v>2.2000000000000002</v>
      </c>
      <c r="E147" t="s">
        <v>63</v>
      </c>
      <c r="F147" t="s">
        <v>7</v>
      </c>
      <c r="G147" t="s">
        <v>7</v>
      </c>
    </row>
    <row r="148" spans="1:7" x14ac:dyDescent="0.25">
      <c r="A148" s="1">
        <v>42979</v>
      </c>
      <c r="C148" s="34">
        <v>5000</v>
      </c>
      <c r="E148" t="s">
        <v>252</v>
      </c>
      <c r="F148" t="s">
        <v>23</v>
      </c>
      <c r="G148" t="s">
        <v>203</v>
      </c>
    </row>
    <row r="149" spans="1:7" x14ac:dyDescent="0.25">
      <c r="A149" s="1">
        <v>42979</v>
      </c>
      <c r="C149">
        <v>393.25</v>
      </c>
      <c r="E149" t="s">
        <v>250</v>
      </c>
      <c r="F149" t="s">
        <v>23</v>
      </c>
      <c r="G149" t="s">
        <v>204</v>
      </c>
    </row>
    <row r="150" spans="1:7" x14ac:dyDescent="0.25">
      <c r="A150" s="1">
        <v>42991</v>
      </c>
      <c r="C150" s="34">
        <v>6250</v>
      </c>
      <c r="E150" t="s">
        <v>253</v>
      </c>
      <c r="F150" t="s">
        <v>23</v>
      </c>
      <c r="G150" t="s">
        <v>202</v>
      </c>
    </row>
    <row r="151" spans="1:7" x14ac:dyDescent="0.25">
      <c r="A151" s="1">
        <v>43007</v>
      </c>
      <c r="B151">
        <v>0.49</v>
      </c>
      <c r="E151" t="s">
        <v>63</v>
      </c>
      <c r="F151" t="s">
        <v>7</v>
      </c>
      <c r="G151" t="s">
        <v>7</v>
      </c>
    </row>
    <row r="152" spans="1:7" x14ac:dyDescent="0.25">
      <c r="A152" s="1">
        <v>43056</v>
      </c>
      <c r="C152">
        <v>544.5</v>
      </c>
      <c r="E152" t="s">
        <v>254</v>
      </c>
      <c r="F152" t="s">
        <v>23</v>
      </c>
      <c r="G152" t="s">
        <v>201</v>
      </c>
    </row>
    <row r="153" spans="1:7" x14ac:dyDescent="0.25">
      <c r="A153" s="1">
        <v>43056</v>
      </c>
      <c r="B153" s="34">
        <v>50000</v>
      </c>
      <c r="E153" t="s">
        <v>227</v>
      </c>
      <c r="F153" t="s">
        <v>62</v>
      </c>
      <c r="G153" t="s">
        <v>109</v>
      </c>
    </row>
    <row r="154" spans="1:7" x14ac:dyDescent="0.25">
      <c r="A154" s="1">
        <v>43066</v>
      </c>
      <c r="C154" s="34">
        <v>7500</v>
      </c>
      <c r="E154" t="s">
        <v>253</v>
      </c>
      <c r="F154" t="s">
        <v>23</v>
      </c>
      <c r="G154" t="s">
        <v>199</v>
      </c>
    </row>
    <row r="155" spans="1:7" x14ac:dyDescent="0.25">
      <c r="A155" s="1">
        <v>43066</v>
      </c>
      <c r="C155">
        <v>295.62</v>
      </c>
      <c r="E155" t="s">
        <v>255</v>
      </c>
      <c r="F155" t="s">
        <v>23</v>
      </c>
      <c r="G155" t="s">
        <v>200</v>
      </c>
    </row>
    <row r="156" spans="1:7" x14ac:dyDescent="0.25">
      <c r="A156" s="1">
        <v>43069</v>
      </c>
      <c r="B156">
        <v>2.76</v>
      </c>
      <c r="E156" t="s">
        <v>63</v>
      </c>
      <c r="F156" t="s">
        <v>7</v>
      </c>
      <c r="G156" t="s">
        <v>7</v>
      </c>
    </row>
    <row r="157" spans="1:7" x14ac:dyDescent="0.25">
      <c r="A157" s="1">
        <v>43098</v>
      </c>
      <c r="B157">
        <v>4.99</v>
      </c>
      <c r="E157" t="s">
        <v>63</v>
      </c>
      <c r="F157" t="s">
        <v>7</v>
      </c>
      <c r="G157" t="s">
        <v>7</v>
      </c>
    </row>
    <row r="158" spans="1:7" x14ac:dyDescent="0.25">
      <c r="A158" s="35">
        <v>43109</v>
      </c>
      <c r="B158" s="25"/>
      <c r="C158" s="25">
        <v>636.52</v>
      </c>
      <c r="D158" s="25"/>
      <c r="E158" s="25" t="s">
        <v>308</v>
      </c>
      <c r="F158" t="s">
        <v>23</v>
      </c>
      <c r="G158" t="s">
        <v>246</v>
      </c>
    </row>
    <row r="159" spans="1:7" x14ac:dyDescent="0.25">
      <c r="A159" s="1">
        <v>43131</v>
      </c>
      <c r="B159">
        <v>5.63</v>
      </c>
      <c r="E159" t="s">
        <v>63</v>
      </c>
      <c r="F159" t="s">
        <v>7</v>
      </c>
      <c r="G159" t="s">
        <v>7</v>
      </c>
    </row>
    <row r="160" spans="1:7" x14ac:dyDescent="0.25">
      <c r="A160" s="1">
        <v>43159</v>
      </c>
      <c r="B160">
        <v>4.74</v>
      </c>
      <c r="E160" t="s">
        <v>63</v>
      </c>
      <c r="F160" t="s">
        <v>7</v>
      </c>
      <c r="G160" t="s">
        <v>7</v>
      </c>
    </row>
    <row r="161" spans="1:7" x14ac:dyDescent="0.25">
      <c r="A161" s="1">
        <v>43169</v>
      </c>
      <c r="C161">
        <v>1387.46</v>
      </c>
      <c r="E161" t="s">
        <v>82</v>
      </c>
      <c r="F161" t="s">
        <v>83</v>
      </c>
      <c r="G161" t="s">
        <v>247</v>
      </c>
    </row>
    <row r="162" spans="1:7" x14ac:dyDescent="0.25">
      <c r="A162" s="1">
        <v>43188</v>
      </c>
      <c r="B162">
        <v>4.8099999999999996</v>
      </c>
      <c r="E162" t="s">
        <v>63</v>
      </c>
      <c r="F162" t="s">
        <v>7</v>
      </c>
      <c r="G162" t="s">
        <v>7</v>
      </c>
    </row>
    <row r="163" spans="1:7" x14ac:dyDescent="0.25">
      <c r="A163" s="1">
        <v>43216</v>
      </c>
      <c r="C163">
        <v>157.55000000000001</v>
      </c>
      <c r="E163" t="s">
        <v>82</v>
      </c>
      <c r="F163" t="s">
        <v>248</v>
      </c>
      <c r="G163" t="s">
        <v>248</v>
      </c>
    </row>
    <row r="164" spans="1:7" x14ac:dyDescent="0.25">
      <c r="A164" s="1">
        <v>43220</v>
      </c>
      <c r="B164">
        <v>5.24</v>
      </c>
      <c r="E164" t="s">
        <v>63</v>
      </c>
      <c r="F164" t="s">
        <v>7</v>
      </c>
      <c r="G164" t="s">
        <v>7</v>
      </c>
    </row>
    <row r="165" spans="1:7" x14ac:dyDescent="0.25">
      <c r="A165" s="1">
        <v>43230</v>
      </c>
      <c r="C165">
        <v>152.47</v>
      </c>
      <c r="E165" t="s">
        <v>82</v>
      </c>
      <c r="F165" t="s">
        <v>83</v>
      </c>
    </row>
    <row r="166" spans="1:7" x14ac:dyDescent="0.25">
      <c r="A166" s="1">
        <v>43251</v>
      </c>
      <c r="B166">
        <v>5.05</v>
      </c>
      <c r="E166" t="s">
        <v>63</v>
      </c>
      <c r="F166" t="s">
        <v>7</v>
      </c>
      <c r="G166" t="s">
        <v>7</v>
      </c>
    </row>
    <row r="167" spans="1:7" x14ac:dyDescent="0.25">
      <c r="A167" s="1">
        <v>43262</v>
      </c>
      <c r="C167" s="34">
        <v>157.55000000000001</v>
      </c>
      <c r="E167" t="s">
        <v>82</v>
      </c>
      <c r="F167" t="s">
        <v>83</v>
      </c>
    </row>
    <row r="168" spans="1:7" x14ac:dyDescent="0.25">
      <c r="A168" s="1">
        <v>43278</v>
      </c>
      <c r="C168" s="34">
        <v>10000</v>
      </c>
      <c r="E168" t="s">
        <v>253</v>
      </c>
      <c r="F168" t="s">
        <v>23</v>
      </c>
      <c r="G168" t="s">
        <v>261</v>
      </c>
    </row>
    <row r="169" spans="1:7" x14ac:dyDescent="0.25">
      <c r="A169" s="1">
        <v>43278</v>
      </c>
      <c r="C169" s="34">
        <v>8500</v>
      </c>
      <c r="E169" t="s">
        <v>253</v>
      </c>
      <c r="F169" t="s">
        <v>23</v>
      </c>
      <c r="G169" t="s">
        <v>262</v>
      </c>
    </row>
    <row r="170" spans="1:7" x14ac:dyDescent="0.25">
      <c r="A170" s="1">
        <v>43279</v>
      </c>
      <c r="C170" s="34">
        <v>2500</v>
      </c>
      <c r="E170" t="s">
        <v>253</v>
      </c>
      <c r="F170" t="s">
        <v>23</v>
      </c>
      <c r="G170" t="s">
        <v>263</v>
      </c>
    </row>
    <row r="171" spans="1:7" x14ac:dyDescent="0.25">
      <c r="A171" s="1">
        <v>43279</v>
      </c>
      <c r="C171" s="34">
        <v>438.71</v>
      </c>
      <c r="F171" t="s">
        <v>23</v>
      </c>
      <c r="G171" t="s">
        <v>264</v>
      </c>
    </row>
    <row r="172" spans="1:7" x14ac:dyDescent="0.25">
      <c r="A172" s="1">
        <v>43280</v>
      </c>
      <c r="C172" s="34">
        <v>1.2</v>
      </c>
      <c r="E172" t="s">
        <v>150</v>
      </c>
      <c r="F172" t="s">
        <v>71</v>
      </c>
      <c r="G172" t="s">
        <v>71</v>
      </c>
    </row>
    <row r="173" spans="1:7" x14ac:dyDescent="0.25">
      <c r="A173" s="1">
        <v>43280</v>
      </c>
      <c r="C173" s="34">
        <v>363</v>
      </c>
      <c r="D173" t="s">
        <v>177</v>
      </c>
      <c r="E173" t="s">
        <v>289</v>
      </c>
      <c r="F173" t="s">
        <v>282</v>
      </c>
      <c r="G173" t="s">
        <v>266</v>
      </c>
    </row>
    <row r="174" spans="1:7" x14ac:dyDescent="0.25">
      <c r="A174" s="1">
        <v>43280</v>
      </c>
      <c r="C174" s="34">
        <v>2750</v>
      </c>
      <c r="D174" t="s">
        <v>177</v>
      </c>
      <c r="E174" t="s">
        <v>284</v>
      </c>
      <c r="F174" t="s">
        <v>283</v>
      </c>
      <c r="G174" t="s">
        <v>265</v>
      </c>
    </row>
    <row r="175" spans="1:7" x14ac:dyDescent="0.25">
      <c r="A175" s="1">
        <v>43280</v>
      </c>
      <c r="B175">
        <v>4.54</v>
      </c>
      <c r="F175" t="s">
        <v>7</v>
      </c>
      <c r="G175" t="s">
        <v>7</v>
      </c>
    </row>
    <row r="176" spans="1:7" x14ac:dyDescent="0.25">
      <c r="A176" s="26" t="s">
        <v>223</v>
      </c>
      <c r="B176" s="27">
        <f>SUM(B141:B175)</f>
        <v>50043.06</v>
      </c>
      <c r="C176" s="27">
        <f>SUM(C141:C175)</f>
        <v>51593.229999999996</v>
      </c>
      <c r="D176" s="27">
        <f>B176-C176+D138</f>
        <v>14864.27999999997</v>
      </c>
      <c r="E176" t="s">
        <v>224</v>
      </c>
    </row>
    <row r="177" spans="1:7" x14ac:dyDescent="0.25">
      <c r="A177" s="1"/>
    </row>
    <row r="178" spans="1:7" ht="26.25" x14ac:dyDescent="0.4">
      <c r="A178" s="39" t="s">
        <v>339</v>
      </c>
      <c r="B178" s="17"/>
      <c r="C178" s="17"/>
      <c r="D178" s="17"/>
      <c r="E178" s="17"/>
      <c r="F178" s="17"/>
    </row>
    <row r="179" spans="1:7" x14ac:dyDescent="0.25">
      <c r="A179" s="1">
        <v>43284</v>
      </c>
      <c r="C179" s="34">
        <v>518</v>
      </c>
      <c r="E179" t="s">
        <v>285</v>
      </c>
      <c r="F179" t="s">
        <v>292</v>
      </c>
      <c r="G179" t="s">
        <v>267</v>
      </c>
    </row>
    <row r="180" spans="1:7" x14ac:dyDescent="0.25">
      <c r="A180" s="1">
        <v>43307</v>
      </c>
      <c r="C180">
        <v>149.59</v>
      </c>
      <c r="E180" t="s">
        <v>82</v>
      </c>
      <c r="F180" t="s">
        <v>83</v>
      </c>
      <c r="G180" t="s">
        <v>268</v>
      </c>
    </row>
    <row r="181" spans="1:7" x14ac:dyDescent="0.25">
      <c r="A181" s="1">
        <v>43312</v>
      </c>
      <c r="B181">
        <v>1.89</v>
      </c>
      <c r="E181" t="s">
        <v>63</v>
      </c>
      <c r="F181" t="s">
        <v>7</v>
      </c>
      <c r="G181" t="s">
        <v>7</v>
      </c>
    </row>
    <row r="182" spans="1:7" x14ac:dyDescent="0.25">
      <c r="A182" s="1">
        <v>43322</v>
      </c>
      <c r="C182">
        <v>154.58000000000001</v>
      </c>
      <c r="E182" t="s">
        <v>82</v>
      </c>
      <c r="F182" t="s">
        <v>83</v>
      </c>
      <c r="G182" t="s">
        <v>269</v>
      </c>
    </row>
    <row r="183" spans="1:7" x14ac:dyDescent="0.25">
      <c r="A183" s="1">
        <v>43327</v>
      </c>
      <c r="B183" s="34">
        <v>2280</v>
      </c>
      <c r="E183" t="s">
        <v>286</v>
      </c>
      <c r="F183" t="s">
        <v>306</v>
      </c>
      <c r="G183" t="s">
        <v>307</v>
      </c>
    </row>
    <row r="184" spans="1:7" x14ac:dyDescent="0.25">
      <c r="A184" s="1">
        <v>43343</v>
      </c>
      <c r="B184">
        <v>1.95</v>
      </c>
      <c r="E184" t="s">
        <v>63</v>
      </c>
      <c r="F184" t="s">
        <v>7</v>
      </c>
      <c r="G184" t="s">
        <v>7</v>
      </c>
    </row>
    <row r="185" spans="1:7" x14ac:dyDescent="0.25">
      <c r="A185" s="1">
        <v>43343</v>
      </c>
      <c r="C185" s="34">
        <v>259</v>
      </c>
      <c r="E185" t="s">
        <v>290</v>
      </c>
      <c r="F185" t="s">
        <v>291</v>
      </c>
      <c r="G185" t="s">
        <v>272</v>
      </c>
    </row>
    <row r="186" spans="1:7" x14ac:dyDescent="0.25">
      <c r="A186" s="1">
        <v>43343</v>
      </c>
      <c r="C186" s="34">
        <v>363</v>
      </c>
      <c r="E186" t="s">
        <v>288</v>
      </c>
      <c r="F186" t="s">
        <v>282</v>
      </c>
      <c r="G186" t="s">
        <v>271</v>
      </c>
    </row>
    <row r="187" spans="1:7" x14ac:dyDescent="0.25">
      <c r="A187" s="1">
        <v>43343</v>
      </c>
      <c r="C187" s="34">
        <v>2420</v>
      </c>
      <c r="E187" t="s">
        <v>287</v>
      </c>
      <c r="F187" t="s">
        <v>283</v>
      </c>
      <c r="G187" t="s">
        <v>270</v>
      </c>
    </row>
    <row r="188" spans="1:7" x14ac:dyDescent="0.25">
      <c r="A188" s="1">
        <v>43353</v>
      </c>
      <c r="C188">
        <v>154.58000000000001</v>
      </c>
      <c r="E188" t="s">
        <v>82</v>
      </c>
      <c r="F188" t="s">
        <v>83</v>
      </c>
      <c r="G188" t="s">
        <v>273</v>
      </c>
    </row>
    <row r="189" spans="1:7" x14ac:dyDescent="0.25">
      <c r="A189" s="1">
        <v>43356</v>
      </c>
      <c r="B189" s="34">
        <v>300</v>
      </c>
      <c r="E189" t="s">
        <v>332</v>
      </c>
      <c r="F189" t="s">
        <v>274</v>
      </c>
      <c r="G189" t="s">
        <v>274</v>
      </c>
    </row>
    <row r="190" spans="1:7" x14ac:dyDescent="0.25">
      <c r="A190" s="1">
        <v>43371</v>
      </c>
      <c r="B190">
        <v>1.53</v>
      </c>
      <c r="E190" t="s">
        <v>63</v>
      </c>
      <c r="F190" t="s">
        <v>7</v>
      </c>
      <c r="G190" t="s">
        <v>7</v>
      </c>
    </row>
    <row r="191" spans="1:7" x14ac:dyDescent="0.25">
      <c r="A191" s="1">
        <v>43396</v>
      </c>
      <c r="C191">
        <v>149.59</v>
      </c>
      <c r="E191" t="s">
        <v>82</v>
      </c>
      <c r="F191" t="s">
        <v>297</v>
      </c>
      <c r="G191" t="s">
        <v>297</v>
      </c>
    </row>
    <row r="192" spans="1:7" x14ac:dyDescent="0.25">
      <c r="A192" s="1">
        <v>43404</v>
      </c>
      <c r="B192">
        <v>1.82</v>
      </c>
      <c r="E192" t="s">
        <v>63</v>
      </c>
      <c r="F192" t="s">
        <v>7</v>
      </c>
      <c r="G192" t="s">
        <v>7</v>
      </c>
    </row>
    <row r="193" spans="1:17" x14ac:dyDescent="0.25">
      <c r="A193" s="1">
        <v>43416</v>
      </c>
      <c r="C193">
        <v>154.58000000000001</v>
      </c>
      <c r="E193" t="s">
        <v>82</v>
      </c>
      <c r="F193" t="s">
        <v>298</v>
      </c>
      <c r="G193" t="s">
        <v>298</v>
      </c>
      <c r="M193" s="36" t="s">
        <v>305</v>
      </c>
      <c r="N193" s="36"/>
      <c r="O193" s="36"/>
      <c r="P193" s="36"/>
      <c r="Q193" s="36"/>
    </row>
    <row r="194" spans="1:17" x14ac:dyDescent="0.25">
      <c r="A194" s="1">
        <v>43434</v>
      </c>
      <c r="B194">
        <v>1.62</v>
      </c>
      <c r="E194" t="s">
        <v>63</v>
      </c>
      <c r="F194" t="s">
        <v>7</v>
      </c>
      <c r="G194" t="s">
        <v>7</v>
      </c>
      <c r="M194" s="36">
        <v>134907</v>
      </c>
      <c r="N194" s="36">
        <f>M194/4</f>
        <v>33726.75</v>
      </c>
      <c r="O194" s="36"/>
      <c r="P194" s="36"/>
      <c r="Q194" s="36" t="s">
        <v>309</v>
      </c>
    </row>
    <row r="195" spans="1:17" x14ac:dyDescent="0.25">
      <c r="A195" s="1">
        <v>43444</v>
      </c>
      <c r="C195">
        <v>149.59</v>
      </c>
      <c r="E195" t="s">
        <v>82</v>
      </c>
      <c r="F195" t="s">
        <v>299</v>
      </c>
      <c r="G195" t="s">
        <v>299</v>
      </c>
      <c r="M195" s="36"/>
      <c r="N195" s="36">
        <v>-5000</v>
      </c>
      <c r="O195" s="37">
        <v>42979</v>
      </c>
      <c r="P195" s="36"/>
      <c r="Q195" s="36">
        <v>5000</v>
      </c>
    </row>
    <row r="196" spans="1:17" x14ac:dyDescent="0.25">
      <c r="A196" s="1">
        <v>43465</v>
      </c>
      <c r="B196">
        <v>1.66</v>
      </c>
      <c r="E196" t="s">
        <v>63</v>
      </c>
      <c r="F196" t="s">
        <v>7</v>
      </c>
      <c r="G196" t="s">
        <v>7</v>
      </c>
      <c r="M196" s="36"/>
      <c r="N196" s="36">
        <v>-6250</v>
      </c>
      <c r="O196" s="37">
        <v>42991</v>
      </c>
      <c r="P196" s="36"/>
      <c r="Q196" s="36">
        <v>6250</v>
      </c>
    </row>
    <row r="197" spans="1:17" x14ac:dyDescent="0.25">
      <c r="A197" s="1">
        <v>43475</v>
      </c>
      <c r="C197">
        <v>298.07</v>
      </c>
      <c r="E197" t="s">
        <v>316</v>
      </c>
      <c r="F197" t="s">
        <v>300</v>
      </c>
      <c r="G197" t="s">
        <v>300</v>
      </c>
      <c r="M197" s="36"/>
      <c r="N197" s="36">
        <v>-8500</v>
      </c>
      <c r="O197" s="37">
        <v>43278</v>
      </c>
      <c r="P197" s="37">
        <v>43021</v>
      </c>
      <c r="Q197" s="36">
        <v>10000</v>
      </c>
    </row>
    <row r="198" spans="1:17" x14ac:dyDescent="0.25">
      <c r="A198" s="1">
        <v>43475</v>
      </c>
      <c r="C198">
        <v>154.58000000000001</v>
      </c>
      <c r="E198" t="s">
        <v>82</v>
      </c>
      <c r="F198" t="s">
        <v>301</v>
      </c>
      <c r="G198" t="s">
        <v>301</v>
      </c>
      <c r="M198" s="36"/>
      <c r="N198" s="36">
        <v>-10000</v>
      </c>
      <c r="O198" s="37">
        <v>43278</v>
      </c>
      <c r="P198" s="37">
        <v>43041</v>
      </c>
      <c r="Q198" s="36">
        <v>10000</v>
      </c>
    </row>
    <row r="199" spans="1:17" x14ac:dyDescent="0.25">
      <c r="A199" s="1">
        <v>43496</v>
      </c>
      <c r="B199">
        <v>1.62</v>
      </c>
      <c r="E199" t="s">
        <v>63</v>
      </c>
      <c r="F199" t="s">
        <v>7</v>
      </c>
      <c r="G199" t="s">
        <v>7</v>
      </c>
      <c r="M199" s="36"/>
      <c r="N199" s="36">
        <v>-2500</v>
      </c>
      <c r="O199" s="37">
        <v>43279</v>
      </c>
      <c r="P199" s="36"/>
      <c r="Q199" s="36"/>
    </row>
    <row r="200" spans="1:17" x14ac:dyDescent="0.25">
      <c r="A200" s="1">
        <v>43507</v>
      </c>
      <c r="C200">
        <v>172.41</v>
      </c>
      <c r="E200" t="s">
        <v>82</v>
      </c>
      <c r="F200" t="s">
        <v>302</v>
      </c>
      <c r="G200" t="s">
        <v>302</v>
      </c>
      <c r="M200" s="36"/>
      <c r="N200" s="36">
        <v>-438.71</v>
      </c>
      <c r="O200" s="37">
        <v>43279</v>
      </c>
      <c r="P200" s="36"/>
      <c r="Q200" s="36"/>
    </row>
    <row r="201" spans="1:17" x14ac:dyDescent="0.25">
      <c r="A201" s="1">
        <v>43524</v>
      </c>
      <c r="B201">
        <v>1.43</v>
      </c>
      <c r="E201" t="s">
        <v>63</v>
      </c>
      <c r="F201" t="s">
        <v>7</v>
      </c>
      <c r="G201" t="s">
        <v>7</v>
      </c>
      <c r="M201" s="36"/>
      <c r="N201" s="36">
        <v>-7500</v>
      </c>
      <c r="O201" s="37">
        <v>43066</v>
      </c>
      <c r="P201" s="36" t="s">
        <v>310</v>
      </c>
      <c r="Q201" s="36"/>
    </row>
    <row r="202" spans="1:17" x14ac:dyDescent="0.25">
      <c r="A202" s="1">
        <v>43535</v>
      </c>
      <c r="C202">
        <v>155.72999999999999</v>
      </c>
      <c r="E202" t="s">
        <v>82</v>
      </c>
      <c r="F202" t="s">
        <v>303</v>
      </c>
      <c r="G202" t="s">
        <v>303</v>
      </c>
    </row>
    <row r="203" spans="1:17" x14ac:dyDescent="0.25">
      <c r="A203" s="1">
        <v>43553</v>
      </c>
      <c r="B203">
        <v>1.46</v>
      </c>
      <c r="E203" t="s">
        <v>63</v>
      </c>
      <c r="F203" t="s">
        <v>7</v>
      </c>
      <c r="G203" t="s">
        <v>7</v>
      </c>
    </row>
    <row r="204" spans="1:17" x14ac:dyDescent="0.25">
      <c r="A204" s="1">
        <v>43568</v>
      </c>
      <c r="C204">
        <v>172.41</v>
      </c>
      <c r="E204" t="s">
        <v>82</v>
      </c>
      <c r="F204" t="s">
        <v>304</v>
      </c>
      <c r="G204" t="s">
        <v>304</v>
      </c>
    </row>
    <row r="205" spans="1:17" x14ac:dyDescent="0.25">
      <c r="A205" s="1">
        <v>43585</v>
      </c>
      <c r="B205">
        <v>1.59</v>
      </c>
      <c r="E205" t="s">
        <v>63</v>
      </c>
      <c r="F205" t="s">
        <v>7</v>
      </c>
      <c r="G205" t="s">
        <v>7</v>
      </c>
    </row>
    <row r="206" spans="1:17" x14ac:dyDescent="0.25">
      <c r="A206" s="1">
        <v>43595</v>
      </c>
      <c r="C206" s="34">
        <v>166.85</v>
      </c>
      <c r="E206" t="s">
        <v>82</v>
      </c>
      <c r="F206" t="s">
        <v>312</v>
      </c>
    </row>
    <row r="207" spans="1:17" x14ac:dyDescent="0.25">
      <c r="A207" s="1">
        <v>43615</v>
      </c>
      <c r="C207" s="34">
        <v>259</v>
      </c>
      <c r="E207" t="s">
        <v>311</v>
      </c>
      <c r="F207" t="s">
        <v>292</v>
      </c>
    </row>
    <row r="208" spans="1:17" x14ac:dyDescent="0.25">
      <c r="A208" s="1">
        <v>43615</v>
      </c>
      <c r="C208" s="34">
        <v>407</v>
      </c>
      <c r="E208" t="s">
        <v>314</v>
      </c>
      <c r="F208" t="s">
        <v>282</v>
      </c>
    </row>
    <row r="209" spans="1:6" x14ac:dyDescent="0.25">
      <c r="A209" s="1">
        <v>43615</v>
      </c>
      <c r="C209" s="34">
        <v>2420</v>
      </c>
      <c r="E209" t="s">
        <v>315</v>
      </c>
      <c r="F209" t="s">
        <v>283</v>
      </c>
    </row>
    <row r="210" spans="1:6" x14ac:dyDescent="0.25">
      <c r="A210" s="1">
        <v>43615</v>
      </c>
      <c r="B210" s="34">
        <v>1000</v>
      </c>
      <c r="C210" s="34"/>
      <c r="E210" t="s">
        <v>317</v>
      </c>
      <c r="F210" t="s">
        <v>318</v>
      </c>
    </row>
    <row r="211" spans="1:6" x14ac:dyDescent="0.25">
      <c r="A211" s="1">
        <v>43616</v>
      </c>
      <c r="B211">
        <v>1.51</v>
      </c>
      <c r="E211" t="s">
        <v>63</v>
      </c>
      <c r="F211" t="s">
        <v>7</v>
      </c>
    </row>
    <row r="212" spans="1:6" x14ac:dyDescent="0.25">
      <c r="A212" s="1">
        <v>43626</v>
      </c>
      <c r="C212">
        <v>172.41</v>
      </c>
      <c r="E212" t="s">
        <v>82</v>
      </c>
      <c r="F212" t="s">
        <v>312</v>
      </c>
    </row>
    <row r="213" spans="1:6" x14ac:dyDescent="0.25">
      <c r="A213" s="1">
        <v>43626</v>
      </c>
      <c r="C213" s="34">
        <v>5000</v>
      </c>
      <c r="E213" t="s">
        <v>313</v>
      </c>
      <c r="F213" t="s">
        <v>312</v>
      </c>
    </row>
    <row r="214" spans="1:6" x14ac:dyDescent="0.25">
      <c r="A214" s="1">
        <v>43640</v>
      </c>
      <c r="B214" s="34">
        <v>1000</v>
      </c>
      <c r="E214" t="s">
        <v>327</v>
      </c>
      <c r="F214" t="s">
        <v>326</v>
      </c>
    </row>
    <row r="215" spans="1:6" x14ac:dyDescent="0.25">
      <c r="A215" s="1">
        <v>43644</v>
      </c>
      <c r="B215">
        <v>0.49</v>
      </c>
      <c r="E215" t="s">
        <v>63</v>
      </c>
      <c r="F215" t="s">
        <v>7</v>
      </c>
    </row>
    <row r="216" spans="1:6" x14ac:dyDescent="0.25">
      <c r="A216" s="26" t="s">
        <v>223</v>
      </c>
      <c r="B216" s="27">
        <f>SUM(B179:B215)</f>
        <v>4598.57</v>
      </c>
      <c r="C216" s="27">
        <f>SUM(C179:C215)</f>
        <v>13850.97</v>
      </c>
      <c r="D216" s="27">
        <f>B216-C216+D176</f>
        <v>5611.8799999999701</v>
      </c>
      <c r="E216" t="s">
        <v>224</v>
      </c>
    </row>
    <row r="218" spans="1:6" x14ac:dyDescent="0.25">
      <c r="A218" s="51" t="s">
        <v>336</v>
      </c>
      <c r="B218" s="52"/>
      <c r="C218" s="52"/>
    </row>
    <row r="219" spans="1:6" ht="30" x14ac:dyDescent="0.25">
      <c r="A219" s="52" t="s">
        <v>333</v>
      </c>
      <c r="B219" s="53">
        <f>B214+B210+B189+B183</f>
        <v>4580</v>
      </c>
      <c r="C219" s="56" t="s">
        <v>344</v>
      </c>
    </row>
    <row r="220" spans="1:6" x14ac:dyDescent="0.25">
      <c r="A220" s="52" t="s">
        <v>16</v>
      </c>
      <c r="B220" s="54">
        <f>B216-B219</f>
        <v>18.569999999999709</v>
      </c>
      <c r="C220" s="52"/>
    </row>
    <row r="221" spans="1:6" x14ac:dyDescent="0.25">
      <c r="A221" s="52" t="s">
        <v>82</v>
      </c>
      <c r="B221" s="54"/>
      <c r="C221" s="52">
        <f>SUMIF(E179:E215,A221,C179:C215)+C197</f>
        <v>2204.9700000000003</v>
      </c>
    </row>
    <row r="222" spans="1:6" x14ac:dyDescent="0.25">
      <c r="A222" s="52" t="s">
        <v>313</v>
      </c>
      <c r="B222" s="54"/>
      <c r="C222" s="52">
        <f>SUMIF(E179:E216,A222,C179:C216)</f>
        <v>5000</v>
      </c>
    </row>
    <row r="223" spans="1:6" x14ac:dyDescent="0.25">
      <c r="A223" s="52" t="s">
        <v>337</v>
      </c>
      <c r="B223" s="54"/>
      <c r="C223" s="53">
        <f>C186+C187+C209+C208</f>
        <v>5610</v>
      </c>
    </row>
    <row r="224" spans="1:6" x14ac:dyDescent="0.25">
      <c r="A224" s="52" t="s">
        <v>338</v>
      </c>
      <c r="B224" s="54"/>
      <c r="C224" s="53">
        <f>C179+C185+C207</f>
        <v>1036</v>
      </c>
    </row>
    <row r="225" spans="1:6" ht="15.75" thickBot="1" x14ac:dyDescent="0.3">
      <c r="A225" s="52"/>
      <c r="B225" s="55">
        <f>SUM(B219:B224)</f>
        <v>4598.57</v>
      </c>
      <c r="C225" s="55">
        <f>SUM(C219:C224)</f>
        <v>13850.970000000001</v>
      </c>
    </row>
    <row r="226" spans="1:6" x14ac:dyDescent="0.25">
      <c r="B226" s="19"/>
      <c r="C226" s="34"/>
      <c r="D226" s="42">
        <f>SUMIF($F$5:$F$62,$F$226,$C$5:$C$62)-$C$27</f>
        <v>213552.31000000003</v>
      </c>
      <c r="E226" s="43" t="s">
        <v>346</v>
      </c>
      <c r="F226" s="44" t="s">
        <v>23</v>
      </c>
    </row>
    <row r="227" spans="1:6" x14ac:dyDescent="0.25">
      <c r="B227" s="19"/>
      <c r="C227" s="34"/>
      <c r="D227" s="45">
        <f>SUMIF($F$69:$F$137,$F$227,$C$69:$C$137)</f>
        <v>67456.299999999988</v>
      </c>
      <c r="E227" s="46" t="s">
        <v>347</v>
      </c>
      <c r="F227" s="47" t="s">
        <v>23</v>
      </c>
    </row>
    <row r="228" spans="1:6" x14ac:dyDescent="0.25">
      <c r="B228" s="19"/>
      <c r="C228" s="34"/>
      <c r="D228" s="45">
        <f>SUMIF($F$141:$F$175,$F$228,$C$141:$C$175)</f>
        <v>46624</v>
      </c>
      <c r="E228" s="46" t="s">
        <v>348</v>
      </c>
      <c r="F228" s="47" t="s">
        <v>23</v>
      </c>
    </row>
    <row r="229" spans="1:6" x14ac:dyDescent="0.25">
      <c r="B229" s="19"/>
      <c r="C229" s="34"/>
      <c r="D229" s="45">
        <f>SUMIF($F$179:$F$215,$F$229,$C$179:$C$215)</f>
        <v>0</v>
      </c>
      <c r="E229" s="46" t="s">
        <v>349</v>
      </c>
      <c r="F229" s="47" t="s">
        <v>23</v>
      </c>
    </row>
    <row r="230" spans="1:6" ht="15.75" thickBot="1" x14ac:dyDescent="0.3">
      <c r="B230" s="19"/>
      <c r="C230" s="34"/>
      <c r="D230" s="48">
        <f>SUM(D226:D229)</f>
        <v>327632.61</v>
      </c>
      <c r="E230" s="49" t="s">
        <v>345</v>
      </c>
      <c r="F230" s="50"/>
    </row>
    <row r="231" spans="1:6" x14ac:dyDescent="0.25">
      <c r="B231" s="19"/>
      <c r="C231" s="34"/>
    </row>
    <row r="232" spans="1:6" s="25" customFormat="1" ht="26.25" x14ac:dyDescent="0.4">
      <c r="A232" s="39" t="s">
        <v>341</v>
      </c>
      <c r="B232" s="18"/>
      <c r="C232" s="18"/>
      <c r="D232" s="18"/>
      <c r="E232" s="18"/>
      <c r="F232" s="18"/>
    </row>
    <row r="233" spans="1:6" x14ac:dyDescent="0.25">
      <c r="A233" s="1">
        <v>43656</v>
      </c>
      <c r="C233" s="34">
        <v>500</v>
      </c>
      <c r="E233" t="s">
        <v>313</v>
      </c>
      <c r="F233" t="s">
        <v>324</v>
      </c>
    </row>
    <row r="234" spans="1:6" x14ac:dyDescent="0.25">
      <c r="A234" s="1">
        <v>43656</v>
      </c>
      <c r="C234" s="34">
        <v>143.01</v>
      </c>
      <c r="E234" t="s">
        <v>82</v>
      </c>
      <c r="F234" t="s">
        <v>325</v>
      </c>
    </row>
    <row r="235" spans="1:6" x14ac:dyDescent="0.25">
      <c r="A235" s="1">
        <v>43677</v>
      </c>
      <c r="B235">
        <v>0.28000000000000003</v>
      </c>
      <c r="C235" s="34"/>
      <c r="E235" t="s">
        <v>63</v>
      </c>
      <c r="F235" t="s">
        <v>7</v>
      </c>
    </row>
    <row r="236" spans="1:6" x14ac:dyDescent="0.25">
      <c r="A236" s="1">
        <v>43693</v>
      </c>
      <c r="C236" s="34">
        <v>500</v>
      </c>
      <c r="E236" t="s">
        <v>313</v>
      </c>
      <c r="F236" t="s">
        <v>322</v>
      </c>
    </row>
    <row r="237" spans="1:6" x14ac:dyDescent="0.25">
      <c r="A237" s="1">
        <v>43693</v>
      </c>
      <c r="C237" s="34">
        <v>181.09</v>
      </c>
      <c r="E237" t="s">
        <v>82</v>
      </c>
      <c r="F237" t="s">
        <v>323</v>
      </c>
    </row>
    <row r="238" spans="1:6" x14ac:dyDescent="0.25">
      <c r="A238" s="1">
        <v>43719</v>
      </c>
      <c r="C238" s="34">
        <v>500</v>
      </c>
      <c r="E238" t="s">
        <v>313</v>
      </c>
      <c r="F238" t="s">
        <v>320</v>
      </c>
    </row>
    <row r="239" spans="1:6" x14ac:dyDescent="0.25">
      <c r="A239" s="1">
        <v>43719</v>
      </c>
      <c r="C239" s="34">
        <v>122.71</v>
      </c>
      <c r="E239" t="s">
        <v>82</v>
      </c>
      <c r="F239" t="s">
        <v>321</v>
      </c>
    </row>
    <row r="240" spans="1:6" x14ac:dyDescent="0.25">
      <c r="A240" s="1">
        <v>43748</v>
      </c>
      <c r="C240" s="34">
        <v>500</v>
      </c>
      <c r="E240" t="s">
        <v>313</v>
      </c>
      <c r="F240" t="s">
        <v>334</v>
      </c>
    </row>
    <row r="241" spans="1:8" x14ac:dyDescent="0.25">
      <c r="A241" s="1">
        <v>43748</v>
      </c>
      <c r="C241" s="34">
        <v>134.5</v>
      </c>
      <c r="E241" t="s">
        <v>82</v>
      </c>
      <c r="F241" t="s">
        <v>335</v>
      </c>
    </row>
    <row r="242" spans="1:8" x14ac:dyDescent="0.25">
      <c r="A242" s="1">
        <v>43780</v>
      </c>
      <c r="C242" s="34">
        <v>500</v>
      </c>
      <c r="E242" t="s">
        <v>313</v>
      </c>
      <c r="F242" t="s">
        <v>359</v>
      </c>
    </row>
    <row r="243" spans="1:8" x14ac:dyDescent="0.25">
      <c r="A243" s="1">
        <v>43780</v>
      </c>
      <c r="C243" s="34">
        <v>145.81</v>
      </c>
      <c r="E243" t="s">
        <v>82</v>
      </c>
      <c r="F243" t="s">
        <v>360</v>
      </c>
    </row>
    <row r="244" spans="1:8" x14ac:dyDescent="0.25">
      <c r="A244" s="1">
        <v>43809</v>
      </c>
      <c r="C244" s="34">
        <v>500</v>
      </c>
      <c r="E244" t="s">
        <v>313</v>
      </c>
      <c r="F244" t="s">
        <v>357</v>
      </c>
    </row>
    <row r="245" spans="1:8" x14ac:dyDescent="0.25">
      <c r="A245" s="1">
        <v>43809</v>
      </c>
      <c r="C245" s="34">
        <v>129.78</v>
      </c>
      <c r="E245" t="s">
        <v>82</v>
      </c>
      <c r="F245" t="s">
        <v>358</v>
      </c>
    </row>
    <row r="246" spans="1:8" x14ac:dyDescent="0.25">
      <c r="A246" s="1">
        <v>43833</v>
      </c>
      <c r="B246">
        <v>1000</v>
      </c>
      <c r="E246" t="s">
        <v>64</v>
      </c>
      <c r="F246" t="s">
        <v>356</v>
      </c>
    </row>
    <row r="247" spans="1:8" x14ac:dyDescent="0.25">
      <c r="A247" s="1">
        <v>43840</v>
      </c>
      <c r="C247" s="34">
        <v>500</v>
      </c>
      <c r="E247" t="s">
        <v>313</v>
      </c>
      <c r="F247" t="s">
        <v>354</v>
      </c>
      <c r="H247" s="1"/>
    </row>
    <row r="248" spans="1:8" x14ac:dyDescent="0.25">
      <c r="A248" s="1">
        <v>43840</v>
      </c>
      <c r="C248" s="34">
        <v>136.21</v>
      </c>
      <c r="E248" t="s">
        <v>82</v>
      </c>
      <c r="F248" t="s">
        <v>355</v>
      </c>
      <c r="H248" s="1"/>
    </row>
    <row r="249" spans="1:8" x14ac:dyDescent="0.25">
      <c r="A249" s="1">
        <v>43871</v>
      </c>
      <c r="C249" s="34">
        <v>133.69</v>
      </c>
      <c r="E249" t="s">
        <v>82</v>
      </c>
      <c r="F249" t="s">
        <v>389</v>
      </c>
      <c r="H249" s="1"/>
    </row>
    <row r="250" spans="1:8" x14ac:dyDescent="0.25">
      <c r="A250" s="1">
        <v>43871</v>
      </c>
      <c r="C250" s="34">
        <v>500</v>
      </c>
      <c r="E250" t="s">
        <v>313</v>
      </c>
      <c r="F250" t="s">
        <v>388</v>
      </c>
      <c r="H250" s="1"/>
    </row>
    <row r="251" spans="1:8" x14ac:dyDescent="0.25">
      <c r="A251" s="1">
        <v>43900</v>
      </c>
      <c r="C251" s="34">
        <v>122.71</v>
      </c>
      <c r="E251" t="s">
        <v>82</v>
      </c>
      <c r="F251" t="s">
        <v>378</v>
      </c>
      <c r="H251" s="1"/>
    </row>
    <row r="252" spans="1:8" x14ac:dyDescent="0.25">
      <c r="A252" s="1">
        <v>43900</v>
      </c>
      <c r="C252" s="34">
        <v>500</v>
      </c>
      <c r="E252" t="s">
        <v>313</v>
      </c>
      <c r="F252" t="s">
        <v>377</v>
      </c>
      <c r="H252" s="1"/>
    </row>
    <row r="253" spans="1:8" x14ac:dyDescent="0.25">
      <c r="A253" s="1">
        <v>43930</v>
      </c>
      <c r="C253">
        <v>128.29</v>
      </c>
      <c r="E253" t="s">
        <v>82</v>
      </c>
      <c r="F253" t="s">
        <v>376</v>
      </c>
      <c r="H253" s="1"/>
    </row>
    <row r="254" spans="1:8" x14ac:dyDescent="0.25">
      <c r="A254" s="1">
        <v>43935</v>
      </c>
      <c r="C254" s="34">
        <v>500</v>
      </c>
      <c r="E254" t="s">
        <v>313</v>
      </c>
      <c r="F254" t="s">
        <v>375</v>
      </c>
      <c r="H254" s="1"/>
    </row>
    <row r="255" spans="1:8" x14ac:dyDescent="0.25">
      <c r="A255" s="1">
        <v>43963</v>
      </c>
      <c r="C255" s="34">
        <v>121.72</v>
      </c>
      <c r="E255" t="s">
        <v>82</v>
      </c>
      <c r="F255" t="s">
        <v>374</v>
      </c>
      <c r="H255" s="1"/>
    </row>
    <row r="256" spans="1:8" x14ac:dyDescent="0.25">
      <c r="A256" s="1">
        <v>43978</v>
      </c>
      <c r="B256">
        <v>1000</v>
      </c>
      <c r="E256" t="s">
        <v>65</v>
      </c>
      <c r="F256" t="s">
        <v>373</v>
      </c>
      <c r="H256" s="1"/>
    </row>
    <row r="257" spans="1:8" x14ac:dyDescent="0.25">
      <c r="A257" s="1">
        <v>44012</v>
      </c>
      <c r="C257" s="34">
        <v>500</v>
      </c>
      <c r="E257" t="s">
        <v>313</v>
      </c>
      <c r="F257" t="s">
        <v>371</v>
      </c>
      <c r="H257" s="1"/>
    </row>
    <row r="258" spans="1:8" x14ac:dyDescent="0.25">
      <c r="A258" s="1">
        <v>44012</v>
      </c>
      <c r="C258" s="34">
        <v>206.93</v>
      </c>
      <c r="E258" t="s">
        <v>82</v>
      </c>
      <c r="F258" t="s">
        <v>372</v>
      </c>
      <c r="H258" s="1"/>
    </row>
    <row r="259" spans="1:8" x14ac:dyDescent="0.25">
      <c r="A259" s="26" t="s">
        <v>223</v>
      </c>
      <c r="B259" s="27">
        <f>SUM(B233:B258)</f>
        <v>2000.28</v>
      </c>
      <c r="C259" s="27">
        <f>SUM(C233:C258)</f>
        <v>7206.45</v>
      </c>
      <c r="D259" s="27">
        <f>B259-C259+D216</f>
        <v>405.70999999997002</v>
      </c>
      <c r="H259" s="1"/>
    </row>
    <row r="260" spans="1:8" x14ac:dyDescent="0.25">
      <c r="A260" s="51" t="s">
        <v>336</v>
      </c>
      <c r="B260" s="52"/>
      <c r="C260" s="52"/>
      <c r="D260" s="57"/>
    </row>
    <row r="261" spans="1:8" ht="30" x14ac:dyDescent="0.25">
      <c r="A261" s="52" t="s">
        <v>385</v>
      </c>
      <c r="B261" s="53">
        <f>B246</f>
        <v>1000</v>
      </c>
      <c r="C261" s="56" t="s">
        <v>344</v>
      </c>
      <c r="D261" s="57"/>
    </row>
    <row r="262" spans="1:8" ht="30" x14ac:dyDescent="0.25">
      <c r="A262" s="52" t="s">
        <v>333</v>
      </c>
      <c r="B262" s="53">
        <f>B256</f>
        <v>1000</v>
      </c>
      <c r="C262" s="56" t="s">
        <v>344</v>
      </c>
      <c r="D262" s="57"/>
    </row>
    <row r="263" spans="1:8" x14ac:dyDescent="0.25">
      <c r="A263" s="52" t="s">
        <v>16</v>
      </c>
      <c r="B263" s="54">
        <f>B259-B261-B262</f>
        <v>0.27999999999997272</v>
      </c>
      <c r="C263" s="52"/>
      <c r="D263" s="57"/>
    </row>
    <row r="264" spans="1:8" x14ac:dyDescent="0.25">
      <c r="A264" s="52" t="s">
        <v>82</v>
      </c>
      <c r="B264" s="54"/>
      <c r="C264" s="53">
        <f>SUMIF(E233:E258,A264,C233:C258)</f>
        <v>1706.45</v>
      </c>
      <c r="D264" s="57"/>
    </row>
    <row r="265" spans="1:8" x14ac:dyDescent="0.25">
      <c r="A265" s="52" t="s">
        <v>313</v>
      </c>
      <c r="B265" s="54"/>
      <c r="C265" s="53">
        <f>SUMIF(E233:E258,A265,C233:C258)</f>
        <v>5500</v>
      </c>
      <c r="D265" s="57"/>
    </row>
    <row r="266" spans="1:8" x14ac:dyDescent="0.25">
      <c r="A266" s="52" t="s">
        <v>337</v>
      </c>
      <c r="B266" s="54"/>
      <c r="C266" s="53">
        <v>0</v>
      </c>
      <c r="D266" s="57"/>
    </row>
    <row r="267" spans="1:8" x14ac:dyDescent="0.25">
      <c r="A267" s="52" t="s">
        <v>338</v>
      </c>
      <c r="B267" s="54"/>
      <c r="C267" s="53">
        <v>0</v>
      </c>
      <c r="D267" s="57"/>
    </row>
    <row r="268" spans="1:8" ht="15.75" thickBot="1" x14ac:dyDescent="0.3">
      <c r="A268" s="52"/>
      <c r="B268" s="55">
        <f>SUM(B261:B267)</f>
        <v>2000.28</v>
      </c>
      <c r="C268" s="55">
        <f>SUM(C261:C267)</f>
        <v>7206.45</v>
      </c>
      <c r="D268" s="57"/>
    </row>
    <row r="269" spans="1:8" x14ac:dyDescent="0.25">
      <c r="A269" s="26"/>
      <c r="B269" s="57"/>
      <c r="C269" s="57"/>
      <c r="D269" s="42">
        <f>SUMIF($F$5:$F$62,$F$269,$C$5:$C$62)-$C$27</f>
        <v>213552.31000000003</v>
      </c>
      <c r="E269" s="43" t="s">
        <v>346</v>
      </c>
      <c r="F269" s="44" t="s">
        <v>23</v>
      </c>
    </row>
    <row r="270" spans="1:8" x14ac:dyDescent="0.25">
      <c r="A270" s="26"/>
      <c r="B270" s="57"/>
      <c r="C270" s="57"/>
      <c r="D270" s="45">
        <f>SUMIF($F$69:$F$137,$F$270,$C$69:$C$137)</f>
        <v>67456.299999999988</v>
      </c>
      <c r="E270" s="46" t="s">
        <v>347</v>
      </c>
      <c r="F270" s="47" t="s">
        <v>23</v>
      </c>
    </row>
    <row r="271" spans="1:8" x14ac:dyDescent="0.25">
      <c r="D271" s="45">
        <f>SUMIF($F$141:$F$175,$F$271,$C$141:$C$175)</f>
        <v>46624</v>
      </c>
      <c r="E271" s="46" t="s">
        <v>348</v>
      </c>
      <c r="F271" s="47" t="s">
        <v>23</v>
      </c>
    </row>
    <row r="272" spans="1:8" x14ac:dyDescent="0.25">
      <c r="D272" s="45">
        <f>SUMIF($F$179:$F$215,$F$272,$C$179:$C$215)</f>
        <v>0</v>
      </c>
      <c r="E272" s="46" t="s">
        <v>349</v>
      </c>
      <c r="F272" s="47" t="s">
        <v>23</v>
      </c>
    </row>
    <row r="273" spans="1:6" x14ac:dyDescent="0.25">
      <c r="D273" s="45">
        <f>SUMIF($F$233:$F$258,$F$273,$C$233:$C$258)</f>
        <v>0</v>
      </c>
      <c r="E273" s="46" t="s">
        <v>384</v>
      </c>
      <c r="F273" s="47" t="s">
        <v>23</v>
      </c>
    </row>
    <row r="274" spans="1:6" ht="15.75" thickBot="1" x14ac:dyDescent="0.3">
      <c r="D274" s="48">
        <f>SUM(D269:D272)</f>
        <v>327632.61</v>
      </c>
      <c r="E274" s="49" t="s">
        <v>345</v>
      </c>
      <c r="F274" s="50"/>
    </row>
    <row r="275" spans="1:6" s="25" customFormat="1" x14ac:dyDescent="0.25">
      <c r="D275" s="58"/>
      <c r="E275" s="59"/>
      <c r="F275" s="59"/>
    </row>
    <row r="276" spans="1:6" s="25" customFormat="1" ht="26.25" x14ac:dyDescent="0.4">
      <c r="A276" s="39" t="s">
        <v>383</v>
      </c>
      <c r="B276" s="18"/>
      <c r="C276" s="18"/>
      <c r="D276" s="18"/>
      <c r="E276" s="18"/>
      <c r="F276" s="18"/>
    </row>
    <row r="277" spans="1:6" x14ac:dyDescent="0.25">
      <c r="A277" s="1">
        <v>44043</v>
      </c>
      <c r="C277" s="34">
        <v>259</v>
      </c>
      <c r="E277" t="s">
        <v>381</v>
      </c>
      <c r="F277" t="s">
        <v>369</v>
      </c>
    </row>
    <row r="278" spans="1:6" x14ac:dyDescent="0.25">
      <c r="A278" s="1">
        <v>44043</v>
      </c>
      <c r="B278" s="34">
        <v>6000</v>
      </c>
      <c r="E278" t="s">
        <v>382</v>
      </c>
      <c r="F278" t="s">
        <v>370</v>
      </c>
    </row>
    <row r="279" spans="1:6" x14ac:dyDescent="0.25">
      <c r="A279" s="1">
        <v>44048</v>
      </c>
      <c r="C279" s="34">
        <v>2420</v>
      </c>
      <c r="E279" t="s">
        <v>380</v>
      </c>
      <c r="F279" t="s">
        <v>367</v>
      </c>
    </row>
    <row r="280" spans="1:6" x14ac:dyDescent="0.25">
      <c r="A280" s="1">
        <v>44048</v>
      </c>
      <c r="C280" s="34">
        <v>330</v>
      </c>
      <c r="E280" t="s">
        <v>379</v>
      </c>
      <c r="F280" t="s">
        <v>368</v>
      </c>
    </row>
    <row r="281" spans="1:6" x14ac:dyDescent="0.25">
      <c r="A281" s="1">
        <v>44060</v>
      </c>
      <c r="C281" s="34">
        <v>500</v>
      </c>
      <c r="E281" t="s">
        <v>313</v>
      </c>
      <c r="F281" t="s">
        <v>365</v>
      </c>
    </row>
    <row r="282" spans="1:6" x14ac:dyDescent="0.25">
      <c r="A282" s="1">
        <v>44060</v>
      </c>
      <c r="C282" s="34">
        <v>157.04</v>
      </c>
      <c r="E282" t="s">
        <v>82</v>
      </c>
      <c r="F282" t="s">
        <v>366</v>
      </c>
    </row>
    <row r="283" spans="1:6" x14ac:dyDescent="0.25">
      <c r="A283" s="1">
        <v>44074</v>
      </c>
      <c r="B283">
        <v>0.04</v>
      </c>
      <c r="E283" t="s">
        <v>7</v>
      </c>
      <c r="F283" t="s">
        <v>7</v>
      </c>
    </row>
    <row r="284" spans="1:6" x14ac:dyDescent="0.25">
      <c r="A284" s="1">
        <v>44235</v>
      </c>
      <c r="C284" s="34">
        <v>2000</v>
      </c>
      <c r="E284" t="s">
        <v>313</v>
      </c>
      <c r="F284" t="s">
        <v>386</v>
      </c>
    </row>
    <row r="285" spans="1:6" x14ac:dyDescent="0.25">
      <c r="A285" s="1">
        <v>44235</v>
      </c>
      <c r="C285">
        <v>591.92999999999995</v>
      </c>
      <c r="E285" t="s">
        <v>82</v>
      </c>
      <c r="F285" t="s">
        <v>387</v>
      </c>
    </row>
    <row r="286" spans="1:6" x14ac:dyDescent="0.25">
      <c r="A286" s="1">
        <v>44276</v>
      </c>
      <c r="B286" s="34">
        <v>1000</v>
      </c>
      <c r="E286" t="s">
        <v>65</v>
      </c>
      <c r="F286" t="s">
        <v>373</v>
      </c>
    </row>
    <row r="287" spans="1:6" x14ac:dyDescent="0.25">
      <c r="A287" s="1">
        <v>44276</v>
      </c>
      <c r="B287" s="34">
        <v>1000</v>
      </c>
      <c r="E287" t="s">
        <v>64</v>
      </c>
      <c r="F287" t="s">
        <v>356</v>
      </c>
    </row>
    <row r="288" spans="1:6" x14ac:dyDescent="0.25">
      <c r="B288" s="27">
        <f>SUM(B277:B287)</f>
        <v>8000.04</v>
      </c>
      <c r="C288" s="27">
        <f>SUM(C277:C287)</f>
        <v>6257.97</v>
      </c>
      <c r="D288" s="27">
        <f>B288-C288+D259</f>
        <v>2147.7799999999697</v>
      </c>
    </row>
    <row r="290" spans="1:4" x14ac:dyDescent="0.25">
      <c r="A290" s="51" t="s">
        <v>336</v>
      </c>
      <c r="B290" s="52"/>
      <c r="C290" s="52"/>
    </row>
    <row r="291" spans="1:4" ht="30" x14ac:dyDescent="0.25">
      <c r="A291" s="52" t="s">
        <v>385</v>
      </c>
      <c r="B291" s="53">
        <f>B278+B287</f>
        <v>7000</v>
      </c>
      <c r="C291" s="56" t="s">
        <v>344</v>
      </c>
    </row>
    <row r="292" spans="1:4" ht="30" x14ac:dyDescent="0.25">
      <c r="A292" s="52" t="s">
        <v>333</v>
      </c>
      <c r="B292" s="53">
        <f>B286</f>
        <v>1000</v>
      </c>
      <c r="C292" s="56" t="s">
        <v>344</v>
      </c>
    </row>
    <row r="293" spans="1:4" x14ac:dyDescent="0.25">
      <c r="A293" s="52" t="s">
        <v>16</v>
      </c>
      <c r="B293" s="54">
        <f>B288-B291-B292</f>
        <v>3.999999999996362E-2</v>
      </c>
      <c r="C293" s="52"/>
    </row>
    <row r="294" spans="1:4" x14ac:dyDescent="0.25">
      <c r="A294" s="52" t="s">
        <v>82</v>
      </c>
      <c r="B294" s="54"/>
      <c r="C294" s="53">
        <f>SUMIF(E277:E288,A294,C277:C288)</f>
        <v>748.96999999999991</v>
      </c>
    </row>
    <row r="295" spans="1:4" x14ac:dyDescent="0.25">
      <c r="A295" s="52" t="s">
        <v>313</v>
      </c>
      <c r="B295" s="54"/>
      <c r="C295" s="53">
        <f>SUMIF(E277:E288,A295,C277:C288)</f>
        <v>2500</v>
      </c>
    </row>
    <row r="296" spans="1:4" x14ac:dyDescent="0.25">
      <c r="A296" s="52" t="s">
        <v>337</v>
      </c>
      <c r="B296" s="54"/>
      <c r="C296" s="53">
        <f>C279+C280</f>
        <v>2750</v>
      </c>
    </row>
    <row r="297" spans="1:4" x14ac:dyDescent="0.25">
      <c r="A297" s="52" t="s">
        <v>338</v>
      </c>
      <c r="B297" s="54"/>
      <c r="C297" s="53">
        <f>C277</f>
        <v>259</v>
      </c>
    </row>
    <row r="298" spans="1:4" x14ac:dyDescent="0.25">
      <c r="A298" s="52"/>
      <c r="B298" s="55">
        <f>SUM(B291:B297)</f>
        <v>8000.04</v>
      </c>
      <c r="C298" s="55">
        <f>SUM(C291:C297)</f>
        <v>6257.9699999999993</v>
      </c>
    </row>
    <row r="300" spans="1:4" x14ac:dyDescent="0.25">
      <c r="D300" s="1"/>
    </row>
    <row r="301" spans="1:4" x14ac:dyDescent="0.25">
      <c r="D301" s="1"/>
    </row>
    <row r="302" spans="1:4" x14ac:dyDescent="0.25">
      <c r="D302" s="1"/>
    </row>
    <row r="303" spans="1:4" x14ac:dyDescent="0.25">
      <c r="D303" s="1"/>
    </row>
    <row r="304" spans="1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A35" sqref="A35"/>
    </sheetView>
  </sheetViews>
  <sheetFormatPr defaultRowHeight="15" x14ac:dyDescent="0.25"/>
  <cols>
    <col min="1" max="1" width="21.85546875" customWidth="1"/>
    <col min="2" max="2" width="12.42578125" customWidth="1"/>
    <col min="3" max="4" width="11.5703125" bestFit="1" customWidth="1"/>
    <col min="5" max="5" width="13" customWidth="1"/>
    <col min="6" max="6" width="14.140625" customWidth="1"/>
    <col min="7" max="7" width="10.7109375" bestFit="1" customWidth="1"/>
    <col min="8" max="9" width="10.5703125" bestFit="1" customWidth="1"/>
  </cols>
  <sheetData>
    <row r="1" spans="1:10" x14ac:dyDescent="0.25">
      <c r="A1" t="s">
        <v>36</v>
      </c>
    </row>
    <row r="2" spans="1:10" x14ac:dyDescent="0.25">
      <c r="A2" t="s">
        <v>43</v>
      </c>
    </row>
    <row r="3" spans="1:10" ht="31.5" customHeight="1" x14ac:dyDescent="0.25">
      <c r="A3" s="7"/>
      <c r="B3" s="6" t="s">
        <v>48</v>
      </c>
      <c r="C3" t="s">
        <v>42</v>
      </c>
      <c r="D3" s="6" t="s">
        <v>40</v>
      </c>
      <c r="E3" s="6" t="s">
        <v>39</v>
      </c>
      <c r="F3" s="6" t="s">
        <v>41</v>
      </c>
      <c r="G3" s="6" t="s">
        <v>155</v>
      </c>
    </row>
    <row r="4" spans="1:10" x14ac:dyDescent="0.25">
      <c r="D4" s="5">
        <v>0.5</v>
      </c>
      <c r="E4" s="5">
        <v>0.25</v>
      </c>
      <c r="F4" s="5">
        <v>0.25</v>
      </c>
    </row>
    <row r="5" spans="1:10" x14ac:dyDescent="0.25">
      <c r="A5" t="s">
        <v>44</v>
      </c>
      <c r="B5" s="1">
        <v>42248</v>
      </c>
      <c r="C5" s="8">
        <v>33500</v>
      </c>
      <c r="D5" s="8">
        <f>$C5*$D$4</f>
        <v>16750</v>
      </c>
      <c r="E5" s="21">
        <f>$C5*$E$4-8375</f>
        <v>0</v>
      </c>
      <c r="F5" s="21">
        <f>$C5*$F$4+8375</f>
        <v>16750</v>
      </c>
    </row>
    <row r="6" spans="1:10" x14ac:dyDescent="0.25">
      <c r="A6" t="s">
        <v>45</v>
      </c>
      <c r="B6" s="1">
        <v>42299</v>
      </c>
      <c r="C6" s="8">
        <f>670000-33500-3000</f>
        <v>633500</v>
      </c>
      <c r="D6" s="8">
        <f>$C6*$D$4</f>
        <v>316750</v>
      </c>
      <c r="E6" s="8">
        <f>$C6*$E$4+8375</f>
        <v>166750</v>
      </c>
      <c r="F6" s="8">
        <f>$C6*$F$4-8375</f>
        <v>150000</v>
      </c>
    </row>
    <row r="7" spans="1:10" x14ac:dyDescent="0.25">
      <c r="C7" s="9">
        <f>SUBTOTAL(9,C5:C6)</f>
        <v>667000</v>
      </c>
      <c r="D7" s="9">
        <f t="shared" ref="D7:E7" si="0">SUBTOTAL(9,D5:D6)</f>
        <v>333500</v>
      </c>
      <c r="E7" s="9">
        <f t="shared" si="0"/>
        <v>166750</v>
      </c>
      <c r="F7" s="9">
        <f>SUBTOTAL(9,F5:F6)</f>
        <v>166750</v>
      </c>
      <c r="G7" s="1">
        <v>42297</v>
      </c>
      <c r="J7" t="s">
        <v>278</v>
      </c>
    </row>
    <row r="8" spans="1:10" x14ac:dyDescent="0.25">
      <c r="A8" t="s">
        <v>56</v>
      </c>
      <c r="B8" s="1">
        <v>42299</v>
      </c>
      <c r="C8" s="10">
        <v>229.99</v>
      </c>
      <c r="D8" s="8">
        <f>$C8*$D$4</f>
        <v>114.995</v>
      </c>
      <c r="E8" s="8">
        <f>$C8*$E$4</f>
        <v>57.497500000000002</v>
      </c>
      <c r="F8" s="8">
        <f>$C8*$F$4</f>
        <v>57.497500000000002</v>
      </c>
    </row>
    <row r="9" spans="1:10" x14ac:dyDescent="0.25">
      <c r="A9" t="s">
        <v>37</v>
      </c>
      <c r="B9" s="1">
        <v>42290</v>
      </c>
      <c r="C9" s="8">
        <v>24901.8</v>
      </c>
      <c r="D9" s="8">
        <f>$C9*$D$4</f>
        <v>12450.9</v>
      </c>
      <c r="E9" s="8">
        <f>$C9*$E$4</f>
        <v>6225.45</v>
      </c>
      <c r="F9" s="8">
        <f>$C9*$F$4</f>
        <v>6225.45</v>
      </c>
    </row>
    <row r="10" spans="1:10" x14ac:dyDescent="0.25">
      <c r="A10" s="12" t="s">
        <v>57</v>
      </c>
      <c r="C10" s="8"/>
      <c r="D10" s="8"/>
      <c r="E10" s="8"/>
      <c r="F10" s="8"/>
      <c r="I10" s="19">
        <f>F5+F15</f>
        <v>18750</v>
      </c>
    </row>
    <row r="11" spans="1:10" x14ac:dyDescent="0.25">
      <c r="A11" t="s">
        <v>46</v>
      </c>
      <c r="B11" s="1">
        <v>42216</v>
      </c>
      <c r="C11" s="8">
        <f>SUM(D11:F11)</f>
        <v>1127.5</v>
      </c>
      <c r="D11" s="8">
        <v>563.75</v>
      </c>
      <c r="E11" s="8"/>
      <c r="F11" s="8">
        <v>563.75</v>
      </c>
      <c r="H11" s="19"/>
      <c r="I11" s="19">
        <f>21283-I10</f>
        <v>2533</v>
      </c>
    </row>
    <row r="12" spans="1:10" x14ac:dyDescent="0.25">
      <c r="A12" t="s">
        <v>47</v>
      </c>
      <c r="B12" s="1"/>
      <c r="C12" s="8">
        <v>1500</v>
      </c>
      <c r="D12" s="8">
        <f t="shared" ref="D12:D19" si="1">$C12*$D$4</f>
        <v>750</v>
      </c>
      <c r="E12" s="21">
        <f>$C12*$E$4-375</f>
        <v>0</v>
      </c>
      <c r="F12" s="21">
        <f>$C12*$F$4+375</f>
        <v>750</v>
      </c>
      <c r="G12" s="1">
        <v>42297</v>
      </c>
    </row>
    <row r="13" spans="1:10" x14ac:dyDescent="0.25">
      <c r="A13" t="s">
        <v>49</v>
      </c>
      <c r="B13" s="1">
        <v>42277</v>
      </c>
      <c r="C13" s="8">
        <v>1782</v>
      </c>
      <c r="D13" s="8">
        <f t="shared" si="1"/>
        <v>891</v>
      </c>
      <c r="E13" s="8">
        <f>$C13*$E$4</f>
        <v>445.5</v>
      </c>
      <c r="F13" s="8">
        <f t="shared" ref="F13:F19" si="2">$C13*$F$4</f>
        <v>445.5</v>
      </c>
      <c r="G13" s="1">
        <v>42297</v>
      </c>
    </row>
    <row r="14" spans="1:10" x14ac:dyDescent="0.25">
      <c r="A14" t="s">
        <v>50</v>
      </c>
      <c r="C14" s="9">
        <f>SUBTOTAL(9,C12:C13)</f>
        <v>3282</v>
      </c>
      <c r="D14" s="9">
        <f t="shared" ref="D14:F14" si="3">SUBTOTAL(9,D12:D13)</f>
        <v>1641</v>
      </c>
      <c r="E14" s="9">
        <f>SUBTOTAL(9,E12:E13)</f>
        <v>445.5</v>
      </c>
      <c r="F14" s="9">
        <f t="shared" si="3"/>
        <v>1195.5</v>
      </c>
      <c r="I14">
        <f>1283/2</f>
        <v>641.5</v>
      </c>
    </row>
    <row r="15" spans="1:10" x14ac:dyDescent="0.25">
      <c r="A15" t="s">
        <v>51</v>
      </c>
      <c r="C15" s="10">
        <v>4000</v>
      </c>
      <c r="D15" s="8">
        <f t="shared" si="1"/>
        <v>2000</v>
      </c>
      <c r="E15" s="21">
        <f>$C15*$E$4-1000</f>
        <v>0</v>
      </c>
      <c r="F15" s="21">
        <f>$C15*$F$4+1000</f>
        <v>2000</v>
      </c>
      <c r="I15">
        <f>1283*2</f>
        <v>2566</v>
      </c>
    </row>
    <row r="16" spans="1:10" x14ac:dyDescent="0.25">
      <c r="A16" t="s">
        <v>52</v>
      </c>
      <c r="B16" s="1">
        <v>42247</v>
      </c>
      <c r="C16" s="11">
        <v>2930</v>
      </c>
      <c r="D16" s="8">
        <f t="shared" si="1"/>
        <v>1465</v>
      </c>
      <c r="E16" s="21">
        <f>$C16*$E$4-732.5</f>
        <v>0</v>
      </c>
      <c r="F16" s="21">
        <f>$C16*$F$4+732.5</f>
        <v>1465</v>
      </c>
    </row>
    <row r="17" spans="1:8" x14ac:dyDescent="0.25">
      <c r="A17" t="s">
        <v>53</v>
      </c>
      <c r="B17" s="1">
        <v>42247</v>
      </c>
      <c r="C17" s="9">
        <f>SUBTOTAL(9,C15:C16)</f>
        <v>6930</v>
      </c>
      <c r="D17" s="9">
        <f t="shared" ref="D17" si="4">SUBTOTAL(9,D15:D16)</f>
        <v>3465</v>
      </c>
      <c r="E17" s="22">
        <f>SUBTOTAL(9,E15:E16)</f>
        <v>0</v>
      </c>
      <c r="F17" s="22">
        <f t="shared" ref="F17" si="5">SUBTOTAL(9,F15:F16)</f>
        <v>3465</v>
      </c>
      <c r="G17" s="1">
        <v>42297</v>
      </c>
      <c r="H17" s="20">
        <f>F5+F12+F17+F18</f>
        <v>21283</v>
      </c>
    </row>
    <row r="18" spans="1:8" x14ac:dyDescent="0.25">
      <c r="A18" t="s">
        <v>54</v>
      </c>
      <c r="B18" s="1">
        <v>42256</v>
      </c>
      <c r="C18" s="11">
        <v>636</v>
      </c>
      <c r="D18" s="8">
        <f t="shared" si="1"/>
        <v>318</v>
      </c>
      <c r="E18" s="21">
        <f>$C18*$E$4-159</f>
        <v>0</v>
      </c>
      <c r="F18" s="21">
        <f>$C18*$F$4+159</f>
        <v>318</v>
      </c>
      <c r="G18" s="1">
        <v>42297</v>
      </c>
    </row>
    <row r="19" spans="1:8" x14ac:dyDescent="0.25">
      <c r="A19" t="s">
        <v>79</v>
      </c>
      <c r="B19" s="1">
        <v>42308</v>
      </c>
      <c r="C19" s="11">
        <v>2310.8000000000002</v>
      </c>
      <c r="D19" s="8">
        <f t="shared" si="1"/>
        <v>1155.4000000000001</v>
      </c>
      <c r="E19" s="8">
        <f t="shared" ref="E19" si="6">$C19*$E$4</f>
        <v>577.70000000000005</v>
      </c>
      <c r="F19" s="8">
        <f t="shared" si="2"/>
        <v>577.70000000000005</v>
      </c>
      <c r="G19" s="1">
        <v>42338</v>
      </c>
    </row>
    <row r="20" spans="1:8" x14ac:dyDescent="0.25">
      <c r="A20" t="s">
        <v>58</v>
      </c>
      <c r="B20" s="1"/>
      <c r="C20" s="9">
        <f>SUBTOTAL(9,C11:C19)</f>
        <v>14286.3</v>
      </c>
      <c r="D20" s="9">
        <f t="shared" ref="D20:F20" si="7">SUBTOTAL(9,D11:D19)</f>
        <v>7143.15</v>
      </c>
      <c r="E20" s="9">
        <f t="shared" si="7"/>
        <v>1023.2</v>
      </c>
      <c r="F20" s="9">
        <f t="shared" si="7"/>
        <v>6119.95</v>
      </c>
    </row>
    <row r="21" spans="1:8" x14ac:dyDescent="0.25">
      <c r="A21" s="12" t="s">
        <v>60</v>
      </c>
    </row>
    <row r="22" spans="1:8" x14ac:dyDescent="0.25">
      <c r="A22" t="s">
        <v>59</v>
      </c>
      <c r="B22" s="1">
        <v>42275</v>
      </c>
      <c r="C22" s="8">
        <v>4278.45</v>
      </c>
      <c r="D22" s="8">
        <f>$C22*$D$4</f>
        <v>2139.2249999999999</v>
      </c>
      <c r="E22" s="8">
        <f>$C22*$E$4</f>
        <v>1069.6125</v>
      </c>
      <c r="F22" s="8">
        <f>$C22*$F$4</f>
        <v>1069.6125</v>
      </c>
    </row>
    <row r="23" spans="1:8" x14ac:dyDescent="0.25">
      <c r="A23" t="s">
        <v>84</v>
      </c>
      <c r="B23" s="1">
        <v>42338</v>
      </c>
      <c r="C23" s="8">
        <v>2293.5</v>
      </c>
      <c r="D23" s="8">
        <f>$C23*$D$4</f>
        <v>1146.75</v>
      </c>
      <c r="E23" s="8">
        <f>$C23*$E$4</f>
        <v>573.375</v>
      </c>
      <c r="F23" s="8">
        <f>$C23*$F$4</f>
        <v>573.375</v>
      </c>
    </row>
    <row r="27" spans="1:8" x14ac:dyDescent="0.25">
      <c r="A27" s="12" t="s">
        <v>80</v>
      </c>
    </row>
    <row r="28" spans="1:8" x14ac:dyDescent="0.25">
      <c r="A28" t="s">
        <v>158</v>
      </c>
      <c r="B28" s="1">
        <v>42338</v>
      </c>
      <c r="C28">
        <v>26638.2</v>
      </c>
      <c r="D28" s="8">
        <f>$C28*$D$4</f>
        <v>13319.1</v>
      </c>
      <c r="E28" s="8">
        <f>$C28*$E$4</f>
        <v>6659.55</v>
      </c>
      <c r="F28" s="8">
        <f>$C28*$F$4</f>
        <v>6659.55</v>
      </c>
      <c r="G28" s="1">
        <v>42338</v>
      </c>
    </row>
    <row r="30" spans="1:8" x14ac:dyDescent="0.25">
      <c r="A30" t="s">
        <v>163</v>
      </c>
      <c r="B30" s="1">
        <v>42464</v>
      </c>
      <c r="C30">
        <v>13662</v>
      </c>
      <c r="D30" s="8">
        <f>$C30*$D$4</f>
        <v>6831</v>
      </c>
      <c r="E30" s="8">
        <f>$C30*$E$4</f>
        <v>3415.5</v>
      </c>
      <c r="F30" s="8">
        <f>$C30*$F$4</f>
        <v>3415.5</v>
      </c>
      <c r="G30" s="1">
        <v>42465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3"/>
  <sheetViews>
    <sheetView tabSelected="1" topLeftCell="A56" workbookViewId="0">
      <selection activeCell="I77" sqref="I77"/>
    </sheetView>
  </sheetViews>
  <sheetFormatPr defaultRowHeight="15" x14ac:dyDescent="0.25"/>
  <cols>
    <col min="1" max="1" width="19.5703125" customWidth="1"/>
    <col min="3" max="3" width="9.7109375" bestFit="1" customWidth="1"/>
    <col min="5" max="5" width="76" bestFit="1" customWidth="1"/>
  </cols>
  <sheetData>
    <row r="1" spans="1:5" x14ac:dyDescent="0.25">
      <c r="A1" t="s">
        <v>17</v>
      </c>
    </row>
    <row r="2" spans="1:5" x14ac:dyDescent="0.25">
      <c r="A2" t="s">
        <v>30</v>
      </c>
    </row>
    <row r="3" spans="1:5" x14ac:dyDescent="0.25">
      <c r="C3" t="s">
        <v>15</v>
      </c>
      <c r="D3" t="s">
        <v>16</v>
      </c>
    </row>
    <row r="4" spans="1:5" x14ac:dyDescent="0.25">
      <c r="A4" s="1">
        <v>42289</v>
      </c>
      <c r="B4">
        <v>6500</v>
      </c>
      <c r="C4">
        <f>$A$8-A4</f>
        <v>29</v>
      </c>
      <c r="D4">
        <f>ROUND(B4*C4/365*5.45%,2)</f>
        <v>28.15</v>
      </c>
      <c r="E4" t="s">
        <v>14</v>
      </c>
    </row>
    <row r="5" spans="1:5" x14ac:dyDescent="0.25">
      <c r="A5" s="1">
        <v>42296</v>
      </c>
      <c r="B5">
        <v>166750</v>
      </c>
      <c r="C5">
        <f>$A$8-A5</f>
        <v>22</v>
      </c>
      <c r="D5">
        <f>ROUND(B5*C5/365*5.45%,2)</f>
        <v>547.76</v>
      </c>
      <c r="E5" t="s">
        <v>13</v>
      </c>
    </row>
    <row r="6" spans="1:5" x14ac:dyDescent="0.25">
      <c r="A6" s="1">
        <v>42297</v>
      </c>
      <c r="B6" s="2">
        <v>11750</v>
      </c>
      <c r="C6">
        <f>$A$8-A6</f>
        <v>21</v>
      </c>
      <c r="D6">
        <f>ROUND(B6*C6/365*5.45%,2)</f>
        <v>36.840000000000003</v>
      </c>
      <c r="E6" t="s">
        <v>12</v>
      </c>
    </row>
    <row r="7" spans="1:5" x14ac:dyDescent="0.25">
      <c r="A7" s="1"/>
      <c r="B7">
        <f>SUM(B4:B6)</f>
        <v>185000</v>
      </c>
    </row>
    <row r="8" spans="1:5" x14ac:dyDescent="0.25">
      <c r="A8" s="1">
        <v>42318</v>
      </c>
      <c r="B8">
        <v>-150000</v>
      </c>
      <c r="C8">
        <f>$A$8-A8</f>
        <v>0</v>
      </c>
      <c r="D8">
        <f t="shared" ref="D8" si="0">ROUND(B8*C8/365*5.75%,2)</f>
        <v>0</v>
      </c>
      <c r="E8" t="s">
        <v>32</v>
      </c>
    </row>
    <row r="9" spans="1:5" ht="15.75" thickBot="1" x14ac:dyDescent="0.3">
      <c r="A9" t="s">
        <v>31</v>
      </c>
      <c r="D9" s="3">
        <f>SUM(D4:D8)</f>
        <v>612.75</v>
      </c>
      <c r="E9" t="s">
        <v>34</v>
      </c>
    </row>
    <row r="10" spans="1:5" ht="15.75" thickTop="1" x14ac:dyDescent="0.25">
      <c r="A10" t="s">
        <v>33</v>
      </c>
      <c r="D10" s="4"/>
    </row>
    <row r="11" spans="1:5" x14ac:dyDescent="0.25">
      <c r="A11" s="1">
        <v>42348</v>
      </c>
      <c r="B11">
        <f>SUM(B7:B8)</f>
        <v>35000</v>
      </c>
      <c r="C11">
        <f>A11-A8</f>
        <v>30</v>
      </c>
      <c r="D11">
        <f>ROUND(B11*C11/365*5.45%,2)</f>
        <v>156.78</v>
      </c>
      <c r="E11" t="s">
        <v>35</v>
      </c>
    </row>
    <row r="12" spans="1:5" x14ac:dyDescent="0.25">
      <c r="A12" s="1">
        <v>42379</v>
      </c>
      <c r="B12">
        <f>B11</f>
        <v>35000</v>
      </c>
      <c r="C12">
        <f>A12-A11</f>
        <v>31</v>
      </c>
      <c r="D12">
        <f>ROUND(B12*C12/365*5.45%,2)</f>
        <v>162.01</v>
      </c>
      <c r="E12" t="s">
        <v>86</v>
      </c>
    </row>
    <row r="13" spans="1:5" x14ac:dyDescent="0.25">
      <c r="A13" s="1">
        <v>42410</v>
      </c>
      <c r="B13">
        <f>B12</f>
        <v>35000</v>
      </c>
      <c r="C13">
        <f>A13-A12</f>
        <v>31</v>
      </c>
      <c r="D13">
        <f>ROUND(B13*C13/365*5.45%,2)</f>
        <v>162.01</v>
      </c>
      <c r="E13" t="s">
        <v>95</v>
      </c>
    </row>
    <row r="14" spans="1:5" x14ac:dyDescent="0.25">
      <c r="A14" s="1">
        <v>42439</v>
      </c>
      <c r="B14">
        <f>B13</f>
        <v>35000</v>
      </c>
      <c r="C14">
        <f>A14-A13</f>
        <v>29</v>
      </c>
      <c r="D14">
        <f>ROUND(B14*C14/365*5.45%,2)</f>
        <v>151.55000000000001</v>
      </c>
      <c r="E14" t="s">
        <v>93</v>
      </c>
    </row>
    <row r="15" spans="1:5" x14ac:dyDescent="0.25">
      <c r="A15" s="1">
        <v>42470</v>
      </c>
      <c r="B15">
        <f t="shared" ref="B15:B44" si="1">B14</f>
        <v>35000</v>
      </c>
      <c r="C15">
        <f>A15-A14</f>
        <v>31</v>
      </c>
      <c r="D15">
        <f t="shared" ref="D15:D16" si="2">ROUND(B15*C15/365*5.45%,2)</f>
        <v>162.01</v>
      </c>
      <c r="E15" t="s">
        <v>94</v>
      </c>
    </row>
    <row r="16" spans="1:5" x14ac:dyDescent="0.25">
      <c r="A16" s="1">
        <v>42500</v>
      </c>
      <c r="B16">
        <f t="shared" si="1"/>
        <v>35000</v>
      </c>
      <c r="C16">
        <f t="shared" ref="C16" si="3">A16-A15</f>
        <v>30</v>
      </c>
      <c r="D16">
        <f t="shared" si="2"/>
        <v>156.78</v>
      </c>
      <c r="E16" t="s">
        <v>94</v>
      </c>
    </row>
    <row r="17" spans="1:5" x14ac:dyDescent="0.25">
      <c r="A17" s="1">
        <v>42531</v>
      </c>
      <c r="B17">
        <f t="shared" si="1"/>
        <v>35000</v>
      </c>
      <c r="C17">
        <f t="shared" ref="C17:C22" si="4">A17-A16</f>
        <v>31</v>
      </c>
      <c r="D17">
        <f t="shared" ref="D17:D22" si="5">ROUND(B17*C17/365*5.45%,2)</f>
        <v>162.01</v>
      </c>
      <c r="E17" t="s">
        <v>105</v>
      </c>
    </row>
    <row r="18" spans="1:5" ht="15.75" thickBot="1" x14ac:dyDescent="0.3">
      <c r="A18" t="s">
        <v>148</v>
      </c>
      <c r="D18" s="13">
        <f>SUM(D9:D17)</f>
        <v>1725.8999999999999</v>
      </c>
    </row>
    <row r="19" spans="1:5" ht="15.75" thickTop="1" x14ac:dyDescent="0.25">
      <c r="A19" s="1">
        <v>42561</v>
      </c>
      <c r="B19">
        <f>B17</f>
        <v>35000</v>
      </c>
      <c r="C19">
        <f>A19-A17</f>
        <v>30</v>
      </c>
      <c r="D19">
        <f t="shared" si="5"/>
        <v>156.78</v>
      </c>
      <c r="E19" t="s">
        <v>106</v>
      </c>
    </row>
    <row r="20" spans="1:5" x14ac:dyDescent="0.25">
      <c r="A20" s="1">
        <v>42592</v>
      </c>
      <c r="B20">
        <f t="shared" si="1"/>
        <v>35000</v>
      </c>
      <c r="C20">
        <f t="shared" si="4"/>
        <v>31</v>
      </c>
      <c r="D20">
        <f t="shared" si="5"/>
        <v>162.01</v>
      </c>
      <c r="E20" t="s">
        <v>106</v>
      </c>
    </row>
    <row r="21" spans="1:5" x14ac:dyDescent="0.25">
      <c r="A21" s="1">
        <v>42623</v>
      </c>
      <c r="B21">
        <f t="shared" si="1"/>
        <v>35000</v>
      </c>
      <c r="C21">
        <f t="shared" si="4"/>
        <v>31</v>
      </c>
      <c r="D21">
        <f t="shared" si="5"/>
        <v>162.01</v>
      </c>
      <c r="E21" t="s">
        <v>106</v>
      </c>
    </row>
    <row r="22" spans="1:5" x14ac:dyDescent="0.25">
      <c r="A22" s="1">
        <v>42653</v>
      </c>
      <c r="B22">
        <f t="shared" si="1"/>
        <v>35000</v>
      </c>
      <c r="C22">
        <f t="shared" si="4"/>
        <v>30</v>
      </c>
      <c r="D22">
        <f t="shared" si="5"/>
        <v>156.78</v>
      </c>
      <c r="E22" t="s">
        <v>106</v>
      </c>
    </row>
    <row r="23" spans="1:5" x14ac:dyDescent="0.25">
      <c r="A23" s="1">
        <v>42684</v>
      </c>
      <c r="B23">
        <f t="shared" si="1"/>
        <v>35000</v>
      </c>
      <c r="C23">
        <f t="shared" ref="C23:C27" si="6">A23-A22</f>
        <v>31</v>
      </c>
      <c r="D23" s="31">
        <f>ROUND(B23*C23/365*5.4%,2)</f>
        <v>160.52000000000001</v>
      </c>
      <c r="E23" t="s">
        <v>195</v>
      </c>
    </row>
    <row r="24" spans="1:5" x14ac:dyDescent="0.25">
      <c r="A24" s="1">
        <v>42714</v>
      </c>
      <c r="B24">
        <f t="shared" si="1"/>
        <v>35000</v>
      </c>
      <c r="C24">
        <f t="shared" si="6"/>
        <v>30</v>
      </c>
      <c r="D24" s="31">
        <f t="shared" ref="D24:D29" si="7">ROUND(B24*C24/365*5.4%,2)</f>
        <v>155.34</v>
      </c>
      <c r="E24" t="s">
        <v>195</v>
      </c>
    </row>
    <row r="25" spans="1:5" x14ac:dyDescent="0.25">
      <c r="A25" s="1">
        <v>42745</v>
      </c>
      <c r="B25">
        <f t="shared" si="1"/>
        <v>35000</v>
      </c>
      <c r="C25">
        <f t="shared" si="6"/>
        <v>31</v>
      </c>
      <c r="D25" s="31">
        <f t="shared" si="7"/>
        <v>160.52000000000001</v>
      </c>
      <c r="E25" t="s">
        <v>195</v>
      </c>
    </row>
    <row r="26" spans="1:5" x14ac:dyDescent="0.25">
      <c r="A26" s="1">
        <v>42776</v>
      </c>
      <c r="B26">
        <f t="shared" si="1"/>
        <v>35000</v>
      </c>
      <c r="C26">
        <f t="shared" si="6"/>
        <v>31</v>
      </c>
      <c r="D26" s="31">
        <f t="shared" si="7"/>
        <v>160.52000000000001</v>
      </c>
      <c r="E26" t="s">
        <v>240</v>
      </c>
    </row>
    <row r="27" spans="1:5" x14ac:dyDescent="0.25">
      <c r="A27" s="1">
        <v>42804</v>
      </c>
      <c r="B27">
        <f t="shared" si="1"/>
        <v>35000</v>
      </c>
      <c r="C27">
        <f t="shared" si="6"/>
        <v>28</v>
      </c>
      <c r="D27" s="30">
        <f t="shared" si="7"/>
        <v>144.99</v>
      </c>
      <c r="E27" t="s">
        <v>195</v>
      </c>
    </row>
    <row r="28" spans="1:5" x14ac:dyDescent="0.25">
      <c r="A28" s="1">
        <v>42835</v>
      </c>
      <c r="B28">
        <f t="shared" si="1"/>
        <v>35000</v>
      </c>
      <c r="C28">
        <f t="shared" ref="C28:C29" si="8">A28-A27</f>
        <v>31</v>
      </c>
      <c r="D28" s="30">
        <f t="shared" si="7"/>
        <v>160.52000000000001</v>
      </c>
      <c r="E28" t="s">
        <v>195</v>
      </c>
    </row>
    <row r="29" spans="1:5" x14ac:dyDescent="0.25">
      <c r="A29" s="1">
        <v>42865</v>
      </c>
      <c r="B29">
        <f t="shared" si="1"/>
        <v>35000</v>
      </c>
      <c r="C29">
        <f t="shared" si="8"/>
        <v>30</v>
      </c>
      <c r="D29" s="30">
        <f t="shared" si="7"/>
        <v>155.34</v>
      </c>
      <c r="E29" t="s">
        <v>195</v>
      </c>
    </row>
    <row r="30" spans="1:5" x14ac:dyDescent="0.25">
      <c r="A30" t="s">
        <v>161</v>
      </c>
      <c r="B30">
        <v>35000</v>
      </c>
      <c r="C30">
        <f>SUM(C19:C22)</f>
        <v>122</v>
      </c>
      <c r="D30" s="30">
        <f>ROUND(B30*C30/365*5.4%,2)-SUM(D19:D22)</f>
        <v>-5.8499999999999091</v>
      </c>
      <c r="E30" t="s">
        <v>241</v>
      </c>
    </row>
    <row r="31" spans="1:5" x14ac:dyDescent="0.25">
      <c r="A31" s="1">
        <v>42896</v>
      </c>
      <c r="B31">
        <f t="shared" si="1"/>
        <v>35000</v>
      </c>
      <c r="C31">
        <f>A31-A29</f>
        <v>31</v>
      </c>
      <c r="D31">
        <f>ROUND(B31*C31/365*5.4%,2)</f>
        <v>160.52000000000001</v>
      </c>
      <c r="E31" t="s">
        <v>196</v>
      </c>
    </row>
    <row r="32" spans="1:5" ht="15.75" thickBot="1" x14ac:dyDescent="0.3">
      <c r="A32" t="s">
        <v>244</v>
      </c>
      <c r="D32" s="13">
        <f>SUM(D19:D31)</f>
        <v>1890</v>
      </c>
    </row>
    <row r="33" spans="1:5" ht="15.75" thickTop="1" x14ac:dyDescent="0.25">
      <c r="A33" s="1">
        <v>42926</v>
      </c>
      <c r="B33">
        <f>B31</f>
        <v>35000</v>
      </c>
      <c r="C33">
        <f>A33-A31</f>
        <v>30</v>
      </c>
      <c r="D33" s="32">
        <f>ROUND(B33*C33/365*5.3%,2)</f>
        <v>152.47</v>
      </c>
      <c r="E33" t="s">
        <v>226</v>
      </c>
    </row>
    <row r="34" spans="1:5" x14ac:dyDescent="0.25">
      <c r="A34" s="1">
        <v>42957</v>
      </c>
      <c r="B34">
        <f t="shared" si="1"/>
        <v>35000</v>
      </c>
      <c r="C34">
        <f>A34-A33</f>
        <v>31</v>
      </c>
      <c r="D34" s="32">
        <f t="shared" ref="D34:D41" si="9">ROUND(B34*C34/365*5.3%,2)</f>
        <v>157.55000000000001</v>
      </c>
      <c r="E34" t="s">
        <v>226</v>
      </c>
    </row>
    <row r="35" spans="1:5" x14ac:dyDescent="0.25">
      <c r="A35" s="1">
        <v>42988</v>
      </c>
      <c r="B35">
        <f t="shared" si="1"/>
        <v>35000</v>
      </c>
      <c r="C35">
        <f>A35-A34</f>
        <v>31</v>
      </c>
      <c r="D35" s="32">
        <f t="shared" si="9"/>
        <v>157.55000000000001</v>
      </c>
      <c r="E35" t="s">
        <v>226</v>
      </c>
    </row>
    <row r="36" spans="1:5" x14ac:dyDescent="0.25">
      <c r="A36" s="1">
        <v>43018</v>
      </c>
      <c r="B36">
        <f t="shared" si="1"/>
        <v>35000</v>
      </c>
      <c r="C36">
        <f>A36-A35</f>
        <v>30</v>
      </c>
      <c r="D36" s="32">
        <f t="shared" si="9"/>
        <v>152.47</v>
      </c>
      <c r="E36" t="s">
        <v>226</v>
      </c>
    </row>
    <row r="37" spans="1:5" x14ac:dyDescent="0.25">
      <c r="A37" s="1">
        <v>43049</v>
      </c>
      <c r="B37">
        <f t="shared" si="1"/>
        <v>35000</v>
      </c>
      <c r="C37">
        <f>A37-A36</f>
        <v>31</v>
      </c>
      <c r="D37" s="32">
        <f t="shared" si="9"/>
        <v>157.55000000000001</v>
      </c>
      <c r="E37" t="s">
        <v>226</v>
      </c>
    </row>
    <row r="38" spans="1:5" x14ac:dyDescent="0.25">
      <c r="A38" s="1">
        <v>43079</v>
      </c>
      <c r="B38">
        <f t="shared" si="1"/>
        <v>35000</v>
      </c>
      <c r="C38">
        <f t="shared" ref="C38:C41" si="10">A38-A37</f>
        <v>30</v>
      </c>
      <c r="D38" s="32">
        <f t="shared" si="9"/>
        <v>152.47</v>
      </c>
      <c r="E38" t="s">
        <v>226</v>
      </c>
    </row>
    <row r="39" spans="1:5" x14ac:dyDescent="0.25">
      <c r="A39" s="1">
        <v>43110</v>
      </c>
      <c r="B39">
        <f t="shared" si="1"/>
        <v>35000</v>
      </c>
      <c r="C39">
        <f t="shared" si="10"/>
        <v>31</v>
      </c>
      <c r="D39" s="32">
        <f t="shared" si="9"/>
        <v>157.55000000000001</v>
      </c>
      <c r="E39" t="s">
        <v>226</v>
      </c>
    </row>
    <row r="40" spans="1:5" x14ac:dyDescent="0.25">
      <c r="A40" s="1">
        <v>43141</v>
      </c>
      <c r="B40">
        <f t="shared" si="1"/>
        <v>35000</v>
      </c>
      <c r="C40">
        <f t="shared" si="10"/>
        <v>31</v>
      </c>
      <c r="D40" s="32">
        <f t="shared" si="9"/>
        <v>157.55000000000001</v>
      </c>
      <c r="E40" t="s">
        <v>226</v>
      </c>
    </row>
    <row r="41" spans="1:5" x14ac:dyDescent="0.25">
      <c r="A41" s="1">
        <v>43169</v>
      </c>
      <c r="B41">
        <f t="shared" si="1"/>
        <v>35000</v>
      </c>
      <c r="C41">
        <f t="shared" si="10"/>
        <v>28</v>
      </c>
      <c r="D41" s="32">
        <f t="shared" si="9"/>
        <v>142.30000000000001</v>
      </c>
      <c r="E41" t="s">
        <v>239</v>
      </c>
    </row>
    <row r="42" spans="1:5" x14ac:dyDescent="0.25">
      <c r="A42" s="1">
        <v>43200</v>
      </c>
      <c r="B42">
        <f t="shared" si="1"/>
        <v>35000</v>
      </c>
      <c r="C42">
        <f>A42-A41</f>
        <v>31</v>
      </c>
      <c r="D42" s="33">
        <f t="shared" ref="D42:D44" si="11">ROUND(B42*C42/365*5.3%,2)</f>
        <v>157.55000000000001</v>
      </c>
      <c r="E42" t="s">
        <v>243</v>
      </c>
    </row>
    <row r="43" spans="1:5" x14ac:dyDescent="0.25">
      <c r="A43" s="1">
        <v>43230</v>
      </c>
      <c r="B43">
        <f t="shared" si="1"/>
        <v>35000</v>
      </c>
      <c r="C43">
        <f t="shared" ref="C43:C44" si="12">A43-A42</f>
        <v>30</v>
      </c>
      <c r="D43" s="33">
        <f t="shared" si="11"/>
        <v>152.47</v>
      </c>
      <c r="E43" t="s">
        <v>242</v>
      </c>
    </row>
    <row r="44" spans="1:5" x14ac:dyDescent="0.25">
      <c r="A44" s="1">
        <v>43261</v>
      </c>
      <c r="B44">
        <f t="shared" si="1"/>
        <v>35000</v>
      </c>
      <c r="C44">
        <f t="shared" si="12"/>
        <v>31</v>
      </c>
      <c r="D44" s="33">
        <f t="shared" si="11"/>
        <v>157.55000000000001</v>
      </c>
      <c r="E44" t="s">
        <v>256</v>
      </c>
    </row>
    <row r="45" spans="1:5" ht="15.75" thickBot="1" x14ac:dyDescent="0.3">
      <c r="A45" t="s">
        <v>245</v>
      </c>
      <c r="D45" s="13">
        <f>SUM(D33:D44)</f>
        <v>1855.0299999999997</v>
      </c>
    </row>
    <row r="46" spans="1:5" ht="15.75" thickTop="1" x14ac:dyDescent="0.25">
      <c r="A46" s="1">
        <v>43291</v>
      </c>
      <c r="B46">
        <f>B44</f>
        <v>35000</v>
      </c>
      <c r="C46">
        <f>A46-A44</f>
        <v>30</v>
      </c>
      <c r="D46" s="33">
        <f>ROUND(B46*C46/365*5.2%,2)</f>
        <v>149.59</v>
      </c>
      <c r="E46" t="s">
        <v>258</v>
      </c>
    </row>
    <row r="47" spans="1:5" x14ac:dyDescent="0.25">
      <c r="A47" s="1">
        <v>43322</v>
      </c>
      <c r="B47">
        <f t="shared" ref="B47:B57" si="13">B46</f>
        <v>35000</v>
      </c>
      <c r="C47">
        <f>A47-A46</f>
        <v>31</v>
      </c>
      <c r="D47" s="33">
        <f>ROUND(B47*C47/365*5.2%,2)</f>
        <v>154.58000000000001</v>
      </c>
      <c r="E47" t="s">
        <v>259</v>
      </c>
    </row>
    <row r="48" spans="1:5" x14ac:dyDescent="0.25">
      <c r="A48" s="1">
        <v>43353</v>
      </c>
      <c r="B48">
        <f t="shared" si="13"/>
        <v>35000</v>
      </c>
      <c r="C48">
        <f>A48-A47</f>
        <v>31</v>
      </c>
      <c r="D48" s="33">
        <f t="shared" ref="D48:D52" si="14">ROUND(B48*C48/365*5.2%,2)</f>
        <v>154.58000000000001</v>
      </c>
      <c r="E48" t="s">
        <v>260</v>
      </c>
    </row>
    <row r="49" spans="1:5" x14ac:dyDescent="0.25">
      <c r="A49" s="1">
        <v>43383</v>
      </c>
      <c r="B49">
        <f t="shared" si="13"/>
        <v>35000</v>
      </c>
      <c r="C49">
        <f>A49-A48</f>
        <v>30</v>
      </c>
      <c r="D49" s="33">
        <f t="shared" si="14"/>
        <v>149.59</v>
      </c>
      <c r="E49" t="s">
        <v>275</v>
      </c>
    </row>
    <row r="50" spans="1:5" x14ac:dyDescent="0.25">
      <c r="A50" s="1">
        <v>43414</v>
      </c>
      <c r="B50">
        <f t="shared" si="13"/>
        <v>35000</v>
      </c>
      <c r="C50">
        <f>A50-A49</f>
        <v>31</v>
      </c>
      <c r="D50" s="33">
        <f t="shared" si="14"/>
        <v>154.58000000000001</v>
      </c>
      <c r="E50" t="s">
        <v>276</v>
      </c>
    </row>
    <row r="51" spans="1:5" x14ac:dyDescent="0.25">
      <c r="A51" s="1">
        <v>43444</v>
      </c>
      <c r="B51">
        <f t="shared" si="13"/>
        <v>35000</v>
      </c>
      <c r="C51">
        <f t="shared" ref="C51:C55" si="15">A51-A50</f>
        <v>30</v>
      </c>
      <c r="D51" s="33">
        <f t="shared" si="14"/>
        <v>149.59</v>
      </c>
      <c r="E51" t="s">
        <v>277</v>
      </c>
    </row>
    <row r="52" spans="1:5" x14ac:dyDescent="0.25">
      <c r="A52" s="1">
        <v>43475</v>
      </c>
      <c r="B52">
        <f t="shared" si="13"/>
        <v>35000</v>
      </c>
      <c r="C52">
        <f t="shared" si="15"/>
        <v>31</v>
      </c>
      <c r="D52" s="33">
        <f t="shared" si="14"/>
        <v>154.58000000000001</v>
      </c>
      <c r="E52" t="s">
        <v>279</v>
      </c>
    </row>
    <row r="53" spans="1:5" x14ac:dyDescent="0.25">
      <c r="A53" t="s">
        <v>161</v>
      </c>
      <c r="B53">
        <f t="shared" si="13"/>
        <v>35000</v>
      </c>
      <c r="C53">
        <f>SUM(C33:C52)</f>
        <v>579</v>
      </c>
      <c r="D53" s="33">
        <f>ROUND(B53*C53/365*5.8%,2)-D45-SUM(D46:D52)</f>
        <v>298.07000000000016</v>
      </c>
      <c r="E53" t="s">
        <v>279</v>
      </c>
    </row>
    <row r="54" spans="1:5" x14ac:dyDescent="0.25">
      <c r="A54" s="1">
        <v>43506</v>
      </c>
      <c r="B54">
        <f>B52</f>
        <v>35000</v>
      </c>
      <c r="C54">
        <f>A54-A52</f>
        <v>31</v>
      </c>
      <c r="D54" s="33">
        <f>ROUND(B54*C54/365*5.8%,2)</f>
        <v>172.41</v>
      </c>
      <c r="E54" t="s">
        <v>280</v>
      </c>
    </row>
    <row r="55" spans="1:5" x14ac:dyDescent="0.25">
      <c r="A55" s="1">
        <v>43534</v>
      </c>
      <c r="B55">
        <f t="shared" si="13"/>
        <v>35000</v>
      </c>
      <c r="C55">
        <f t="shared" si="15"/>
        <v>28</v>
      </c>
      <c r="D55" s="33">
        <f>ROUND(B55*C55/365*5.8%,2)</f>
        <v>155.72999999999999</v>
      </c>
      <c r="E55" t="s">
        <v>281</v>
      </c>
    </row>
    <row r="56" spans="1:5" x14ac:dyDescent="0.25">
      <c r="A56" s="1">
        <v>43565</v>
      </c>
      <c r="B56">
        <f t="shared" si="13"/>
        <v>35000</v>
      </c>
      <c r="C56">
        <f>A56-A55</f>
        <v>31</v>
      </c>
      <c r="D56" s="33">
        <f t="shared" ref="D56:D58" si="16">ROUND(B56*C56/365*5.8%,2)</f>
        <v>172.41</v>
      </c>
      <c r="E56" t="s">
        <v>293</v>
      </c>
    </row>
    <row r="57" spans="1:5" x14ac:dyDescent="0.25">
      <c r="A57" s="1">
        <v>43595</v>
      </c>
      <c r="B57">
        <f t="shared" si="13"/>
        <v>35000</v>
      </c>
      <c r="C57">
        <f t="shared" ref="C57" si="17">A57-A56</f>
        <v>30</v>
      </c>
      <c r="D57" s="33">
        <f t="shared" si="16"/>
        <v>166.85</v>
      </c>
      <c r="E57" t="s">
        <v>294</v>
      </c>
    </row>
    <row r="58" spans="1:5" x14ac:dyDescent="0.25">
      <c r="A58" s="1">
        <v>43626</v>
      </c>
      <c r="B58">
        <f>B57</f>
        <v>35000</v>
      </c>
      <c r="C58">
        <f>A58-A57</f>
        <v>31</v>
      </c>
      <c r="D58" s="33">
        <f t="shared" si="16"/>
        <v>172.41</v>
      </c>
      <c r="E58" t="s">
        <v>295</v>
      </c>
    </row>
    <row r="59" spans="1:5" ht="15.75" thickBot="1" x14ac:dyDescent="0.3">
      <c r="A59" t="s">
        <v>257</v>
      </c>
      <c r="D59" s="13">
        <f>SUM(D46:D58)</f>
        <v>2204.9700000000003</v>
      </c>
    </row>
    <row r="60" spans="1:5" ht="15.75" thickTop="1" x14ac:dyDescent="0.25">
      <c r="A60" s="1">
        <v>43626</v>
      </c>
      <c r="B60">
        <v>-5000</v>
      </c>
      <c r="D60" s="33"/>
      <c r="E60" t="s">
        <v>296</v>
      </c>
    </row>
    <row r="61" spans="1:5" x14ac:dyDescent="0.25">
      <c r="A61" s="1">
        <v>43656</v>
      </c>
      <c r="B61">
        <f>SUM(B58:B60)</f>
        <v>30000</v>
      </c>
      <c r="C61">
        <f>A61-A60</f>
        <v>30</v>
      </c>
      <c r="D61" s="33">
        <f>ROUND(B61*C61/365*5.8%,2)</f>
        <v>143.01</v>
      </c>
      <c r="E61" t="s">
        <v>330</v>
      </c>
    </row>
    <row r="62" spans="1:5" x14ac:dyDescent="0.25">
      <c r="A62" s="1">
        <v>43656</v>
      </c>
      <c r="B62">
        <v>-500</v>
      </c>
      <c r="D62" s="33"/>
      <c r="E62" t="s">
        <v>296</v>
      </c>
    </row>
    <row r="63" spans="1:5" x14ac:dyDescent="0.25">
      <c r="A63" s="1">
        <v>43693</v>
      </c>
      <c r="B63">
        <f>B61+B62</f>
        <v>29500</v>
      </c>
      <c r="C63">
        <f>A63-A61</f>
        <v>37</v>
      </c>
      <c r="D63" s="33">
        <f>ROUND(B63*C63/365*5.94%,2)+30000*5.94%*30/365-D61</f>
        <v>181.08575342465753</v>
      </c>
      <c r="E63" t="s">
        <v>331</v>
      </c>
    </row>
    <row r="64" spans="1:5" x14ac:dyDescent="0.25">
      <c r="A64" s="1">
        <v>43693</v>
      </c>
      <c r="B64">
        <v>-500</v>
      </c>
      <c r="D64" s="33"/>
      <c r="E64" t="s">
        <v>296</v>
      </c>
    </row>
    <row r="65" spans="1:5" x14ac:dyDescent="0.25">
      <c r="A65" s="1">
        <v>43719</v>
      </c>
      <c r="B65">
        <f>B63+B64</f>
        <v>29000</v>
      </c>
      <c r="C65">
        <f>A65-A63</f>
        <v>26</v>
      </c>
      <c r="D65" s="33">
        <f>ROUND(B65*C65/365*5.94%,2)</f>
        <v>122.71</v>
      </c>
      <c r="E65" t="s">
        <v>329</v>
      </c>
    </row>
    <row r="66" spans="1:5" x14ac:dyDescent="0.25">
      <c r="A66" s="1">
        <v>43719</v>
      </c>
      <c r="B66">
        <v>-500</v>
      </c>
      <c r="D66" s="33"/>
      <c r="E66" t="s">
        <v>296</v>
      </c>
    </row>
    <row r="67" spans="1:5" x14ac:dyDescent="0.25">
      <c r="A67" s="1">
        <v>43748</v>
      </c>
      <c r="B67">
        <f>B65+B66</f>
        <v>28500</v>
      </c>
      <c r="C67">
        <f>A67-A65</f>
        <v>29</v>
      </c>
      <c r="D67" s="33">
        <f>ROUND(B67*C67/365*5.94%,2)</f>
        <v>134.5</v>
      </c>
      <c r="E67" t="s">
        <v>328</v>
      </c>
    </row>
    <row r="68" spans="1:5" x14ac:dyDescent="0.25">
      <c r="A68" s="1">
        <v>43748</v>
      </c>
      <c r="B68">
        <v>-500</v>
      </c>
      <c r="D68" s="33"/>
      <c r="E68" t="s">
        <v>296</v>
      </c>
    </row>
    <row r="69" spans="1:5" x14ac:dyDescent="0.25">
      <c r="A69" s="1">
        <v>43780</v>
      </c>
      <c r="B69">
        <f>B67+B68</f>
        <v>28000</v>
      </c>
      <c r="C69">
        <f>A69-A67</f>
        <v>32</v>
      </c>
      <c r="D69" s="33">
        <f>ROUND(B69*C69/365*5.94%,2)</f>
        <v>145.81</v>
      </c>
      <c r="E69" t="s">
        <v>350</v>
      </c>
    </row>
    <row r="70" spans="1:5" x14ac:dyDescent="0.25">
      <c r="A70" s="1">
        <v>43780</v>
      </c>
      <c r="B70">
        <v>-500</v>
      </c>
      <c r="D70" s="33"/>
      <c r="E70" t="s">
        <v>296</v>
      </c>
    </row>
    <row r="71" spans="1:5" x14ac:dyDescent="0.25">
      <c r="A71" s="1">
        <v>43809</v>
      </c>
      <c r="B71">
        <f>B69+B70</f>
        <v>27500</v>
      </c>
      <c r="C71">
        <f>A71-A69</f>
        <v>29</v>
      </c>
      <c r="D71" s="33">
        <f>ROUND(B71*C71/365*5.94%,2)</f>
        <v>129.78</v>
      </c>
      <c r="E71" t="s">
        <v>353</v>
      </c>
    </row>
    <row r="72" spans="1:5" x14ac:dyDescent="0.25">
      <c r="A72" s="1">
        <v>43809</v>
      </c>
      <c r="B72">
        <v>-500</v>
      </c>
      <c r="D72" s="33"/>
      <c r="E72" t="s">
        <v>296</v>
      </c>
    </row>
    <row r="73" spans="1:5" x14ac:dyDescent="0.25">
      <c r="A73" s="1">
        <v>43840</v>
      </c>
      <c r="B73">
        <f>B71+B72</f>
        <v>27000</v>
      </c>
      <c r="C73">
        <f>A73-A71</f>
        <v>31</v>
      </c>
      <c r="D73" s="33">
        <f>ROUND(B73*C73/365*5.94%,2)</f>
        <v>136.21</v>
      </c>
      <c r="E73" t="s">
        <v>352</v>
      </c>
    </row>
    <row r="74" spans="1:5" x14ac:dyDescent="0.25">
      <c r="A74" s="1">
        <v>43840</v>
      </c>
      <c r="B74">
        <v>-500</v>
      </c>
      <c r="D74" s="33"/>
      <c r="E74" t="s">
        <v>296</v>
      </c>
    </row>
    <row r="75" spans="1:5" x14ac:dyDescent="0.25">
      <c r="A75" s="1">
        <v>43871</v>
      </c>
      <c r="B75">
        <f>B73+B74</f>
        <v>26500</v>
      </c>
      <c r="C75">
        <f>A75-A73</f>
        <v>31</v>
      </c>
      <c r="D75" s="33">
        <f>ROUND(B75*C75/365*5.94%,2)</f>
        <v>133.69</v>
      </c>
      <c r="E75" t="s">
        <v>351</v>
      </c>
    </row>
    <row r="76" spans="1:5" x14ac:dyDescent="0.25">
      <c r="A76" s="1">
        <v>43871</v>
      </c>
      <c r="B76">
        <v>-500</v>
      </c>
      <c r="D76" s="33"/>
      <c r="E76" t="s">
        <v>296</v>
      </c>
    </row>
    <row r="77" spans="1:5" x14ac:dyDescent="0.25">
      <c r="A77" s="1">
        <v>43900</v>
      </c>
      <c r="B77">
        <f>B75+B76</f>
        <v>26000</v>
      </c>
      <c r="C77">
        <f>A77-A75</f>
        <v>29</v>
      </c>
      <c r="D77" s="33">
        <f t="shared" ref="D77" si="18">ROUND(B77*C77/365*5.94%,2)</f>
        <v>122.71</v>
      </c>
      <c r="E77" t="s">
        <v>361</v>
      </c>
    </row>
    <row r="78" spans="1:5" x14ac:dyDescent="0.25">
      <c r="A78" s="1">
        <v>43900</v>
      </c>
      <c r="B78">
        <v>-500</v>
      </c>
      <c r="D78" s="33"/>
      <c r="E78" t="s">
        <v>296</v>
      </c>
    </row>
    <row r="79" spans="1:5" x14ac:dyDescent="0.25">
      <c r="A79" s="1">
        <v>43931</v>
      </c>
      <c r="B79">
        <f>B77+B78</f>
        <v>25500</v>
      </c>
      <c r="C79">
        <f>A79-A77</f>
        <v>31</v>
      </c>
      <c r="D79" s="33">
        <f>ROUND(B79*C79/366*5.94%,2)</f>
        <v>128.29</v>
      </c>
      <c r="E79" t="s">
        <v>362</v>
      </c>
    </row>
    <row r="80" spans="1:5" x14ac:dyDescent="0.25">
      <c r="A80" s="1">
        <v>43931</v>
      </c>
      <c r="B80">
        <v>-500</v>
      </c>
      <c r="D80" s="33"/>
      <c r="E80" t="s">
        <v>296</v>
      </c>
    </row>
    <row r="81" spans="1:5" x14ac:dyDescent="0.25">
      <c r="A81" s="1">
        <v>43961</v>
      </c>
      <c r="B81">
        <f>B79+B80</f>
        <v>25000</v>
      </c>
      <c r="C81">
        <f>A81-A79</f>
        <v>30</v>
      </c>
      <c r="D81" s="33">
        <f>ROUND(B81*C81/366*5.94%,2)</f>
        <v>121.72</v>
      </c>
      <c r="E81" t="s">
        <v>363</v>
      </c>
    </row>
    <row r="82" spans="1:5" x14ac:dyDescent="0.25">
      <c r="A82" s="1">
        <v>43961</v>
      </c>
      <c r="B82">
        <v>0</v>
      </c>
      <c r="D82" s="33"/>
      <c r="E82" t="s">
        <v>296</v>
      </c>
    </row>
    <row r="83" spans="1:5" x14ac:dyDescent="0.25">
      <c r="A83" s="1">
        <v>44012</v>
      </c>
      <c r="B83">
        <f>B81+B82</f>
        <v>25000</v>
      </c>
      <c r="C83">
        <f>A83-A81</f>
        <v>51</v>
      </c>
      <c r="D83" s="33">
        <f>ROUND(B83*C83/366*5.94%,2)</f>
        <v>206.93</v>
      </c>
    </row>
    <row r="84" spans="1:5" x14ac:dyDescent="0.25">
      <c r="A84" s="1">
        <v>44012</v>
      </c>
      <c r="B84">
        <v>-500</v>
      </c>
      <c r="D84" s="33"/>
      <c r="E84" t="s">
        <v>296</v>
      </c>
    </row>
    <row r="85" spans="1:5" x14ac:dyDescent="0.25">
      <c r="A85" s="1"/>
      <c r="D85" s="34">
        <f>SUM(D60:D83)</f>
        <v>1706.4457534246576</v>
      </c>
    </row>
    <row r="86" spans="1:5" x14ac:dyDescent="0.25">
      <c r="A86" s="1">
        <v>44058</v>
      </c>
      <c r="B86">
        <f>B83+B84</f>
        <v>24500</v>
      </c>
      <c r="C86">
        <f>A86-A84</f>
        <v>46</v>
      </c>
      <c r="D86" s="33">
        <f>ROUND(B86*C86/366*5.1%,2)</f>
        <v>157.04</v>
      </c>
      <c r="E86" t="s">
        <v>364</v>
      </c>
    </row>
    <row r="87" spans="1:5" x14ac:dyDescent="0.25">
      <c r="A87" s="1">
        <v>44058</v>
      </c>
      <c r="B87">
        <v>-500</v>
      </c>
      <c r="D87" s="33"/>
      <c r="E87" t="s">
        <v>296</v>
      </c>
    </row>
    <row r="88" spans="1:5" x14ac:dyDescent="0.25">
      <c r="A88" s="1">
        <v>44235</v>
      </c>
      <c r="B88">
        <f>B86+B87</f>
        <v>24000</v>
      </c>
      <c r="C88">
        <f>A88-A86</f>
        <v>177</v>
      </c>
      <c r="D88" s="33">
        <f>ROUND(B88*C88/366*5.1%,2)</f>
        <v>591.92999999999995</v>
      </c>
    </row>
    <row r="89" spans="1:5" x14ac:dyDescent="0.25">
      <c r="A89" s="1">
        <v>44235</v>
      </c>
      <c r="B89">
        <v>-2000</v>
      </c>
      <c r="D89" s="33"/>
      <c r="E89" t="s">
        <v>296</v>
      </c>
    </row>
    <row r="90" spans="1:5" x14ac:dyDescent="0.25">
      <c r="A90" s="1">
        <v>44235</v>
      </c>
      <c r="B90">
        <f>B88+B89</f>
        <v>22000</v>
      </c>
      <c r="C90">
        <f>A90-A88</f>
        <v>0</v>
      </c>
      <c r="D90" s="33">
        <f>ROUND(B90*C90/366*5.1%,2)</f>
        <v>0</v>
      </c>
    </row>
    <row r="91" spans="1:5" x14ac:dyDescent="0.25">
      <c r="A91" s="1"/>
    </row>
    <row r="95" spans="1:5" x14ac:dyDescent="0.25">
      <c r="E95" s="38" t="s">
        <v>319</v>
      </c>
    </row>
    <row r="97" spans="1:3" x14ac:dyDescent="0.25">
      <c r="A97" s="1">
        <v>44043</v>
      </c>
      <c r="B97">
        <v>-259</v>
      </c>
      <c r="C97" t="s">
        <v>369</v>
      </c>
    </row>
    <row r="98" spans="1:3" x14ac:dyDescent="0.25">
      <c r="A98" s="1">
        <v>44043</v>
      </c>
      <c r="B98">
        <v>6000</v>
      </c>
      <c r="C98" t="s">
        <v>370</v>
      </c>
    </row>
    <row r="99" spans="1:3" x14ac:dyDescent="0.25">
      <c r="A99" s="1">
        <v>44048</v>
      </c>
      <c r="B99">
        <v>-2420</v>
      </c>
      <c r="C99" t="s">
        <v>367</v>
      </c>
    </row>
    <row r="100" spans="1:3" x14ac:dyDescent="0.25">
      <c r="A100" s="1">
        <v>44048</v>
      </c>
      <c r="B100">
        <v>-330</v>
      </c>
      <c r="C100" t="s">
        <v>368</v>
      </c>
    </row>
    <row r="101" spans="1:3" x14ac:dyDescent="0.25">
      <c r="A101" s="1">
        <v>44060</v>
      </c>
      <c r="B101">
        <v>-500</v>
      </c>
      <c r="C101" t="s">
        <v>365</v>
      </c>
    </row>
    <row r="102" spans="1:3" x14ac:dyDescent="0.25">
      <c r="A102" s="1">
        <v>44060</v>
      </c>
      <c r="B102">
        <v>-157.04</v>
      </c>
      <c r="C102" t="s">
        <v>366</v>
      </c>
    </row>
    <row r="103" spans="1:3" x14ac:dyDescent="0.25">
      <c r="A103" s="1">
        <v>44074</v>
      </c>
      <c r="B103">
        <v>0.04</v>
      </c>
      <c r="C103" t="s">
        <v>7</v>
      </c>
    </row>
  </sheetData>
  <sortState xmlns:xlrd2="http://schemas.microsoft.com/office/spreadsheetml/2017/richdata2" ref="A97:E103">
    <sortCondition ref="A97:A10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Transactions</vt:lpstr>
      <vt:lpstr>HYDO PTY LTD</vt:lpstr>
      <vt:lpstr>Interest on loan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Edalina</dc:creator>
  <cp:lastModifiedBy>John Moroney</cp:lastModifiedBy>
  <cp:lastPrinted>2018-03-10T10:44:38Z</cp:lastPrinted>
  <dcterms:created xsi:type="dcterms:W3CDTF">2015-11-17T01:01:12Z</dcterms:created>
  <dcterms:modified xsi:type="dcterms:W3CDTF">2021-06-28T03:34:03Z</dcterms:modified>
</cp:coreProperties>
</file>