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bdc\common\HFB Super\HFB.SuperClients\M\MDRN\2020\Workpapers\1. Financial Statements\"/>
    </mc:Choice>
  </mc:AlternateContent>
  <xr:revisionPtr revIDLastSave="0" documentId="13_ncr:1_{FC30FEF6-1E95-4E0D-9C5D-5E60B4421CFB}" xr6:coauthVersionLast="45" xr6:coauthVersionMax="45" xr10:uidLastSave="{00000000-0000-0000-0000-000000000000}"/>
  <bookViews>
    <workbookView xWindow="-120" yWindow="-120" windowWidth="29040" windowHeight="15840" activeTab="1" xr2:uid="{745EB206-8EF8-46FB-89CF-AF5EDAD359E3}"/>
  </bookViews>
  <sheets>
    <sheet name="Balance Sheet" sheetId="3" r:id="rId1"/>
    <sheet name="Invest Summary Recon" sheetId="4" r:id="rId2"/>
    <sheet name="Op Stmt" sheetId="2" r:id="rId3"/>
    <sheet name="Income Tax" sheetId="5" r:id="rId4"/>
    <sheet name="Member Accounts" sheetId="6" r:id="rId5"/>
  </sheets>
  <externalReferences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3" i="6" l="1"/>
  <c r="D83" i="6"/>
  <c r="L43" i="3"/>
  <c r="J54" i="5"/>
  <c r="H51" i="5"/>
  <c r="H52" i="5" s="1"/>
  <c r="F51" i="5"/>
  <c r="J40" i="5"/>
  <c r="K44" i="5"/>
  <c r="K29" i="5"/>
  <c r="K31" i="5" s="1"/>
  <c r="J51" i="5" l="1"/>
  <c r="F52" i="5"/>
  <c r="J52" i="5" s="1"/>
  <c r="J21" i="5"/>
  <c r="H39" i="5"/>
  <c r="F39" i="5"/>
  <c r="H38" i="5"/>
  <c r="F38" i="5"/>
  <c r="H31" i="2"/>
  <c r="H37" i="5" s="1"/>
  <c r="F31" i="2"/>
  <c r="F37" i="5" s="1"/>
  <c r="H30" i="2"/>
  <c r="H36" i="5" s="1"/>
  <c r="F30" i="2"/>
  <c r="F36" i="5" s="1"/>
  <c r="J36" i="5" s="1"/>
  <c r="H29" i="2"/>
  <c r="H35" i="5" s="1"/>
  <c r="F29" i="2"/>
  <c r="F35" i="5" s="1"/>
  <c r="H28" i="2"/>
  <c r="H34" i="5" s="1"/>
  <c r="F28" i="2"/>
  <c r="F34" i="5" s="1"/>
  <c r="J38" i="5" l="1"/>
  <c r="H43" i="5"/>
  <c r="J34" i="5"/>
  <c r="F43" i="5"/>
  <c r="J35" i="5"/>
  <c r="J37" i="5"/>
  <c r="J39" i="5"/>
  <c r="F13" i="5"/>
  <c r="H13" i="5"/>
  <c r="J13" i="5" s="1"/>
  <c r="F41" i="5"/>
  <c r="H41" i="5"/>
  <c r="P17" i="6"/>
  <c r="X17" i="6" s="1"/>
  <c r="I17" i="6"/>
  <c r="W17" i="6" s="1"/>
  <c r="D17" i="6"/>
  <c r="R17" i="6" s="1"/>
  <c r="F50" i="5"/>
  <c r="H50" i="5"/>
  <c r="H49" i="5"/>
  <c r="F49" i="5"/>
  <c r="J47" i="5"/>
  <c r="H19" i="5"/>
  <c r="F19" i="5"/>
  <c r="H15" i="5"/>
  <c r="H18" i="5"/>
  <c r="F18" i="5"/>
  <c r="H16" i="5"/>
  <c r="F16" i="5"/>
  <c r="H17" i="5"/>
  <c r="F17" i="5"/>
  <c r="F15" i="5"/>
  <c r="P69" i="6"/>
  <c r="P59" i="6"/>
  <c r="U59" i="6" s="1"/>
  <c r="P58" i="6"/>
  <c r="Y58" i="6" s="1"/>
  <c r="P57" i="6"/>
  <c r="W57" i="6" s="1"/>
  <c r="P56" i="6"/>
  <c r="P55" i="6"/>
  <c r="Y55" i="6" s="1"/>
  <c r="P54" i="6"/>
  <c r="R54" i="6" s="1"/>
  <c r="P53" i="6"/>
  <c r="P52" i="6"/>
  <c r="P51" i="6"/>
  <c r="Y51" i="6" s="1"/>
  <c r="P50" i="6"/>
  <c r="X50" i="6" s="1"/>
  <c r="P49" i="6"/>
  <c r="U49" i="6" s="1"/>
  <c r="P48" i="6"/>
  <c r="P47" i="6"/>
  <c r="S47" i="6" s="1"/>
  <c r="P46" i="6"/>
  <c r="Z46" i="6" s="1"/>
  <c r="P45" i="6"/>
  <c r="Y45" i="6" s="1"/>
  <c r="P44" i="6"/>
  <c r="P43" i="6"/>
  <c r="U43" i="6" s="1"/>
  <c r="P42" i="6"/>
  <c r="U42" i="6" s="1"/>
  <c r="P41" i="6"/>
  <c r="R41" i="6" s="1"/>
  <c r="P40" i="6"/>
  <c r="P39" i="6"/>
  <c r="Y39" i="6" s="1"/>
  <c r="P38" i="6"/>
  <c r="Y38" i="6" s="1"/>
  <c r="P37" i="6"/>
  <c r="V37" i="6" s="1"/>
  <c r="P36" i="6"/>
  <c r="P35" i="6"/>
  <c r="X35" i="6" s="1"/>
  <c r="P34" i="6"/>
  <c r="P33" i="6"/>
  <c r="Z33" i="6" s="1"/>
  <c r="P32" i="6"/>
  <c r="P31" i="6"/>
  <c r="X31" i="6" s="1"/>
  <c r="P30" i="6"/>
  <c r="X30" i="6" s="1"/>
  <c r="P29" i="6"/>
  <c r="X29" i="6" s="1"/>
  <c r="P28" i="6"/>
  <c r="P27" i="6"/>
  <c r="S27" i="6" s="1"/>
  <c r="P26" i="6"/>
  <c r="T26" i="6" s="1"/>
  <c r="P25" i="6"/>
  <c r="T25" i="6" s="1"/>
  <c r="P24" i="6"/>
  <c r="P23" i="6"/>
  <c r="R23" i="6" s="1"/>
  <c r="P22" i="6"/>
  <c r="X22" i="6" s="1"/>
  <c r="P21" i="6"/>
  <c r="X21" i="6" s="1"/>
  <c r="P20" i="6"/>
  <c r="P19" i="6"/>
  <c r="Z19" i="6" s="1"/>
  <c r="P18" i="6"/>
  <c r="X18" i="6" s="1"/>
  <c r="P16" i="6"/>
  <c r="U16" i="6" s="1"/>
  <c r="P68" i="6"/>
  <c r="P67" i="6"/>
  <c r="U67" i="6" s="1"/>
  <c r="P66" i="6"/>
  <c r="W66" i="6" s="1"/>
  <c r="P65" i="6"/>
  <c r="P64" i="6"/>
  <c r="P63" i="6"/>
  <c r="Y63" i="6" s="1"/>
  <c r="P62" i="6"/>
  <c r="Z62" i="6" s="1"/>
  <c r="P61" i="6"/>
  <c r="Y61" i="6" s="1"/>
  <c r="P60" i="6"/>
  <c r="Y17" i="6" l="1"/>
  <c r="V17" i="6"/>
  <c r="Z17" i="6"/>
  <c r="J43" i="5"/>
  <c r="U17" i="6"/>
  <c r="F53" i="5"/>
  <c r="S17" i="6"/>
  <c r="H53" i="5"/>
  <c r="T17" i="6"/>
  <c r="J17" i="5"/>
  <c r="F22" i="5"/>
  <c r="R26" i="5" s="1"/>
  <c r="J49" i="5"/>
  <c r="H22" i="5"/>
  <c r="S26" i="5" s="1"/>
  <c r="J50" i="5"/>
  <c r="J15" i="5"/>
  <c r="R18" i="6"/>
  <c r="S19" i="6"/>
  <c r="V23" i="6"/>
  <c r="S26" i="6"/>
  <c r="V27" i="6"/>
  <c r="R31" i="6"/>
  <c r="S35" i="6"/>
  <c r="X38" i="6"/>
  <c r="W43" i="6"/>
  <c r="W47" i="6"/>
  <c r="S51" i="6"/>
  <c r="T54" i="6"/>
  <c r="Z58" i="6"/>
  <c r="R61" i="6"/>
  <c r="S18" i="6"/>
  <c r="U19" i="6"/>
  <c r="W22" i="6"/>
  <c r="W23" i="6"/>
  <c r="Z27" i="6"/>
  <c r="W31" i="6"/>
  <c r="T35" i="6"/>
  <c r="T42" i="6"/>
  <c r="X51" i="6"/>
  <c r="T55" i="6"/>
  <c r="T58" i="6"/>
  <c r="W18" i="6"/>
  <c r="V19" i="6"/>
  <c r="Z23" i="6"/>
  <c r="R27" i="6"/>
  <c r="T39" i="6"/>
  <c r="V50" i="6"/>
  <c r="U55" i="6"/>
  <c r="U58" i="6"/>
  <c r="Z60" i="6"/>
  <c r="V60" i="6"/>
  <c r="R60" i="6"/>
  <c r="Y60" i="6"/>
  <c r="U60" i="6"/>
  <c r="X60" i="6"/>
  <c r="W60" i="6"/>
  <c r="W64" i="6"/>
  <c r="S64" i="6"/>
  <c r="Z64" i="6"/>
  <c r="V64" i="6"/>
  <c r="R64" i="6"/>
  <c r="U64" i="6"/>
  <c r="T64" i="6"/>
  <c r="W68" i="6"/>
  <c r="S68" i="6"/>
  <c r="Z68" i="6"/>
  <c r="V68" i="6"/>
  <c r="Y68" i="6"/>
  <c r="X68" i="6"/>
  <c r="X20" i="6"/>
  <c r="T20" i="6"/>
  <c r="W20" i="6"/>
  <c r="S20" i="6"/>
  <c r="X24" i="6"/>
  <c r="T24" i="6"/>
  <c r="W24" i="6"/>
  <c r="S24" i="6"/>
  <c r="X28" i="6"/>
  <c r="T28" i="6"/>
  <c r="W28" i="6"/>
  <c r="S28" i="6"/>
  <c r="Y32" i="6"/>
  <c r="U32" i="6"/>
  <c r="W32" i="6"/>
  <c r="R32" i="6"/>
  <c r="V32" i="6"/>
  <c r="Y36" i="6"/>
  <c r="U36" i="6"/>
  <c r="X36" i="6"/>
  <c r="S36" i="6"/>
  <c r="W36" i="6"/>
  <c r="R36" i="6"/>
  <c r="Y40" i="6"/>
  <c r="U40" i="6"/>
  <c r="Z40" i="6"/>
  <c r="T40" i="6"/>
  <c r="X40" i="6"/>
  <c r="S40" i="6"/>
  <c r="Y44" i="6"/>
  <c r="U44" i="6"/>
  <c r="V44" i="6"/>
  <c r="Z44" i="6"/>
  <c r="T44" i="6"/>
  <c r="Y48" i="6"/>
  <c r="U48" i="6"/>
  <c r="W48" i="6"/>
  <c r="R48" i="6"/>
  <c r="V48" i="6"/>
  <c r="Y52" i="6"/>
  <c r="U52" i="6"/>
  <c r="X52" i="6"/>
  <c r="S52" i="6"/>
  <c r="W52" i="6"/>
  <c r="R52" i="6"/>
  <c r="Y56" i="6"/>
  <c r="U56" i="6"/>
  <c r="Z56" i="6"/>
  <c r="T56" i="6"/>
  <c r="X56" i="6"/>
  <c r="S56" i="6"/>
  <c r="Y20" i="6"/>
  <c r="U24" i="6"/>
  <c r="Y28" i="6"/>
  <c r="X32" i="6"/>
  <c r="T36" i="6"/>
  <c r="W44" i="6"/>
  <c r="S48" i="6"/>
  <c r="Z52" i="6"/>
  <c r="V56" i="6"/>
  <c r="S60" i="6"/>
  <c r="X64" i="6"/>
  <c r="T68" i="6"/>
  <c r="W61" i="6"/>
  <c r="S61" i="6"/>
  <c r="Z65" i="6"/>
  <c r="V65" i="6"/>
  <c r="R65" i="6"/>
  <c r="Y65" i="6"/>
  <c r="U65" i="6"/>
  <c r="T65" i="6"/>
  <c r="S65" i="6"/>
  <c r="Z16" i="6"/>
  <c r="V16" i="6"/>
  <c r="R16" i="6"/>
  <c r="S21" i="6"/>
  <c r="Z21" i="6"/>
  <c r="V21" i="6"/>
  <c r="W25" i="6"/>
  <c r="S25" i="6"/>
  <c r="Z25" i="6"/>
  <c r="V25" i="6"/>
  <c r="R25" i="6"/>
  <c r="W29" i="6"/>
  <c r="S29" i="6"/>
  <c r="Z29" i="6"/>
  <c r="V29" i="6"/>
  <c r="R29" i="6"/>
  <c r="X33" i="6"/>
  <c r="T33" i="6"/>
  <c r="Y33" i="6"/>
  <c r="S33" i="6"/>
  <c r="W33" i="6"/>
  <c r="R33" i="6"/>
  <c r="X37" i="6"/>
  <c r="T37" i="6"/>
  <c r="Z37" i="6"/>
  <c r="U37" i="6"/>
  <c r="Y37" i="6"/>
  <c r="S37" i="6"/>
  <c r="X41" i="6"/>
  <c r="T41" i="6"/>
  <c r="V41" i="6"/>
  <c r="Z41" i="6"/>
  <c r="U41" i="6"/>
  <c r="X45" i="6"/>
  <c r="T45" i="6"/>
  <c r="W45" i="6"/>
  <c r="R45" i="6"/>
  <c r="V45" i="6"/>
  <c r="X49" i="6"/>
  <c r="T49" i="6"/>
  <c r="Y49" i="6"/>
  <c r="S49" i="6"/>
  <c r="W49" i="6"/>
  <c r="R49" i="6"/>
  <c r="X53" i="6"/>
  <c r="T53" i="6"/>
  <c r="Z53" i="6"/>
  <c r="U53" i="6"/>
  <c r="Y53" i="6"/>
  <c r="S53" i="6"/>
  <c r="X57" i="6"/>
  <c r="T57" i="6"/>
  <c r="V57" i="6"/>
  <c r="Z57" i="6"/>
  <c r="U57" i="6"/>
  <c r="U61" i="6"/>
  <c r="Z61" i="6"/>
  <c r="W16" i="6"/>
  <c r="R20" i="6"/>
  <c r="Z20" i="6"/>
  <c r="Y21" i="6"/>
  <c r="V24" i="6"/>
  <c r="U25" i="6"/>
  <c r="R28" i="6"/>
  <c r="Z28" i="6"/>
  <c r="Y29" i="6"/>
  <c r="Z32" i="6"/>
  <c r="V36" i="6"/>
  <c r="S41" i="6"/>
  <c r="X44" i="6"/>
  <c r="Z45" i="6"/>
  <c r="T48" i="6"/>
  <c r="V49" i="6"/>
  <c r="R53" i="6"/>
  <c r="Y57" i="6"/>
  <c r="T60" i="6"/>
  <c r="Y64" i="6"/>
  <c r="U68" i="6"/>
  <c r="Y62" i="6"/>
  <c r="U62" i="6"/>
  <c r="X62" i="6"/>
  <c r="T62" i="6"/>
  <c r="W62" i="6"/>
  <c r="V62" i="6"/>
  <c r="Y66" i="6"/>
  <c r="U66" i="6"/>
  <c r="X66" i="6"/>
  <c r="T66" i="6"/>
  <c r="S66" i="6"/>
  <c r="Z66" i="6"/>
  <c r="R66" i="6"/>
  <c r="Y18" i="6"/>
  <c r="U18" i="6"/>
  <c r="Z22" i="6"/>
  <c r="V22" i="6"/>
  <c r="R22" i="6"/>
  <c r="Y22" i="6"/>
  <c r="U22" i="6"/>
  <c r="Z26" i="6"/>
  <c r="V26" i="6"/>
  <c r="Y26" i="6"/>
  <c r="U26" i="6"/>
  <c r="Z30" i="6"/>
  <c r="V30" i="6"/>
  <c r="Y30" i="6"/>
  <c r="U30" i="6"/>
  <c r="S34" i="6"/>
  <c r="Z34" i="6"/>
  <c r="U34" i="6"/>
  <c r="Y34" i="6"/>
  <c r="T34" i="6"/>
  <c r="W38" i="6"/>
  <c r="S38" i="6"/>
  <c r="V38" i="6"/>
  <c r="Z38" i="6"/>
  <c r="U38" i="6"/>
  <c r="W42" i="6"/>
  <c r="S42" i="6"/>
  <c r="X42" i="6"/>
  <c r="R42" i="6"/>
  <c r="V42" i="6"/>
  <c r="S46" i="6"/>
  <c r="Y46" i="6"/>
  <c r="T46" i="6"/>
  <c r="X46" i="6"/>
  <c r="S50" i="6"/>
  <c r="Z50" i="6"/>
  <c r="U50" i="6"/>
  <c r="Y50" i="6"/>
  <c r="T50" i="6"/>
  <c r="W54" i="6"/>
  <c r="S54" i="6"/>
  <c r="V54" i="6"/>
  <c r="Z54" i="6"/>
  <c r="U54" i="6"/>
  <c r="V61" i="6"/>
  <c r="S16" i="6"/>
  <c r="X16" i="6"/>
  <c r="T18" i="6"/>
  <c r="Z18" i="6"/>
  <c r="U20" i="6"/>
  <c r="T21" i="6"/>
  <c r="S22" i="6"/>
  <c r="Y24" i="6"/>
  <c r="X25" i="6"/>
  <c r="U28" i="6"/>
  <c r="T29" i="6"/>
  <c r="S30" i="6"/>
  <c r="S32" i="6"/>
  <c r="U33" i="6"/>
  <c r="V34" i="6"/>
  <c r="Z36" i="6"/>
  <c r="R38" i="6"/>
  <c r="V40" i="6"/>
  <c r="W41" i="6"/>
  <c r="Y42" i="6"/>
  <c r="R44" i="6"/>
  <c r="S45" i="6"/>
  <c r="U46" i="6"/>
  <c r="X48" i="6"/>
  <c r="Z49" i="6"/>
  <c r="T52" i="6"/>
  <c r="V53" i="6"/>
  <c r="X54" i="6"/>
  <c r="R57" i="6"/>
  <c r="R62" i="6"/>
  <c r="W65" i="6"/>
  <c r="X63" i="6"/>
  <c r="T63" i="6"/>
  <c r="S63" i="6"/>
  <c r="V63" i="6"/>
  <c r="U63" i="6"/>
  <c r="X67" i="6"/>
  <c r="T67" i="6"/>
  <c r="W67" i="6"/>
  <c r="S67" i="6"/>
  <c r="Z67" i="6"/>
  <c r="Y67" i="6"/>
  <c r="Y19" i="6"/>
  <c r="X19" i="6"/>
  <c r="T19" i="6"/>
  <c r="Y23" i="6"/>
  <c r="U23" i="6"/>
  <c r="X23" i="6"/>
  <c r="T23" i="6"/>
  <c r="Y27" i="6"/>
  <c r="U27" i="6"/>
  <c r="X27" i="6"/>
  <c r="T27" i="6"/>
  <c r="Z31" i="6"/>
  <c r="V31" i="6"/>
  <c r="U31" i="6"/>
  <c r="Y31" i="6"/>
  <c r="T31" i="6"/>
  <c r="Z35" i="6"/>
  <c r="V35" i="6"/>
  <c r="R35" i="6"/>
  <c r="W35" i="6"/>
  <c r="U35" i="6"/>
  <c r="Z39" i="6"/>
  <c r="V39" i="6"/>
  <c r="R39" i="6"/>
  <c r="X39" i="6"/>
  <c r="S39" i="6"/>
  <c r="W39" i="6"/>
  <c r="Z43" i="6"/>
  <c r="V43" i="6"/>
  <c r="R43" i="6"/>
  <c r="Y43" i="6"/>
  <c r="T43" i="6"/>
  <c r="X43" i="6"/>
  <c r="S43" i="6"/>
  <c r="Z47" i="6"/>
  <c r="V47" i="6"/>
  <c r="R47" i="6"/>
  <c r="U47" i="6"/>
  <c r="Y47" i="6"/>
  <c r="T47" i="6"/>
  <c r="Z51" i="6"/>
  <c r="V51" i="6"/>
  <c r="R51" i="6"/>
  <c r="W51" i="6"/>
  <c r="U51" i="6"/>
  <c r="Z55" i="6"/>
  <c r="V55" i="6"/>
  <c r="R55" i="6"/>
  <c r="X55" i="6"/>
  <c r="S55" i="6"/>
  <c r="W55" i="6"/>
  <c r="Z59" i="6"/>
  <c r="V59" i="6"/>
  <c r="Y59" i="6"/>
  <c r="T59" i="6"/>
  <c r="X59" i="6"/>
  <c r="S59" i="6"/>
  <c r="T61" i="6"/>
  <c r="X61" i="6"/>
  <c r="T16" i="6"/>
  <c r="Y16" i="6"/>
  <c r="V18" i="6"/>
  <c r="R19" i="6"/>
  <c r="W19" i="6"/>
  <c r="V20" i="6"/>
  <c r="U21" i="6"/>
  <c r="T22" i="6"/>
  <c r="S23" i="6"/>
  <c r="R24" i="6"/>
  <c r="Z24" i="6"/>
  <c r="Y25" i="6"/>
  <c r="X26" i="6"/>
  <c r="W27" i="6"/>
  <c r="V28" i="6"/>
  <c r="U29" i="6"/>
  <c r="T30" i="6"/>
  <c r="S31" i="6"/>
  <c r="T32" i="6"/>
  <c r="V33" i="6"/>
  <c r="X34" i="6"/>
  <c r="Y35" i="6"/>
  <c r="T38" i="6"/>
  <c r="U39" i="6"/>
  <c r="Y41" i="6"/>
  <c r="Z42" i="6"/>
  <c r="S44" i="6"/>
  <c r="U45" i="6"/>
  <c r="V46" i="6"/>
  <c r="X47" i="6"/>
  <c r="Z48" i="6"/>
  <c r="T51" i="6"/>
  <c r="V52" i="6"/>
  <c r="W53" i="6"/>
  <c r="Y54" i="6"/>
  <c r="S57" i="6"/>
  <c r="S62" i="6"/>
  <c r="Z63" i="6"/>
  <c r="X65" i="6"/>
  <c r="V67" i="6"/>
  <c r="W58" i="6"/>
  <c r="S58" i="6"/>
  <c r="V58" i="6"/>
  <c r="R58" i="6"/>
  <c r="X58" i="6"/>
  <c r="H66" i="6"/>
  <c r="V66" i="6" s="1"/>
  <c r="I63" i="6"/>
  <c r="W63" i="6" s="1"/>
  <c r="D63" i="6"/>
  <c r="R63" i="6" s="1"/>
  <c r="I59" i="6"/>
  <c r="W59" i="6" s="1"/>
  <c r="D59" i="6"/>
  <c r="R59" i="6" s="1"/>
  <c r="I56" i="6"/>
  <c r="W56" i="6" s="1"/>
  <c r="D56" i="6"/>
  <c r="R56" i="6" s="1"/>
  <c r="I50" i="6"/>
  <c r="W50" i="6" s="1"/>
  <c r="D50" i="6"/>
  <c r="R50" i="6" s="1"/>
  <c r="I46" i="6"/>
  <c r="W46" i="6" s="1"/>
  <c r="D46" i="6"/>
  <c r="R46" i="6" s="1"/>
  <c r="I40" i="6"/>
  <c r="W40" i="6" s="1"/>
  <c r="D40" i="6"/>
  <c r="R40" i="6" s="1"/>
  <c r="I37" i="6"/>
  <c r="W37" i="6" s="1"/>
  <c r="D37" i="6"/>
  <c r="R37" i="6" s="1"/>
  <c r="I34" i="6"/>
  <c r="W34" i="6" s="1"/>
  <c r="D34" i="6"/>
  <c r="R34" i="6" s="1"/>
  <c r="I30" i="6"/>
  <c r="W30" i="6" s="1"/>
  <c r="D30" i="6"/>
  <c r="R30" i="6" s="1"/>
  <c r="I26" i="6"/>
  <c r="W26" i="6" s="1"/>
  <c r="D26" i="6"/>
  <c r="R26" i="6" s="1"/>
  <c r="I21" i="6"/>
  <c r="W21" i="6" s="1"/>
  <c r="D21" i="6"/>
  <c r="R21" i="6" s="1"/>
  <c r="K15" i="6"/>
  <c r="H15" i="6"/>
  <c r="G15" i="6"/>
  <c r="M12" i="6"/>
  <c r="J13" i="6"/>
  <c r="J15" i="6" s="1"/>
  <c r="E13" i="6"/>
  <c r="E15" i="6" s="1"/>
  <c r="D67" i="6"/>
  <c r="R67" i="6" s="1"/>
  <c r="J20" i="5"/>
  <c r="I27" i="5"/>
  <c r="H27" i="5"/>
  <c r="G27" i="5"/>
  <c r="F27" i="5"/>
  <c r="J26" i="5"/>
  <c r="J25" i="5"/>
  <c r="J19" i="5"/>
  <c r="J14" i="5"/>
  <c r="H43" i="2"/>
  <c r="H42" i="2"/>
  <c r="F43" i="2"/>
  <c r="F42" i="2"/>
  <c r="H47" i="2" l="1"/>
  <c r="D85" i="6" s="1"/>
  <c r="H55" i="5"/>
  <c r="H29" i="3"/>
  <c r="F29" i="3"/>
  <c r="F55" i="5"/>
  <c r="F47" i="2"/>
  <c r="J53" i="5"/>
  <c r="J55" i="5" s="1"/>
  <c r="J41" i="5"/>
  <c r="T26" i="5"/>
  <c r="F29" i="5"/>
  <c r="F30" i="5"/>
  <c r="S15" i="6"/>
  <c r="S70" i="6" s="1"/>
  <c r="E72" i="6"/>
  <c r="X15" i="6"/>
  <c r="X70" i="6" s="1"/>
  <c r="J72" i="6"/>
  <c r="V15" i="6"/>
  <c r="V70" i="6" s="1"/>
  <c r="Y15" i="6"/>
  <c r="Y70" i="6" s="1"/>
  <c r="D68" i="6"/>
  <c r="R68" i="6" s="1"/>
  <c r="U15" i="6"/>
  <c r="U70" i="6" s="1"/>
  <c r="I13" i="6"/>
  <c r="I14" i="6" s="1"/>
  <c r="L14" i="6" s="1"/>
  <c r="L15" i="6" s="1"/>
  <c r="D13" i="6"/>
  <c r="J18" i="5"/>
  <c r="J27" i="5"/>
  <c r="J16" i="5"/>
  <c r="H24" i="3"/>
  <c r="F24" i="3"/>
  <c r="D84" i="6" l="1"/>
  <c r="J22" i="5"/>
  <c r="J29" i="5" s="1"/>
  <c r="J47" i="2"/>
  <c r="H85" i="6"/>
  <c r="H84" i="6" s="1"/>
  <c r="F31" i="5"/>
  <c r="F44" i="5"/>
  <c r="J44" i="5"/>
  <c r="H44" i="5"/>
  <c r="H29" i="5"/>
  <c r="H30" i="5"/>
  <c r="Z15" i="6"/>
  <c r="Z70" i="6" s="1"/>
  <c r="I15" i="6"/>
  <c r="D14" i="6"/>
  <c r="M13" i="6"/>
  <c r="F27" i="3"/>
  <c r="J27" i="3" s="1"/>
  <c r="H26" i="3"/>
  <c r="H30" i="3" s="1"/>
  <c r="F28" i="3"/>
  <c r="J28" i="3" s="1"/>
  <c r="H20" i="3"/>
  <c r="F20" i="3"/>
  <c r="H19" i="3"/>
  <c r="H17" i="3"/>
  <c r="H15" i="3"/>
  <c r="F14" i="3"/>
  <c r="H13" i="3"/>
  <c r="F13" i="3"/>
  <c r="J29" i="3"/>
  <c r="J26" i="3"/>
  <c r="J25" i="3"/>
  <c r="J24" i="3"/>
  <c r="G113" i="4"/>
  <c r="G112" i="4"/>
  <c r="L101" i="4"/>
  <c r="K101" i="4"/>
  <c r="J101" i="4"/>
  <c r="I101" i="4"/>
  <c r="G100" i="4"/>
  <c r="G99" i="4"/>
  <c r="L95" i="4"/>
  <c r="K95" i="4"/>
  <c r="J95" i="4"/>
  <c r="I95" i="4"/>
  <c r="E87" i="4"/>
  <c r="G87" i="4" s="1"/>
  <c r="F19" i="3" s="1"/>
  <c r="L82" i="4"/>
  <c r="K82" i="4"/>
  <c r="J82" i="4"/>
  <c r="I82" i="4"/>
  <c r="G82" i="4"/>
  <c r="F18" i="3" s="1"/>
  <c r="G81" i="4"/>
  <c r="G120" i="4" s="1"/>
  <c r="G78" i="4"/>
  <c r="L75" i="4"/>
  <c r="L78" i="4" s="1"/>
  <c r="K75" i="4"/>
  <c r="J75" i="4"/>
  <c r="J78" i="4" s="1"/>
  <c r="I75" i="4"/>
  <c r="I78" i="4" s="1"/>
  <c r="G64" i="4"/>
  <c r="G59" i="4"/>
  <c r="G56" i="4"/>
  <c r="F16" i="3" s="1"/>
  <c r="G55" i="4"/>
  <c r="G124" i="4" s="1"/>
  <c r="L26" i="4"/>
  <c r="K26" i="4"/>
  <c r="J26" i="4"/>
  <c r="I26" i="4"/>
  <c r="G26" i="4"/>
  <c r="S25" i="4"/>
  <c r="G24" i="4"/>
  <c r="F15" i="3" s="1"/>
  <c r="S23" i="4"/>
  <c r="S22" i="4"/>
  <c r="S21" i="4"/>
  <c r="S20" i="4"/>
  <c r="G125" i="4" s="1"/>
  <c r="G17" i="4"/>
  <c r="L14" i="4"/>
  <c r="K14" i="4"/>
  <c r="J14" i="4"/>
  <c r="I14" i="4"/>
  <c r="G14" i="4"/>
  <c r="L10" i="4"/>
  <c r="L102" i="4" s="1"/>
  <c r="K10" i="4"/>
  <c r="J10" i="4"/>
  <c r="J17" i="4" s="1"/>
  <c r="I10" i="4"/>
  <c r="G10" i="4"/>
  <c r="J85" i="6" l="1"/>
  <c r="L17" i="4"/>
  <c r="G75" i="4"/>
  <c r="H16" i="3"/>
  <c r="H21" i="3" s="1"/>
  <c r="J30" i="5"/>
  <c r="J31" i="5" s="1"/>
  <c r="J46" i="5" s="1"/>
  <c r="K78" i="4"/>
  <c r="G131" i="4"/>
  <c r="F46" i="5"/>
  <c r="H31" i="5"/>
  <c r="H46" i="5" s="1"/>
  <c r="W15" i="6"/>
  <c r="W70" i="6" s="1"/>
  <c r="F14" i="6"/>
  <c r="F15" i="6" s="1"/>
  <c r="D15" i="6"/>
  <c r="F30" i="3"/>
  <c r="J30" i="3"/>
  <c r="G126" i="4"/>
  <c r="G129" i="4" s="1"/>
  <c r="G132" i="4"/>
  <c r="G95" i="4"/>
  <c r="G102" i="4" s="1"/>
  <c r="G106" i="4"/>
  <c r="G115" i="4" s="1"/>
  <c r="G118" i="4" s="1"/>
  <c r="I102" i="4"/>
  <c r="J102" i="4"/>
  <c r="I17" i="4"/>
  <c r="G101" i="4"/>
  <c r="K102" i="4"/>
  <c r="K17" i="4"/>
  <c r="F21" i="3"/>
  <c r="J20" i="3"/>
  <c r="J18" i="3"/>
  <c r="J17" i="3"/>
  <c r="J15" i="3"/>
  <c r="J14" i="3"/>
  <c r="J13" i="3"/>
  <c r="J43" i="2"/>
  <c r="J42" i="2"/>
  <c r="J44" i="2" s="1"/>
  <c r="H44" i="2"/>
  <c r="F44" i="2"/>
  <c r="I39" i="2"/>
  <c r="H39" i="2"/>
  <c r="D80" i="6" s="1"/>
  <c r="G39" i="2"/>
  <c r="F39" i="2"/>
  <c r="H80" i="6" s="1"/>
  <c r="J38" i="2"/>
  <c r="J37" i="2"/>
  <c r="F37" i="2"/>
  <c r="J34" i="2"/>
  <c r="J33" i="2"/>
  <c r="J32" i="2"/>
  <c r="H34" i="2"/>
  <c r="F34" i="2"/>
  <c r="H23" i="2"/>
  <c r="D79" i="6" s="1"/>
  <c r="I23" i="2"/>
  <c r="G23" i="2"/>
  <c r="F23" i="2"/>
  <c r="H79" i="6" s="1"/>
  <c r="J22" i="2"/>
  <c r="J21" i="2"/>
  <c r="J20" i="2"/>
  <c r="F16" i="2"/>
  <c r="J15" i="2"/>
  <c r="J14" i="2"/>
  <c r="H13" i="2"/>
  <c r="J13" i="2" s="1"/>
  <c r="H12" i="2"/>
  <c r="H16" i="2" s="1"/>
  <c r="D77" i="6" s="1"/>
  <c r="J12" i="2" l="1"/>
  <c r="D81" i="6"/>
  <c r="J39" i="2"/>
  <c r="J16" i="3"/>
  <c r="H77" i="6"/>
  <c r="F46" i="2"/>
  <c r="F48" i="2" s="1"/>
  <c r="H46" i="2"/>
  <c r="H48" i="2" s="1"/>
  <c r="Z71" i="6"/>
  <c r="T15" i="6"/>
  <c r="T70" i="6" s="1"/>
  <c r="M15" i="6"/>
  <c r="R15" i="6"/>
  <c r="R70" i="6" s="1"/>
  <c r="M14" i="6"/>
  <c r="H32" i="3"/>
  <c r="F32" i="3"/>
  <c r="G121" i="4"/>
  <c r="G135" i="4"/>
  <c r="J19" i="3"/>
  <c r="J21" i="3" s="1"/>
  <c r="J16" i="2"/>
  <c r="J23" i="2"/>
  <c r="L70" i="6" l="1"/>
  <c r="H81" i="6"/>
  <c r="J81" i="6" s="1"/>
  <c r="J25" i="2"/>
  <c r="J46" i="2" s="1"/>
  <c r="J48" i="2" s="1"/>
  <c r="V72" i="6"/>
  <c r="H70" i="6" s="1"/>
  <c r="Y72" i="6"/>
  <c r="K71" i="6" s="1"/>
  <c r="Z72" i="6"/>
  <c r="L71" i="6" s="1"/>
  <c r="U71" i="6"/>
  <c r="U72" i="6" s="1"/>
  <c r="W72" i="6"/>
  <c r="I71" i="6" s="1"/>
  <c r="J32" i="3"/>
  <c r="L72" i="6" l="1"/>
  <c r="F42" i="3" s="1"/>
  <c r="J42" i="3" s="1"/>
  <c r="M42" i="3" s="1"/>
  <c r="R25" i="5"/>
  <c r="R27" i="5" s="1"/>
  <c r="H71" i="6"/>
  <c r="H72" i="6" s="1"/>
  <c r="F39" i="3" s="1"/>
  <c r="K70" i="6"/>
  <c r="K72" i="6" s="1"/>
  <c r="F41" i="3" s="1"/>
  <c r="J41" i="3" s="1"/>
  <c r="M41" i="3" s="1"/>
  <c r="I70" i="6"/>
  <c r="I72" i="6" s="1"/>
  <c r="F40" i="3" s="1"/>
  <c r="J40" i="3" s="1"/>
  <c r="M40" i="3" s="1"/>
  <c r="G71" i="6"/>
  <c r="G70" i="6"/>
  <c r="R72" i="6"/>
  <c r="T72" i="6"/>
  <c r="J39" i="3" l="1"/>
  <c r="M39" i="3" s="1"/>
  <c r="F43" i="3"/>
  <c r="F45" i="3" s="1"/>
  <c r="D71" i="6"/>
  <c r="D70" i="6"/>
  <c r="D72" i="6" s="1"/>
  <c r="H36" i="3" s="1"/>
  <c r="S25" i="5"/>
  <c r="S27" i="5" s="1"/>
  <c r="T27" i="5" s="1"/>
  <c r="F71" i="6"/>
  <c r="F70" i="6"/>
  <c r="G72" i="6"/>
  <c r="H38" i="3" s="1"/>
  <c r="J38" i="3" s="1"/>
  <c r="M38" i="3" s="1"/>
  <c r="J36" i="3" l="1"/>
  <c r="M36" i="3" s="1"/>
  <c r="F72" i="6"/>
  <c r="H37" i="3" s="1"/>
  <c r="J37" i="3" s="1"/>
  <c r="M37" i="3" s="1"/>
  <c r="M43" i="3" l="1"/>
  <c r="H43" i="3"/>
  <c r="H45" i="3" s="1"/>
  <c r="J43" i="3"/>
  <c r="J45" i="3" s="1"/>
</calcChain>
</file>

<file path=xl/sharedStrings.xml><?xml version="1.0" encoding="utf-8"?>
<sst xmlns="http://schemas.openxmlformats.org/spreadsheetml/2006/main" count="492" uniqueCount="317">
  <si>
    <t>Client:</t>
  </si>
  <si>
    <t>Lawcleve Superannuation Fund</t>
  </si>
  <si>
    <t>W/P:</t>
  </si>
  <si>
    <t>Initials</t>
  </si>
  <si>
    <t>Date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</si>
  <si>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</si>
  <si>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</si>
  <si>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</si>
  <si>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</si>
  <si>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</si>
  <si>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</si>
  <si>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</si>
  <si>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</si>
  <si>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Bruce</t>
  </si>
  <si>
    <t>Jon</t>
  </si>
  <si>
    <t>Michele</t>
  </si>
  <si>
    <t>Total</t>
  </si>
  <si>
    <t>Durie</t>
  </si>
  <si>
    <t>McCarthy</t>
  </si>
  <si>
    <t>Christine</t>
  </si>
  <si>
    <t>Investment Income</t>
  </si>
  <si>
    <t>Trust Distributions</t>
  </si>
  <si>
    <t>Dividends</t>
  </si>
  <si>
    <t>Interest</t>
  </si>
  <si>
    <t>Other Inc</t>
  </si>
  <si>
    <t>Contributions</t>
  </si>
  <si>
    <t>Employer</t>
  </si>
  <si>
    <t>Personal Concessional</t>
  </si>
  <si>
    <t>Personal Non-Concessional</t>
  </si>
  <si>
    <t>Expenses</t>
  </si>
  <si>
    <t>Accounting Fees</t>
  </si>
  <si>
    <t>Administration Costs</t>
  </si>
  <si>
    <t>ATO Supervisory Levy</t>
  </si>
  <si>
    <t>Auditors Remuneration</t>
  </si>
  <si>
    <t>Bank charges</t>
  </si>
  <si>
    <t>Investment Expenses</t>
  </si>
  <si>
    <t>Macq wrap fees</t>
  </si>
  <si>
    <t>Member Payments</t>
  </si>
  <si>
    <t xml:space="preserve">Pensions </t>
  </si>
  <si>
    <t>Lump Sums</t>
  </si>
  <si>
    <t>Changes in Market Values</t>
  </si>
  <si>
    <t>Realised</t>
  </si>
  <si>
    <t>Benefits Accrued before Tax</t>
  </si>
  <si>
    <t>Investments</t>
  </si>
  <si>
    <t>Fixed Interest Securities</t>
  </si>
  <si>
    <t>Loans to Assoc Entities</t>
  </si>
  <si>
    <t>Managed Investments</t>
  </si>
  <si>
    <t>Shares in Listed Companies (Aust)</t>
  </si>
  <si>
    <t>Shares in Listed Companies (Overseas)</t>
  </si>
  <si>
    <t>Shares in Unlisted Private Companies</t>
  </si>
  <si>
    <t>green/blue</t>
  </si>
  <si>
    <t>yellow/orange</t>
  </si>
  <si>
    <t>Units in Listed Unit Trusts</t>
  </si>
  <si>
    <t>Units in Unlisted Unit Trusts</t>
  </si>
  <si>
    <t xml:space="preserve">LAWCLEVE SUPERANNUATION FUND </t>
  </si>
  <si>
    <t xml:space="preserve">Investment Summary Report </t>
  </si>
  <si>
    <t>As at 30 June 2020</t>
  </si>
  <si>
    <t>Investment</t>
  </si>
  <si>
    <t>Units</t>
  </si>
  <si>
    <t>Market Price</t>
  </si>
  <si>
    <t>Market Value</t>
  </si>
  <si>
    <t>Average Cost</t>
  </si>
  <si>
    <t>Accounting Cost</t>
  </si>
  <si>
    <t>Unrealised Gain/(Loss)</t>
  </si>
  <si>
    <t>Gain/(Loss)%</t>
  </si>
  <si>
    <t>Portfolio Weight%</t>
  </si>
  <si>
    <t>Cash/Bank Accounts</t>
  </si>
  <si>
    <t>Macquarie Cash Management A/c</t>
  </si>
  <si>
    <t>Westpac Business One A/c 331</t>
  </si>
  <si>
    <t>Westpac Business One A/c 358</t>
  </si>
  <si>
    <t>Fixed Interest Securities (Australian) - Unitised</t>
  </si>
  <si>
    <t>AYUHB.AX</t>
  </si>
  <si>
    <t>Australian Unity Limited</t>
  </si>
  <si>
    <t>CWNHB.AX</t>
  </si>
  <si>
    <t>Crown Subordinated Notes II</t>
  </si>
  <si>
    <t>Loans to Associated Entities (In house loans)</t>
  </si>
  <si>
    <t>Loan to Debenglen Pty Ltd</t>
  </si>
  <si>
    <t>Managed Investments (Australian)</t>
  </si>
  <si>
    <t>IOF0045AU</t>
  </si>
  <si>
    <t>Antipodes Global Fund - Class P</t>
  </si>
  <si>
    <t>Morgans portfolio has $27,662.11</t>
  </si>
  <si>
    <t>FID0026AU</t>
  </si>
  <si>
    <t>Fidelity Future Leaders</t>
  </si>
  <si>
    <t>Macq portfolio has $54,091.44</t>
  </si>
  <si>
    <t>MAQ0454AU</t>
  </si>
  <si>
    <t>Macquarie Aust Small Companies Fund</t>
  </si>
  <si>
    <t>Macq portfolio has $71,466.06</t>
  </si>
  <si>
    <t>MAQ0443AU</t>
  </si>
  <si>
    <t>Macquarie Australian Shares Fund</t>
  </si>
  <si>
    <t>Macq portfolio has $18,350.53</t>
  </si>
  <si>
    <t>MGE0001AU</t>
  </si>
  <si>
    <t>Magellan Global Fund</t>
  </si>
  <si>
    <t>MAQ0782AU</t>
  </si>
  <si>
    <t>Premium Asia Income Fund</t>
  </si>
  <si>
    <t>Macq portfolio has $73,767.91</t>
  </si>
  <si>
    <t>Shares in Listed Companies (Australian)</t>
  </si>
  <si>
    <t>AEG.AX</t>
  </si>
  <si>
    <t>Absolute Equity Performance Fund Limited</t>
  </si>
  <si>
    <t>ANZPF.AX</t>
  </si>
  <si>
    <t>Australia And New Zealand Banking Group - Capital Notes 3</t>
  </si>
  <si>
    <t>ANZPG.AX</t>
  </si>
  <si>
    <t>Australia And New Zealand Banking Group Capital Notes 4</t>
  </si>
  <si>
    <t>ANZ.AX</t>
  </si>
  <si>
    <t>Australia And New Zealand Banking Group Limited</t>
  </si>
  <si>
    <t>ANZPE.AX</t>
  </si>
  <si>
    <t>Australia And New Zealand Banking Group Limited - Capital Notes 6</t>
  </si>
  <si>
    <t>slight variance in market value at 30/6/2020, $100.99 per Macq (total MV $35,346.50)</t>
  </si>
  <si>
    <t>BBN.AX</t>
  </si>
  <si>
    <t>Baby Bunting Group Limited</t>
  </si>
  <si>
    <t>BOQPE.AX</t>
  </si>
  <si>
    <t>Bank Of Queensland Limited Capital Notes</t>
  </si>
  <si>
    <t>BHP.AX</t>
  </si>
  <si>
    <t>BHP Group Limited</t>
  </si>
  <si>
    <t>BLD.AX</t>
  </si>
  <si>
    <t>Boral Limited</t>
  </si>
  <si>
    <t>CAN.AX</t>
  </si>
  <si>
    <t>Cann Group Limited</t>
  </si>
  <si>
    <t>CGFPA.AX</t>
  </si>
  <si>
    <t>Challenger Limited</t>
  </si>
  <si>
    <t>COL.AX</t>
  </si>
  <si>
    <t>Coles Group Limited.</t>
  </si>
  <si>
    <t>CBA.AX</t>
  </si>
  <si>
    <t>Commonwealth Bank Of Australia</t>
  </si>
  <si>
    <t>CBAPF.AX</t>
  </si>
  <si>
    <t>Commonwealth Bank Of Australia PERLS IX</t>
  </si>
  <si>
    <t>CBAPD.AX</t>
  </si>
  <si>
    <t>Commonwealth Bank Of Australia PERLS VII</t>
  </si>
  <si>
    <t>CPU.AX</t>
  </si>
  <si>
    <t>Computershare Limited</t>
  </si>
  <si>
    <t>CSL.AX</t>
  </si>
  <si>
    <t>CSL Limited</t>
  </si>
  <si>
    <t>GOLD.AX</t>
  </si>
  <si>
    <t>Etfs Metal Securities Australia Limited</t>
  </si>
  <si>
    <t>HZR.AX</t>
  </si>
  <si>
    <t>Hazer Group Limited</t>
  </si>
  <si>
    <t>IPH.AX</t>
  </si>
  <si>
    <t>IPH Limited</t>
  </si>
  <si>
    <t>MQGPC.AX</t>
  </si>
  <si>
    <t>Macquarie Group Capital Notes 3</t>
  </si>
  <si>
    <t>MQG.AX</t>
  </si>
  <si>
    <t>Macquarie Group Limited</t>
  </si>
  <si>
    <t>MGL.AX</t>
  </si>
  <si>
    <t>Magontec Limited</t>
  </si>
  <si>
    <t>MP1.AX</t>
  </si>
  <si>
    <t>Megaport Limited</t>
  </si>
  <si>
    <t>NAB.AX</t>
  </si>
  <si>
    <t>National Australia Bank Limited</t>
  </si>
  <si>
    <t>NABPF.AX</t>
  </si>
  <si>
    <t>NABPB.AX</t>
  </si>
  <si>
    <t>National Australia Bank Limited CPS II</t>
  </si>
  <si>
    <t>NWS.AX</t>
  </si>
  <si>
    <t>News Corporation Limited</t>
  </si>
  <si>
    <t>ORA.AX</t>
  </si>
  <si>
    <t>Orora Limited</t>
  </si>
  <si>
    <t>PGF.AX</t>
  </si>
  <si>
    <t>PM Capital Global Opportunities Fund Limited</t>
  </si>
  <si>
    <t>QBE.AX</t>
  </si>
  <si>
    <t>QBE Insurance Group Limited</t>
  </si>
  <si>
    <t>REA.AX</t>
  </si>
  <si>
    <t>REA Group Ltd</t>
  </si>
  <si>
    <t>RMD.AX</t>
  </si>
  <si>
    <t>Resmed Inc</t>
  </si>
  <si>
    <t>SHL.AX</t>
  </si>
  <si>
    <t>Sonic Healthcare Limited</t>
  </si>
  <si>
    <t>SLC.AX</t>
  </si>
  <si>
    <t>Superloop Limited</t>
  </si>
  <si>
    <t>TLS.AX</t>
  </si>
  <si>
    <t>Telstra Corporation Limited</t>
  </si>
  <si>
    <t>WES.AX</t>
  </si>
  <si>
    <t>Wesfarmers Limited</t>
  </si>
  <si>
    <t>WBC.AX</t>
  </si>
  <si>
    <t>Westpac Banking Corporation</t>
  </si>
  <si>
    <t>WBCPE.AX</t>
  </si>
  <si>
    <t>Westpac Banking Corporation - Non-Cum Conv Cap Notes</t>
  </si>
  <si>
    <t>WBCPH.AX</t>
  </si>
  <si>
    <t>Westpac Capital Notes 5</t>
  </si>
  <si>
    <t>WPL.AX</t>
  </si>
  <si>
    <t>Woodside Petroleum Ltd</t>
  </si>
  <si>
    <t>WOW.AX</t>
  </si>
  <si>
    <t>Woolworths Group Limited</t>
  </si>
  <si>
    <t>SNDE.NDQ</t>
  </si>
  <si>
    <t>Sundance Energy Inc</t>
  </si>
  <si>
    <t>Shares in Unlisted Private Companies (Australian)</t>
  </si>
  <si>
    <t>CTLXX</t>
  </si>
  <si>
    <t>Centenial Mining Limited</t>
  </si>
  <si>
    <t>slight variance in market value at 30/6/2020, $0.01 per Macq (total MV $1,688.16), this company has delisted</t>
  </si>
  <si>
    <t>MONTEMPL</t>
  </si>
  <si>
    <t>Montem Resources Limited</t>
  </si>
  <si>
    <t>Units in Listed Unit Trusts (Australian)</t>
  </si>
  <si>
    <t>XARO.AX</t>
  </si>
  <si>
    <t>Activex Ardea Real Outcome Bond Fund (managed Fund)</t>
  </si>
  <si>
    <t>IXJ.AX</t>
  </si>
  <si>
    <t>Ishares Global Healthcare ETF</t>
  </si>
  <si>
    <t>IVV.AX</t>
  </si>
  <si>
    <t>Ishares S&amp;P 500 ETF</t>
  </si>
  <si>
    <t>LLC.AX</t>
  </si>
  <si>
    <t>Lendlease Group</t>
  </si>
  <si>
    <t>PIXX.AX</t>
  </si>
  <si>
    <t>Platinum International Fund (quoted Managed Hedge Fund)</t>
  </si>
  <si>
    <t>QRI.AX</t>
  </si>
  <si>
    <t>Qualitas Real Estate Income Fund</t>
  </si>
  <si>
    <t>RDC.AX</t>
  </si>
  <si>
    <t>Redcape Hotel Group</t>
  </si>
  <si>
    <t>SCG.AX</t>
  </si>
  <si>
    <t>Scentre Group</t>
  </si>
  <si>
    <t>SYD.AX</t>
  </si>
  <si>
    <t>Sydney Airport</t>
  </si>
  <si>
    <t>TCL.AX</t>
  </si>
  <si>
    <t>Transurban Group</t>
  </si>
  <si>
    <t>VAP.AX</t>
  </si>
  <si>
    <t>Vanguard Australian Property Securities Index ETF</t>
  </si>
  <si>
    <t>Units in Unlisted Unit Trusts (Australian)</t>
  </si>
  <si>
    <t>CROM.AX</t>
  </si>
  <si>
    <t>Cromwell Riverpark Trust</t>
  </si>
  <si>
    <t>DURIEINSTREET</t>
  </si>
  <si>
    <t>Instreet WS Link Absolute Return Fund</t>
  </si>
  <si>
    <t>Trilogy Cannon Hill Office Tr</t>
  </si>
  <si>
    <t>Trilogy Cannon Hill Office Trust</t>
  </si>
  <si>
    <t>TRILOGYIPT</t>
  </si>
  <si>
    <t>Trilogy Industrial Property Trust</t>
  </si>
  <si>
    <t>DURIE INVESTMENTS</t>
  </si>
  <si>
    <t>Macquarie Wrap - market value per above</t>
  </si>
  <si>
    <t xml:space="preserve">Plus: distributions receivable </t>
  </si>
  <si>
    <t>excluded from calc - no variance in mkt value per Macq and BGL</t>
  </si>
  <si>
    <t>Variance in ANZPE market value</t>
  </si>
  <si>
    <t>Variance in CTL market value - shares delisted</t>
  </si>
  <si>
    <t>Market value per Macq Wrap portfolio valuation</t>
  </si>
  <si>
    <t xml:space="preserve">Variance </t>
  </si>
  <si>
    <t>variance in mkt value (see above) 5319.26 less distbns rec 5428.48 = 109.22</t>
  </si>
  <si>
    <t>Non-portfolio holdings</t>
  </si>
  <si>
    <t>TOTAL DURIE INVESTMENTS</t>
  </si>
  <si>
    <t>MCCARTHY INVESTMENTS</t>
  </si>
  <si>
    <t>Morgans - market value per above</t>
  </si>
  <si>
    <t>Plus: variance in Antipodes investment</t>
  </si>
  <si>
    <t>(distbn receivable is $1,201.50)</t>
  </si>
  <si>
    <t>Market value per Morgans portfolio valuation report</t>
  </si>
  <si>
    <t>Variance</t>
  </si>
  <si>
    <t>TOTAL MCCARTHY INVESTMENTS</t>
  </si>
  <si>
    <t>TOTAL INVESTMENTS PER BGL INVESTMENT SUMMARY</t>
  </si>
  <si>
    <t>Other Assets</t>
  </si>
  <si>
    <t>Distributions Receivable</t>
  </si>
  <si>
    <t>Dividends Receivable</t>
  </si>
  <si>
    <t>WBC A/c 331</t>
  </si>
  <si>
    <t>WBC A/c 358</t>
  </si>
  <si>
    <t>Macquarie CMT</t>
  </si>
  <si>
    <t>Total Assets</t>
  </si>
  <si>
    <t>Total Income</t>
  </si>
  <si>
    <t>Unrealised</t>
  </si>
  <si>
    <t>SEGREGATION WORKSHEET - OPERATING STATEMENT</t>
  </si>
  <si>
    <t>SEGREGATION WORKSHEET - BALANCE SHEET</t>
  </si>
  <si>
    <t>SEGREGATION WORKSHEET - INCOME TAX</t>
  </si>
  <si>
    <t>Imputation Credits</t>
  </si>
  <si>
    <t>Net Capital Gains</t>
  </si>
  <si>
    <t>Taxable Income or Loss</t>
  </si>
  <si>
    <t>SEGREGATION WORKSHEET - MEMBER ACCOUNTS</t>
  </si>
  <si>
    <t>JM - Accum</t>
  </si>
  <si>
    <t>CM - Pension</t>
  </si>
  <si>
    <t>MD - Accum</t>
  </si>
  <si>
    <t>BD - Accum</t>
  </si>
  <si>
    <t>Opening balances</t>
  </si>
  <si>
    <t>BD - Pension 2</t>
  </si>
  <si>
    <t>BD - Pension 3</t>
  </si>
  <si>
    <t>Fund total</t>
  </si>
  <si>
    <t>Pension commutation</t>
  </si>
  <si>
    <t>Pension commencement</t>
  </si>
  <si>
    <t>JM - Pension 4</t>
  </si>
  <si>
    <t>JM - Pension 3</t>
  </si>
  <si>
    <t>BD - Pension 4</t>
  </si>
  <si>
    <t>Pension payment</t>
  </si>
  <si>
    <t>Lump sum</t>
  </si>
  <si>
    <t>No. days</t>
  </si>
  <si>
    <t>Alloc of profit</t>
  </si>
  <si>
    <t>Contribution - NCC</t>
  </si>
  <si>
    <t>Contribution - CC</t>
  </si>
  <si>
    <t>Contributions tax</t>
  </si>
  <si>
    <t>Daily weighted member balance calc</t>
  </si>
  <si>
    <t>total weighted avg daily member balance</t>
  </si>
  <si>
    <t>Closing member balance</t>
  </si>
  <si>
    <t>Foreign Income</t>
  </si>
  <si>
    <t>Unfranked dividends</t>
  </si>
  <si>
    <t>Franked dividends</t>
  </si>
  <si>
    <t>Trust distributions</t>
  </si>
  <si>
    <t>alloc of profit within segregated portfolio</t>
  </si>
  <si>
    <t>total for portfolio</t>
  </si>
  <si>
    <t>Less: ECPI</t>
  </si>
  <si>
    <t>Less: ECPE</t>
  </si>
  <si>
    <t>Tax at 15%</t>
  </si>
  <si>
    <t>TAXABLE INCOME (ROUNDED)</t>
  </si>
  <si>
    <t>Less: Imputation credits</t>
  </si>
  <si>
    <t>Less: Foreign tax credits</t>
  </si>
  <si>
    <t>Assessable Income</t>
  </si>
  <si>
    <t>Actuarial percentage</t>
  </si>
  <si>
    <t>BGL Tax Report</t>
  </si>
  <si>
    <t>Rouding</t>
  </si>
  <si>
    <t>ECPI - BGL appears to be calculating this amount based on the accumulation member % weighting for the portfolio - entered into the segregation screen</t>
  </si>
  <si>
    <t>Accum %</t>
  </si>
  <si>
    <t>Invest Income</t>
  </si>
  <si>
    <t>ECPI</t>
  </si>
  <si>
    <t>Rounding</t>
  </si>
  <si>
    <t>ECPE - admin costs</t>
  </si>
  <si>
    <t>Add: FTC adj for ECPI</t>
  </si>
  <si>
    <t>Supervisory levy</t>
  </si>
  <si>
    <t>Income tax expense</t>
  </si>
  <si>
    <t>Benefits Accrued after Tax</t>
  </si>
  <si>
    <t>Fund level expense - alloc by BGL based on member weighted daily balances - client intent is to split 50/50</t>
  </si>
  <si>
    <t>$10 bank fee per WBC account, per month</t>
  </si>
  <si>
    <t>Accounting profit</t>
  </si>
  <si>
    <t>(excl member trans)</t>
  </si>
  <si>
    <t>Total Pooled</t>
  </si>
  <si>
    <t>Pension/lump sums</t>
  </si>
  <si>
    <t>Tax on contbns</t>
  </si>
  <si>
    <t xml:space="preserve">Tax on earnings </t>
  </si>
  <si>
    <t>Alloc of tax</t>
  </si>
  <si>
    <t>Income Tax Payable/(Refundable)</t>
  </si>
  <si>
    <t>Income Tax (Payable)/Refundable</t>
  </si>
  <si>
    <t>manual adj to profit alloc</t>
  </si>
  <si>
    <t>BGL before adj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</si>
</sst>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#,##0.0000"/>
    <numFmt numFmtId="166" formatCode="_-* #,##0_-;\-* #,##0_-;_-* &quot;-&quot;??_-;_-@_-"/>
    <numFmt numFmtId="167" formatCode="_-* #,##0.000000_-;\-* #,##0.000000_-;_-* &quot;-&quot;??_-;_-@_-"/>
    <numFmt numFmtId="168" formatCode="0.0000%"/>
    <numFmt numFmtId="169" formatCode="0.00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8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44" fontId="0" fillId="0" borderId="0" xfId="1" applyFont="1"/>
    <xf numFmtId="0" fontId="3" fillId="0" borderId="1" xfId="0" applyFont="1" applyBorder="1" applyAlignment="1">
      <alignment horizontal="center" vertical="center"/>
    </xf>
    <xf numFmtId="0" fontId="5" fillId="0" borderId="0" xfId="2" applyFont="1" applyAlignment="1">
      <alignment wrapText="1"/>
    </xf>
    <xf numFmtId="44" fontId="3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/>
    <xf numFmtId="15" fontId="0" fillId="0" borderId="1" xfId="0" applyNumberFormat="1" applyBorder="1"/>
    <xf numFmtId="0" fontId="6" fillId="0" borderId="0" xfId="0" applyFont="1"/>
    <xf numFmtId="15" fontId="6" fillId="0" borderId="0" xfId="0" applyNumberFormat="1" applyFont="1" applyAlignment="1">
      <alignment horizontal="left"/>
    </xf>
    <xf numFmtId="0" fontId="2" fillId="0" borderId="0" xfId="0" applyFont="1"/>
    <xf numFmtId="1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164" fontId="6" fillId="0" borderId="0" xfId="0" applyNumberFormat="1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44" fontId="0" fillId="0" borderId="6" xfId="1" applyFont="1" applyBorder="1"/>
    <xf numFmtId="44" fontId="7" fillId="0" borderId="0" xfId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0" fillId="0" borderId="7" xfId="0" applyBorder="1"/>
    <xf numFmtId="0" fontId="10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 wrapText="1"/>
    </xf>
    <xf numFmtId="0" fontId="0" fillId="0" borderId="0" xfId="0"/>
    <xf numFmtId="0" fontId="0" fillId="2" borderId="0" xfId="0" applyFill="1" applyAlignment="1">
      <alignment horizontal="left" vertical="center" wrapText="1"/>
    </xf>
    <xf numFmtId="4" fontId="0" fillId="2" borderId="0" xfId="0" applyNumberFormat="1" applyFill="1" applyAlignment="1">
      <alignment horizontal="right" vertical="top"/>
    </xf>
    <xf numFmtId="165" fontId="0" fillId="2" borderId="0" xfId="0" applyNumberFormat="1" applyFill="1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0" fillId="3" borderId="0" xfId="0" applyFill="1" applyAlignment="1">
      <alignment horizontal="left" vertical="center" wrapText="1"/>
    </xf>
    <xf numFmtId="4" fontId="0" fillId="3" borderId="0" xfId="0" applyNumberFormat="1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0" fillId="4" borderId="0" xfId="0" applyFill="1" applyAlignment="1">
      <alignment horizontal="left" vertical="center" wrapText="1"/>
    </xf>
    <xf numFmtId="4" fontId="0" fillId="4" borderId="0" xfId="0" applyNumberFormat="1" applyFill="1" applyAlignment="1">
      <alignment horizontal="right" vertical="top"/>
    </xf>
    <xf numFmtId="165" fontId="0" fillId="4" borderId="0" xfId="0" applyNumberFormat="1" applyFill="1" applyAlignment="1">
      <alignment horizontal="right" vertical="top"/>
    </xf>
    <xf numFmtId="4" fontId="10" fillId="0" borderId="10" xfId="0" applyNumberFormat="1" applyFont="1" applyBorder="1" applyAlignment="1">
      <alignment horizontal="right"/>
    </xf>
    <xf numFmtId="0" fontId="0" fillId="5" borderId="0" xfId="0" applyFill="1" applyAlignment="1">
      <alignment horizontal="left" vertical="center" wrapText="1"/>
    </xf>
    <xf numFmtId="4" fontId="0" fillId="5" borderId="0" xfId="0" applyNumberFormat="1" applyFill="1" applyAlignment="1">
      <alignment horizontal="right" vertical="top"/>
    </xf>
    <xf numFmtId="165" fontId="0" fillId="5" borderId="0" xfId="0" applyNumberFormat="1" applyFill="1" applyAlignment="1">
      <alignment horizontal="right" vertical="top"/>
    </xf>
    <xf numFmtId="4" fontId="10" fillId="0" borderId="0" xfId="0" applyNumberFormat="1" applyFont="1" applyAlignment="1">
      <alignment horizontal="right"/>
    </xf>
    <xf numFmtId="4" fontId="10" fillId="0" borderId="11" xfId="0" applyNumberFormat="1" applyFont="1" applyBorder="1" applyAlignment="1">
      <alignment horizontal="right"/>
    </xf>
    <xf numFmtId="0" fontId="0" fillId="2" borderId="0" xfId="0" applyFill="1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left" vertical="center" wrapText="1"/>
    </xf>
    <xf numFmtId="43" fontId="11" fillId="0" borderId="0" xfId="3" applyFont="1" applyBorder="1"/>
    <xf numFmtId="43" fontId="11" fillId="0" borderId="6" xfId="3" applyFont="1" applyBorder="1"/>
    <xf numFmtId="43" fontId="0" fillId="0" borderId="0" xfId="0" applyNumberFormat="1"/>
    <xf numFmtId="43" fontId="11" fillId="0" borderId="0" xfId="3" applyFont="1"/>
    <xf numFmtId="4" fontId="0" fillId="0" borderId="6" xfId="0" applyNumberFormat="1" applyBorder="1"/>
    <xf numFmtId="0" fontId="12" fillId="4" borderId="0" xfId="0" applyFont="1" applyFill="1"/>
    <xf numFmtId="0" fontId="12" fillId="0" borderId="0" xfId="0" applyFont="1"/>
    <xf numFmtId="0" fontId="0" fillId="5" borderId="0" xfId="0" applyFill="1"/>
    <xf numFmtId="0" fontId="0" fillId="3" borderId="0" xfId="0" applyFill="1"/>
    <xf numFmtId="165" fontId="0" fillId="0" borderId="0" xfId="0" applyNumberFormat="1"/>
    <xf numFmtId="43" fontId="7" fillId="0" borderId="12" xfId="3" applyFont="1" applyBorder="1"/>
    <xf numFmtId="44" fontId="1" fillId="0" borderId="0" xfId="1" applyFont="1" applyAlignment="1">
      <alignment horizontal="center"/>
    </xf>
    <xf numFmtId="44" fontId="0" fillId="0" borderId="4" xfId="1" applyFont="1" applyBorder="1"/>
    <xf numFmtId="44" fontId="7" fillId="0" borderId="4" xfId="1" applyFont="1" applyBorder="1" applyAlignment="1">
      <alignment horizontal="center"/>
    </xf>
    <xf numFmtId="0" fontId="0" fillId="0" borderId="0" xfId="0"/>
    <xf numFmtId="0" fontId="0" fillId="0" borderId="0" xfId="0" applyBorder="1"/>
    <xf numFmtId="0" fontId="7" fillId="0" borderId="0" xfId="0" applyFont="1" applyBorder="1"/>
    <xf numFmtId="14" fontId="0" fillId="0" borderId="0" xfId="0" applyNumberFormat="1"/>
    <xf numFmtId="14" fontId="0" fillId="0" borderId="0" xfId="0" applyNumberFormat="1" applyBorder="1"/>
    <xf numFmtId="43" fontId="0" fillId="0" borderId="0" xfId="3" applyFont="1" applyBorder="1"/>
    <xf numFmtId="0" fontId="7" fillId="2" borderId="0" xfId="0" applyFont="1" applyFill="1"/>
    <xf numFmtId="43" fontId="1" fillId="2" borderId="0" xfId="3" applyFont="1" applyFill="1" applyBorder="1" applyAlignment="1">
      <alignment horizontal="center"/>
    </xf>
    <xf numFmtId="43" fontId="0" fillId="2" borderId="0" xfId="3" applyFont="1" applyFill="1" applyBorder="1" applyAlignment="1">
      <alignment horizontal="center"/>
    </xf>
    <xf numFmtId="43" fontId="0" fillId="2" borderId="0" xfId="3" applyFont="1" applyFill="1" applyBorder="1"/>
    <xf numFmtId="43" fontId="7" fillId="2" borderId="0" xfId="3" applyFont="1" applyFill="1" applyBorder="1" applyAlignment="1">
      <alignment horizontal="center"/>
    </xf>
    <xf numFmtId="0" fontId="0" fillId="2" borderId="0" xfId="0" applyFill="1" applyBorder="1"/>
    <xf numFmtId="44" fontId="0" fillId="2" borderId="0" xfId="1" applyFont="1" applyFill="1" applyBorder="1"/>
    <xf numFmtId="0" fontId="7" fillId="5" borderId="0" xfId="0" applyFont="1" applyFill="1"/>
    <xf numFmtId="43" fontId="0" fillId="5" borderId="0" xfId="3" applyFont="1" applyFill="1" applyBorder="1" applyAlignment="1">
      <alignment horizontal="center"/>
    </xf>
    <xf numFmtId="43" fontId="0" fillId="5" borderId="0" xfId="3" applyFont="1" applyFill="1" applyBorder="1"/>
    <xf numFmtId="43" fontId="1" fillId="5" borderId="0" xfId="3" applyFont="1" applyFill="1" applyBorder="1" applyAlignment="1">
      <alignment horizontal="center"/>
    </xf>
    <xf numFmtId="43" fontId="7" fillId="5" borderId="0" xfId="3" applyFont="1" applyFill="1" applyBorder="1" applyAlignment="1">
      <alignment horizontal="center"/>
    </xf>
    <xf numFmtId="44" fontId="0" fillId="5" borderId="0" xfId="1" applyFont="1" applyFill="1" applyBorder="1"/>
    <xf numFmtId="0" fontId="0" fillId="5" borderId="0" xfId="0" applyFill="1" applyBorder="1"/>
    <xf numFmtId="43" fontId="0" fillId="2" borderId="6" xfId="3" applyFont="1" applyFill="1" applyBorder="1"/>
    <xf numFmtId="43" fontId="0" fillId="5" borderId="6" xfId="3" applyFont="1" applyFill="1" applyBorder="1"/>
    <xf numFmtId="43" fontId="0" fillId="0" borderId="6" xfId="3" applyFont="1" applyBorder="1"/>
    <xf numFmtId="44" fontId="7" fillId="5" borderId="0" xfId="1" applyFont="1" applyFill="1"/>
    <xf numFmtId="44" fontId="0" fillId="5" borderId="0" xfId="1" applyFont="1" applyFill="1"/>
    <xf numFmtId="0" fontId="0" fillId="0" borderId="0" xfId="0" applyFill="1" applyBorder="1"/>
    <xf numFmtId="166" fontId="0" fillId="0" borderId="0" xfId="3" applyNumberFormat="1" applyFont="1" applyBorder="1"/>
    <xf numFmtId="167" fontId="0" fillId="5" borderId="0" xfId="3" applyNumberFormat="1" applyFont="1" applyFill="1" applyBorder="1"/>
    <xf numFmtId="43" fontId="0" fillId="5" borderId="0" xfId="0" applyNumberFormat="1" applyFill="1" applyBorder="1"/>
    <xf numFmtId="0" fontId="0" fillId="0" borderId="0" xfId="0"/>
    <xf numFmtId="43" fontId="0" fillId="2" borderId="0" xfId="0" applyNumberFormat="1" applyFill="1" applyBorder="1"/>
    <xf numFmtId="43" fontId="0" fillId="5" borderId="4" xfId="0" applyNumberFormat="1" applyFill="1" applyBorder="1"/>
    <xf numFmtId="43" fontId="0" fillId="2" borderId="4" xfId="0" applyNumberFormat="1" applyFill="1" applyBorder="1"/>
    <xf numFmtId="43" fontId="0" fillId="5" borderId="13" xfId="0" applyNumberFormat="1" applyFill="1" applyBorder="1"/>
    <xf numFmtId="43" fontId="0" fillId="2" borderId="13" xfId="0" applyNumberFormat="1" applyFill="1" applyBorder="1"/>
    <xf numFmtId="44" fontId="1" fillId="0" borderId="0" xfId="1" applyFont="1"/>
    <xf numFmtId="0" fontId="0" fillId="0" borderId="0" xfId="0" applyFont="1" applyAlignment="1">
      <alignment horizontal="center"/>
    </xf>
    <xf numFmtId="44" fontId="1" fillId="0" borderId="6" xfId="1" applyFont="1" applyBorder="1"/>
    <xf numFmtId="0" fontId="0" fillId="0" borderId="6" xfId="0" applyBorder="1"/>
    <xf numFmtId="0" fontId="0" fillId="0" borderId="0" xfId="0" applyFont="1" applyFill="1"/>
    <xf numFmtId="44" fontId="0" fillId="2" borderId="0" xfId="1" applyFont="1" applyFill="1"/>
    <xf numFmtId="44" fontId="0" fillId="0" borderId="0" xfId="1" applyFont="1" applyFill="1"/>
    <xf numFmtId="168" fontId="0" fillId="5" borderId="0" xfId="4" applyNumberFormat="1" applyFont="1" applyFill="1" applyBorder="1"/>
    <xf numFmtId="168" fontId="0" fillId="2" borderId="0" xfId="4" applyNumberFormat="1" applyFont="1" applyFill="1" applyBorder="1"/>
    <xf numFmtId="0" fontId="0" fillId="0" borderId="0" xfId="0" applyFont="1"/>
    <xf numFmtId="0" fontId="0" fillId="0" borderId="0" xfId="0"/>
    <xf numFmtId="169" fontId="7" fillId="0" borderId="0" xfId="4" applyNumberFormat="1" applyFont="1" applyAlignment="1">
      <alignment horizontal="center"/>
    </xf>
    <xf numFmtId="44" fontId="7" fillId="0" borderId="0" xfId="1" applyFont="1" applyAlignment="1">
      <alignment horizontal="left"/>
    </xf>
    <xf numFmtId="43" fontId="0" fillId="0" borderId="0" xfId="0" applyNumberFormat="1" applyFont="1" applyAlignment="1">
      <alignment horizontal="center"/>
    </xf>
    <xf numFmtId="44" fontId="0" fillId="0" borderId="0" xfId="0" applyNumberFormat="1"/>
    <xf numFmtId="168" fontId="0" fillId="0" borderId="0" xfId="4" applyNumberFormat="1" applyFont="1"/>
    <xf numFmtId="43" fontId="0" fillId="0" borderId="0" xfId="3" applyFont="1"/>
    <xf numFmtId="0" fontId="0" fillId="0" borderId="0" xfId="0" applyFill="1"/>
    <xf numFmtId="44" fontId="0" fillId="0" borderId="6" xfId="1" applyFont="1" applyFill="1" applyBorder="1"/>
    <xf numFmtId="44" fontId="0" fillId="0" borderId="12" xfId="1" applyFont="1" applyBorder="1"/>
    <xf numFmtId="44" fontId="0" fillId="5" borderId="0" xfId="0" applyNumberFormat="1" applyFill="1" applyBorder="1"/>
    <xf numFmtId="44" fontId="0" fillId="5" borderId="0" xfId="0" applyNumberFormat="1" applyFill="1"/>
    <xf numFmtId="44" fontId="0" fillId="5" borderId="6" xfId="0" applyNumberFormat="1" applyFill="1" applyBorder="1"/>
    <xf numFmtId="44" fontId="0" fillId="2" borderId="0" xfId="0" applyNumberFormat="1" applyFill="1" applyBorder="1"/>
    <xf numFmtId="44" fontId="0" fillId="2" borderId="0" xfId="0" applyNumberFormat="1" applyFill="1"/>
    <xf numFmtId="44" fontId="0" fillId="2" borderId="6" xfId="0" applyNumberFormat="1" applyFill="1" applyBorder="1"/>
    <xf numFmtId="44" fontId="0" fillId="0" borderId="6" xfId="0" applyNumberFormat="1" applyBorder="1"/>
    <xf numFmtId="43" fontId="0" fillId="0" borderId="0" xfId="3" applyFont="1" applyAlignment="1">
      <alignment vertical="center"/>
    </xf>
    <xf numFmtId="44" fontId="0" fillId="0" borderId="0" xfId="0" applyNumberForma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4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10" fillId="0" borderId="0" xfId="0" applyFont="1"/>
    <xf numFmtId="0" fontId="0" fillId="0" borderId="0" xfId="0"/>
    <xf numFmtId="0" fontId="10" fillId="0" borderId="8" xfId="0" applyFont="1" applyBorder="1" applyAlignment="1">
      <alignment horizontal="left" vertical="center"/>
    </xf>
    <xf numFmtId="0" fontId="0" fillId="0" borderId="8" xfId="0" applyBorder="1"/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FB%20Super/HFB.SuperClients/M/MDRN/2020/Workpapers/4.%20Receivables/1%20Receivables%20W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FB%20Super/HFB.SuperClients/M/MDRN/2020/Workpapers/8.%20Income/Market%20Movement%20Report%20-%20showing%20segrega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FB%20Super/HFB.SuperClients/M/MDRN/2020/Workpapers/8.%20Income/Disposals/2%20Realised%20Capital%20Gains%20Report%20-%20shows%20segregatio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FB%20Super/HFB.SuperClients/M/MDRN/2020/Workpapers/8.%20Income/Investment%20Income%20-%20showing%20segregat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1">
          <cell r="F11">
            <v>1201.5</v>
          </cell>
        </row>
        <row r="12">
          <cell r="F12">
            <v>293.75</v>
          </cell>
        </row>
        <row r="14">
          <cell r="F14">
            <v>73.430000000000007</v>
          </cell>
        </row>
        <row r="15">
          <cell r="F15">
            <v>172.42</v>
          </cell>
        </row>
        <row r="16">
          <cell r="F16">
            <v>27.44</v>
          </cell>
        </row>
        <row r="17">
          <cell r="F17">
            <v>188.61</v>
          </cell>
        </row>
        <row r="18">
          <cell r="F18">
            <v>582.58000000000004</v>
          </cell>
        </row>
        <row r="19">
          <cell r="F19">
            <v>251.35</v>
          </cell>
        </row>
        <row r="20">
          <cell r="F20">
            <v>175.48</v>
          </cell>
        </row>
        <row r="21">
          <cell r="F21">
            <v>127.9</v>
          </cell>
        </row>
        <row r="22">
          <cell r="F22">
            <v>589.23</v>
          </cell>
        </row>
        <row r="23">
          <cell r="F23">
            <v>2610.06</v>
          </cell>
        </row>
        <row r="24">
          <cell r="F24">
            <v>4535.87</v>
          </cell>
        </row>
        <row r="25">
          <cell r="F25">
            <v>2724.82</v>
          </cell>
        </row>
        <row r="26">
          <cell r="F26">
            <v>508</v>
          </cell>
        </row>
        <row r="27">
          <cell r="F27">
            <v>302.08</v>
          </cell>
        </row>
        <row r="28">
          <cell r="F28">
            <v>666.67</v>
          </cell>
        </row>
        <row r="29">
          <cell r="F29">
            <v>1013.92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32">
          <cell r="G632">
            <v>-24497.27</v>
          </cell>
          <cell r="M632">
            <v>-13739.579999999998</v>
          </cell>
        </row>
        <row r="633">
          <cell r="G633">
            <v>1331.4</v>
          </cell>
          <cell r="M633">
            <v>0</v>
          </cell>
        </row>
        <row r="634">
          <cell r="G634">
            <v>-100017.99999999999</v>
          </cell>
          <cell r="M634">
            <v>4113.1299999999992</v>
          </cell>
        </row>
        <row r="635">
          <cell r="G635">
            <v>-29737.399999999998</v>
          </cell>
          <cell r="M635">
            <v>-5774.369999999999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82">
          <cell r="O182">
            <v>12251.920000000002</v>
          </cell>
          <cell r="P182">
            <v>32152.54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Compatibility Report"/>
    </sheetNames>
    <sheetDataSet>
      <sheetData sheetId="0">
        <row r="124">
          <cell r="G124">
            <v>444.72999999999996</v>
          </cell>
          <cell r="I124">
            <v>389.34</v>
          </cell>
        </row>
        <row r="126">
          <cell r="G126">
            <v>61.67</v>
          </cell>
          <cell r="I126">
            <v>463.6</v>
          </cell>
        </row>
        <row r="127">
          <cell r="G127">
            <v>260.39</v>
          </cell>
        </row>
        <row r="131">
          <cell r="D131">
            <v>13407.210000000001</v>
          </cell>
          <cell r="E131">
            <v>1977.7</v>
          </cell>
          <cell r="G131">
            <v>5745.95</v>
          </cell>
        </row>
        <row r="133">
          <cell r="D133">
            <v>32607.719999999998</v>
          </cell>
          <cell r="E133">
            <v>6987.9599999999991</v>
          </cell>
          <cell r="G133">
            <v>13974.75</v>
          </cell>
          <cell r="I133">
            <v>89.33</v>
          </cell>
        </row>
        <row r="149">
          <cell r="J149">
            <v>6383.68</v>
          </cell>
        </row>
        <row r="151">
          <cell r="J151">
            <v>4334.3999999999996</v>
          </cell>
        </row>
        <row r="152">
          <cell r="J152">
            <v>8180.34</v>
          </cell>
        </row>
        <row r="156">
          <cell r="J156">
            <v>10270.619999999999</v>
          </cell>
        </row>
        <row r="158">
          <cell r="J158">
            <v>4604.47</v>
          </cell>
        </row>
        <row r="159">
          <cell r="J159">
            <v>2.2799999999999998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C2B65-A3E1-4DD3-9CD4-1C1B205C0C16}">
  <dimension ref="A1:R54"/>
  <sheetViews>
    <sheetView topLeftCell="A4" workbookViewId="0">
      <selection activeCell="H36" sqref="H36:H37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4" customWidth="1"/>
    <col min="7" max="7" width="14.28515625" customWidth="1"/>
    <col min="8" max="9" width="15.7109375" customWidth="1"/>
    <col min="10" max="10" width="14.42578125" customWidth="1"/>
    <col min="12" max="12" width="14.28515625" bestFit="1" customWidth="1"/>
    <col min="13" max="13" width="10.5703125" bestFit="1" customWidth="1"/>
    <col min="17" max="17" width="11.5703125" style="117" bestFit="1" customWidth="1"/>
    <col min="18" max="18" width="11.5703125" bestFit="1" customWidth="1"/>
  </cols>
  <sheetData>
    <row r="1" spans="1:17" ht="18">
      <c r="A1" s="1" t="s">
        <v>0</v>
      </c>
      <c r="B1" s="2"/>
      <c r="C1" s="3" t="s">
        <v>1</v>
      </c>
      <c r="H1" s="5" t="s">
        <v>2</v>
      </c>
      <c r="I1" s="5"/>
    </row>
    <row r="2" spans="1:17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17" ht="18">
      <c r="A3" s="2" t="s">
        <v>249</v>
      </c>
      <c r="C3" s="20"/>
      <c r="G3" s="9" t="s">
        <v>5</v>
      </c>
      <c r="H3" s="10" t="s">
        <v>6</v>
      </c>
      <c r="I3" s="11">
        <v>44266</v>
      </c>
    </row>
    <row r="4" spans="1:17" ht="18">
      <c r="A4" s="12" t="s">
        <v>7</v>
      </c>
      <c r="C4" s="13">
        <v>44012</v>
      </c>
      <c r="D4" s="2"/>
      <c r="E4" s="2"/>
      <c r="F4" s="7"/>
      <c r="G4" s="9" t="s">
        <v>8</v>
      </c>
      <c r="H4" s="10"/>
      <c r="I4" s="11"/>
    </row>
    <row r="5" spans="1:17" ht="18">
      <c r="D5" s="2"/>
      <c r="E5" s="2"/>
      <c r="F5" s="7"/>
      <c r="G5" s="14"/>
      <c r="I5" s="15"/>
    </row>
    <row r="7" spans="1:17" s="18" customFormat="1" ht="25.5">
      <c r="A7" s="16" t="s">
        <v>9</v>
      </c>
      <c r="B7" s="130" t="s">
        <v>10</v>
      </c>
      <c r="C7" s="131"/>
      <c r="D7" s="131"/>
      <c r="E7" s="132"/>
      <c r="F7" s="17" t="s">
        <v>11</v>
      </c>
      <c r="G7" s="130" t="s">
        <v>12</v>
      </c>
      <c r="H7" s="133"/>
      <c r="I7" s="134"/>
      <c r="Q7" s="128"/>
    </row>
    <row r="9" spans="1:17">
      <c r="F9" s="24"/>
      <c r="G9" s="22"/>
      <c r="H9" s="22"/>
      <c r="I9" s="22"/>
      <c r="J9" s="22"/>
    </row>
    <row r="10" spans="1:17">
      <c r="F10" s="4" t="s">
        <v>51</v>
      </c>
      <c r="H10" t="s">
        <v>50</v>
      </c>
    </row>
    <row r="11" spans="1:17">
      <c r="B11" s="21"/>
      <c r="F11" s="24" t="s">
        <v>17</v>
      </c>
      <c r="G11" s="22"/>
      <c r="H11" s="22" t="s">
        <v>18</v>
      </c>
      <c r="I11" s="22"/>
      <c r="J11" s="22" t="s">
        <v>16</v>
      </c>
      <c r="K11" s="4"/>
    </row>
    <row r="12" spans="1:17">
      <c r="B12" s="21" t="s">
        <v>43</v>
      </c>
      <c r="F12" s="24"/>
      <c r="G12" s="22"/>
      <c r="H12" s="22"/>
      <c r="I12" s="22"/>
      <c r="J12" s="22"/>
      <c r="K12" s="4"/>
    </row>
    <row r="13" spans="1:17">
      <c r="C13" t="s">
        <v>44</v>
      </c>
      <c r="F13" s="4">
        <f>+'Invest Summary Recon'!G13</f>
        <v>24050</v>
      </c>
      <c r="G13" s="4"/>
      <c r="H13" s="4">
        <f>+'Invest Summary Recon'!G12</f>
        <v>50500</v>
      </c>
      <c r="I13" s="4"/>
      <c r="J13" s="4">
        <f>SUM(F13:I13)</f>
        <v>74550</v>
      </c>
      <c r="K13" s="4"/>
    </row>
    <row r="14" spans="1:17">
      <c r="C14" t="s">
        <v>45</v>
      </c>
      <c r="F14" s="4">
        <f>+'Invest Summary Recon'!G16</f>
        <v>40000</v>
      </c>
      <c r="G14" s="4"/>
      <c r="H14" s="4">
        <v>0</v>
      </c>
      <c r="I14" s="4"/>
      <c r="J14" s="4">
        <f t="shared" ref="J14:J20" si="0">SUM(F14:I14)</f>
        <v>40000</v>
      </c>
      <c r="K14" s="4"/>
    </row>
    <row r="15" spans="1:17">
      <c r="C15" t="s">
        <v>46</v>
      </c>
      <c r="F15" s="4">
        <f>SUM('Invest Summary Recon'!G21:G25)</f>
        <v>277573.4689646</v>
      </c>
      <c r="G15" s="4"/>
      <c r="H15" s="4">
        <f>+'Invest Summary Recon'!G20</f>
        <v>26501.82</v>
      </c>
      <c r="I15" s="4"/>
      <c r="J15" s="4">
        <f t="shared" si="0"/>
        <v>304075.28896460001</v>
      </c>
      <c r="K15" s="4"/>
    </row>
    <row r="16" spans="1:17">
      <c r="C16" t="s">
        <v>47</v>
      </c>
      <c r="F16" s="4">
        <f>+'Invest Summary Recon'!G29+'Invest Summary Recon'!G30+'Invest Summary Recon'!G32+'Invest Summary Recon'!G33+'Invest Summary Recon'!G35+'Invest Summary Recon'!G36+'Invest Summary Recon'!G44+'Invest Summary Recon'!G47+'Invest Summary Recon'!G48+'Invest Summary Recon'!G51+'Invest Summary Recon'!G53+'Invest Summary Recon'!G56+'Invest Summary Recon'!G57+'Invest Summary Recon'!G69+'Invest Summary Recon'!G71+'Invest Summary Recon'!G72</f>
        <v>447930.76999999996</v>
      </c>
      <c r="G16" s="4"/>
      <c r="H16" s="4">
        <f>+'Invest Summary Recon'!G28+'Invest Summary Recon'!G31+'Invest Summary Recon'!G34+SUM('Invest Summary Recon'!G37:G43)+SUM('Invest Summary Recon'!G45:G46)+SUM('Invest Summary Recon'!G49:G50)+'Invest Summary Recon'!G52+SUM('Invest Summary Recon'!G54:G55)+SUM('Invest Summary Recon'!G58:G68)+'Invest Summary Recon'!G70+SUM('Invest Summary Recon'!G73:G74)</f>
        <v>962213.22</v>
      </c>
      <c r="I16" s="4"/>
      <c r="J16" s="4">
        <f t="shared" si="0"/>
        <v>1410143.99</v>
      </c>
      <c r="K16" s="4"/>
    </row>
    <row r="17" spans="2:11">
      <c r="C17" t="s">
        <v>48</v>
      </c>
      <c r="F17" s="4">
        <v>0</v>
      </c>
      <c r="G17" s="4"/>
      <c r="H17" s="4">
        <f>+'Invest Summary Recon'!G77</f>
        <v>885.44</v>
      </c>
      <c r="I17" s="4"/>
      <c r="J17" s="4">
        <f t="shared" si="0"/>
        <v>885.44</v>
      </c>
      <c r="K17" s="4"/>
    </row>
    <row r="18" spans="2:11">
      <c r="C18" t="s">
        <v>49</v>
      </c>
      <c r="F18" s="4">
        <f>+'Invest Summary Recon'!G82</f>
        <v>23333.5</v>
      </c>
      <c r="G18" s="4"/>
      <c r="H18" s="4">
        <v>0</v>
      </c>
      <c r="I18" s="4"/>
      <c r="J18" s="4">
        <f t="shared" si="0"/>
        <v>23333.5</v>
      </c>
      <c r="K18" s="4"/>
    </row>
    <row r="19" spans="2:11">
      <c r="C19" t="s">
        <v>52</v>
      </c>
      <c r="F19" s="4">
        <f>+SUM('Invest Summary Recon'!G85:G87)+SUM('Invest Summary Recon'!G89:G91)+'Invest Summary Recon'!G94</f>
        <v>237062.48</v>
      </c>
      <c r="G19" s="4"/>
      <c r="H19" s="4">
        <f>+'Invest Summary Recon'!G84+'Invest Summary Recon'!G88+'Invest Summary Recon'!G92+'Invest Summary Recon'!G93</f>
        <v>205754</v>
      </c>
      <c r="I19" s="4"/>
      <c r="J19" s="4">
        <f t="shared" si="0"/>
        <v>442816.48</v>
      </c>
      <c r="K19" s="4"/>
    </row>
    <row r="20" spans="2:11">
      <c r="C20" t="s">
        <v>53</v>
      </c>
      <c r="F20" s="23">
        <f>+'Invest Summary Recon'!G98</f>
        <v>0</v>
      </c>
      <c r="G20" s="4"/>
      <c r="H20" s="23">
        <f>+'Invest Summary Recon'!G97+'Invest Summary Recon'!G99+'Invest Summary Recon'!G100</f>
        <v>195672.25930800001</v>
      </c>
      <c r="I20" s="4"/>
      <c r="J20" s="23">
        <f t="shared" si="0"/>
        <v>195672.25930800001</v>
      </c>
      <c r="K20" s="4"/>
    </row>
    <row r="21" spans="2:11">
      <c r="F21" s="64">
        <f>SUM(F13:F20)</f>
        <v>1049950.2189646</v>
      </c>
      <c r="G21" s="4"/>
      <c r="H21" s="64">
        <f>SUM(H13:H20)</f>
        <v>1441526.7393080001</v>
      </c>
      <c r="I21" s="4"/>
      <c r="J21" s="64">
        <f>SUM(J13:J20)</f>
        <v>2491476.9582726001</v>
      </c>
      <c r="K21" s="4"/>
    </row>
    <row r="22" spans="2:11">
      <c r="G22" s="4"/>
      <c r="H22" s="4"/>
      <c r="I22" s="4"/>
      <c r="J22" s="4"/>
      <c r="K22" s="4"/>
    </row>
    <row r="23" spans="2:11">
      <c r="B23" s="21" t="s">
        <v>239</v>
      </c>
      <c r="G23" s="4"/>
      <c r="H23" s="4"/>
      <c r="I23" s="4"/>
      <c r="J23" s="4"/>
      <c r="K23" s="4"/>
    </row>
    <row r="24" spans="2:11">
      <c r="B24" s="21"/>
      <c r="C24" t="s">
        <v>240</v>
      </c>
      <c r="F24" s="63">
        <f>SUM([1]Sheet1!$F$14:$F$24)</f>
        <v>9334.369999999999</v>
      </c>
      <c r="G24" s="24"/>
      <c r="H24" s="63">
        <f>+[1]Sheet1!$F$11+[1]Sheet1!$F$12+[1]Sheet1!$F$25+[1]Sheet1!$F$26+[1]Sheet1!$F$27+[1]Sheet1!$F$28+[1]Sheet1!$F$29</f>
        <v>6710.74</v>
      </c>
      <c r="I24" s="24"/>
      <c r="J24" s="4">
        <f t="shared" ref="J24:J29" si="1">SUM(F24:I24)</f>
        <v>16045.109999999999</v>
      </c>
      <c r="K24" s="4"/>
    </row>
    <row r="25" spans="2:11">
      <c r="C25" t="s">
        <v>241</v>
      </c>
      <c r="F25" s="4">
        <v>0</v>
      </c>
      <c r="G25" s="4"/>
      <c r="H25" s="4">
        <v>292</v>
      </c>
      <c r="I25" s="4"/>
      <c r="J25" s="4">
        <f t="shared" si="1"/>
        <v>292</v>
      </c>
      <c r="K25" s="4"/>
    </row>
    <row r="26" spans="2:11">
      <c r="C26" t="s">
        <v>242</v>
      </c>
      <c r="F26" s="4">
        <v>0</v>
      </c>
      <c r="G26" s="4"/>
      <c r="H26" s="4">
        <f>+'Invest Summary Recon'!G8</f>
        <v>265350.07</v>
      </c>
      <c r="I26" s="4"/>
      <c r="J26" s="4">
        <f t="shared" si="1"/>
        <v>265350.07</v>
      </c>
      <c r="K26" s="4"/>
    </row>
    <row r="27" spans="2:11">
      <c r="C27" t="s">
        <v>243</v>
      </c>
      <c r="F27" s="4">
        <f>+'Invest Summary Recon'!G9</f>
        <v>29303.84</v>
      </c>
      <c r="G27" s="4"/>
      <c r="H27" s="4">
        <v>0</v>
      </c>
      <c r="I27" s="4"/>
      <c r="J27" s="4">
        <f t="shared" si="1"/>
        <v>29303.84</v>
      </c>
      <c r="K27" s="4"/>
    </row>
    <row r="28" spans="2:11">
      <c r="C28" t="s">
        <v>244</v>
      </c>
      <c r="F28" s="4">
        <f>+'Invest Summary Recon'!G7</f>
        <v>27498.639999999999</v>
      </c>
      <c r="G28" s="4"/>
      <c r="H28" s="4">
        <v>0</v>
      </c>
      <c r="I28" s="4"/>
      <c r="J28" s="4">
        <f t="shared" si="1"/>
        <v>27498.639999999999</v>
      </c>
      <c r="K28" s="4"/>
    </row>
    <row r="29" spans="2:11">
      <c r="C29" t="s">
        <v>314</v>
      </c>
      <c r="F29" s="119">
        <f>-'Income Tax'!F53</f>
        <v>-1041.4110054000009</v>
      </c>
      <c r="G29" s="19"/>
      <c r="H29" s="23">
        <f>-'Income Tax'!H53</f>
        <v>10287.770346700001</v>
      </c>
      <c r="I29" s="19"/>
      <c r="J29" s="23">
        <f t="shared" si="1"/>
        <v>9246.3593412999999</v>
      </c>
      <c r="K29" s="4"/>
    </row>
    <row r="30" spans="2:11">
      <c r="F30" s="64">
        <f>SUM(F24:F29)</f>
        <v>65095.438994600008</v>
      </c>
      <c r="G30" s="4"/>
      <c r="H30" s="64">
        <f>SUM(H24:H29)</f>
        <v>282640.58034669998</v>
      </c>
      <c r="I30" s="4"/>
      <c r="J30" s="64">
        <f>SUM(J24:J29)</f>
        <v>347736.01934130001</v>
      </c>
      <c r="K30" s="4"/>
    </row>
    <row r="31" spans="2:11">
      <c r="G31" s="4"/>
      <c r="H31" s="4"/>
      <c r="I31" s="4"/>
      <c r="J31" s="4"/>
      <c r="K31" s="4"/>
    </row>
    <row r="32" spans="2:11">
      <c r="B32" s="21" t="s">
        <v>245</v>
      </c>
      <c r="F32" s="65">
        <f>+F21+F30</f>
        <v>1115045.6579592</v>
      </c>
      <c r="G32" s="22"/>
      <c r="H32" s="65">
        <f>+H21+H30</f>
        <v>1724167.3196547001</v>
      </c>
      <c r="I32" s="22"/>
      <c r="J32" s="65">
        <f>+J21+J30</f>
        <v>2839212.9776138999</v>
      </c>
      <c r="K32" s="4"/>
    </row>
    <row r="33" spans="2:18">
      <c r="G33" s="4"/>
      <c r="H33" s="4"/>
      <c r="I33" s="4"/>
      <c r="J33" s="4"/>
      <c r="K33" s="4"/>
    </row>
    <row r="34" spans="2:18">
      <c r="G34" s="4"/>
      <c r="H34" s="4"/>
      <c r="I34" s="4"/>
      <c r="J34" s="4"/>
      <c r="K34" s="4"/>
    </row>
    <row r="35" spans="2:18">
      <c r="G35" s="4"/>
      <c r="H35" s="4"/>
      <c r="I35" s="4"/>
      <c r="J35" s="4"/>
      <c r="K35" s="4"/>
      <c r="L35" s="22" t="s">
        <v>316</v>
      </c>
      <c r="M35" t="s">
        <v>315</v>
      </c>
      <c r="Q35" s="71"/>
      <c r="R35" s="67"/>
    </row>
    <row r="36" spans="2:18">
      <c r="C36" s="105" t="s">
        <v>255</v>
      </c>
      <c r="G36" s="101"/>
      <c r="H36" s="101">
        <f>+'Member Accounts'!D72</f>
        <v>121051.82296715086</v>
      </c>
      <c r="I36" s="101"/>
      <c r="J36" s="4">
        <f t="shared" ref="J36:J42" si="2">SUM(F36:I36)</f>
        <v>121051.82296715086</v>
      </c>
      <c r="K36" s="4"/>
      <c r="L36" s="4">
        <v>121013.75</v>
      </c>
      <c r="M36" s="115">
        <f t="shared" ref="M36:M42" si="3">+J36-L36</f>
        <v>38.072967150859768</v>
      </c>
      <c r="Q36" s="71"/>
      <c r="R36" s="129"/>
    </row>
    <row r="37" spans="2:18">
      <c r="B37" s="21"/>
      <c r="C37" s="105" t="s">
        <v>265</v>
      </c>
      <c r="G37" s="102"/>
      <c r="H37" s="63">
        <f>+'Member Accounts'!F72</f>
        <v>1410254.1348090861</v>
      </c>
      <c r="I37" s="102"/>
      <c r="J37" s="4">
        <f t="shared" si="2"/>
        <v>1410254.1348090861</v>
      </c>
      <c r="K37" s="4"/>
      <c r="L37" s="4">
        <v>1406160.11</v>
      </c>
      <c r="M37" s="115">
        <f t="shared" si="3"/>
        <v>4094.0248090859968</v>
      </c>
      <c r="Q37" s="71"/>
      <c r="R37" s="129"/>
    </row>
    <row r="38" spans="2:18">
      <c r="C38" s="105" t="s">
        <v>256</v>
      </c>
      <c r="G38" s="101"/>
      <c r="H38" s="101">
        <f>+'Member Accounts'!G72</f>
        <v>138547.91257046291</v>
      </c>
      <c r="I38" s="101"/>
      <c r="J38" s="4">
        <f t="shared" si="2"/>
        <v>138547.91257046291</v>
      </c>
      <c r="K38" s="4"/>
      <c r="L38" s="4">
        <v>138142.76999999999</v>
      </c>
      <c r="M38" s="115">
        <f t="shared" si="3"/>
        <v>405.14257046292187</v>
      </c>
      <c r="Q38" s="71"/>
      <c r="R38" s="129"/>
    </row>
    <row r="39" spans="2:18" s="66" customFormat="1">
      <c r="C39" s="105" t="s">
        <v>257</v>
      </c>
      <c r="F39" s="101">
        <f>+'Member Accounts'!H72</f>
        <v>149657.54816576923</v>
      </c>
      <c r="G39" s="101"/>
      <c r="I39" s="101"/>
      <c r="J39" s="4">
        <f t="shared" si="2"/>
        <v>149657.54816576923</v>
      </c>
      <c r="K39" s="4"/>
      <c r="L39" s="4">
        <v>150072.25</v>
      </c>
      <c r="M39" s="115">
        <f t="shared" si="3"/>
        <v>-414.70183423077106</v>
      </c>
      <c r="Q39" s="71"/>
      <c r="R39" s="129"/>
    </row>
    <row r="40" spans="2:18" s="66" customFormat="1">
      <c r="C40" s="105" t="s">
        <v>258</v>
      </c>
      <c r="F40" s="101">
        <f>+'Member Accounts'!I72</f>
        <v>20690.592814832991</v>
      </c>
      <c r="G40" s="101"/>
      <c r="I40" s="101"/>
      <c r="J40" s="4">
        <f t="shared" si="2"/>
        <v>20690.592814832991</v>
      </c>
      <c r="K40" s="4"/>
      <c r="L40" s="4">
        <v>20725.04</v>
      </c>
      <c r="M40" s="115">
        <f t="shared" si="3"/>
        <v>-34.447185167009593</v>
      </c>
      <c r="Q40" s="71"/>
      <c r="R40" s="129"/>
    </row>
    <row r="41" spans="2:18" s="66" customFormat="1">
      <c r="C41" s="105" t="s">
        <v>261</v>
      </c>
      <c r="F41" s="101">
        <f>+'Member Accounts'!K72</f>
        <v>743099.09648681513</v>
      </c>
      <c r="G41" s="101"/>
      <c r="I41" s="101"/>
      <c r="J41" s="4">
        <f t="shared" si="2"/>
        <v>743099.09648681513</v>
      </c>
      <c r="K41" s="4"/>
      <c r="L41" s="4">
        <v>746029.12</v>
      </c>
      <c r="M41" s="115">
        <f t="shared" si="3"/>
        <v>-2930.0235131848603</v>
      </c>
      <c r="Q41" s="71"/>
      <c r="R41" s="129"/>
    </row>
    <row r="42" spans="2:18">
      <c r="C42" s="105" t="s">
        <v>267</v>
      </c>
      <c r="F42" s="103">
        <f>+'Member Accounts'!L72</f>
        <v>255911.87152718278</v>
      </c>
      <c r="G42" s="101"/>
      <c r="H42" s="104"/>
      <c r="I42" s="101"/>
      <c r="J42" s="23">
        <f t="shared" si="2"/>
        <v>255911.87152718278</v>
      </c>
      <c r="K42" s="4"/>
      <c r="L42" s="23">
        <v>257069.94</v>
      </c>
      <c r="M42" s="127">
        <f t="shared" si="3"/>
        <v>-1158.06847281722</v>
      </c>
      <c r="Q42" s="71"/>
      <c r="R42" s="129"/>
    </row>
    <row r="43" spans="2:18">
      <c r="F43" s="101">
        <f>SUM(F36:F42)</f>
        <v>1169359.1089946001</v>
      </c>
      <c r="G43" s="101"/>
      <c r="H43" s="101">
        <f>SUM(H36:H42)</f>
        <v>1669853.8703466998</v>
      </c>
      <c r="I43" s="101"/>
      <c r="J43" s="101">
        <f>SUM(J36:J42)</f>
        <v>2839212.9793413002</v>
      </c>
      <c r="K43" s="4"/>
      <c r="L43" s="115">
        <f>SUM(L36:L42)</f>
        <v>2839212.98</v>
      </c>
      <c r="M43" s="115">
        <f>SUM(M36:M42)</f>
        <v>-6.5870008256752044E-4</v>
      </c>
      <c r="Q43" s="71"/>
      <c r="R43" s="129"/>
    </row>
    <row r="44" spans="2:18">
      <c r="G44" s="4"/>
      <c r="H44" s="4"/>
      <c r="I44" s="4"/>
      <c r="J44" s="4"/>
      <c r="K44" s="4"/>
      <c r="Q44" s="71"/>
      <c r="R44" s="67"/>
    </row>
    <row r="45" spans="2:18">
      <c r="F45" s="4">
        <f>+F43-F32</f>
        <v>54313.451035400154</v>
      </c>
      <c r="G45" s="4"/>
      <c r="H45" s="4">
        <f>+H43-H32</f>
        <v>-54313.449308000272</v>
      </c>
      <c r="I45" s="4"/>
      <c r="J45" s="4">
        <f>+J43-J32</f>
        <v>1.7274003475904465E-3</v>
      </c>
      <c r="K45" s="4"/>
      <c r="Q45" s="71"/>
      <c r="R45" s="67"/>
    </row>
    <row r="46" spans="2:18">
      <c r="G46" s="4"/>
      <c r="H46" s="4"/>
      <c r="I46" s="4"/>
      <c r="J46" s="4"/>
      <c r="K46" s="4"/>
    </row>
    <row r="47" spans="2:18">
      <c r="G47" s="4"/>
      <c r="H47" s="4"/>
      <c r="I47" s="4"/>
      <c r="J47" s="4"/>
      <c r="K47" s="4"/>
    </row>
    <row r="48" spans="2:18">
      <c r="G48" s="4"/>
      <c r="H48" s="4"/>
      <c r="I48" s="4"/>
      <c r="J48" s="4"/>
      <c r="K48" s="4"/>
    </row>
    <row r="49" spans="7:11">
      <c r="G49" s="4"/>
      <c r="H49" s="4"/>
      <c r="I49" s="4"/>
      <c r="J49" s="4"/>
      <c r="K49" s="4"/>
    </row>
    <row r="50" spans="7:11">
      <c r="G50" s="4"/>
      <c r="H50" s="4"/>
      <c r="I50" s="4"/>
      <c r="J50" s="4"/>
      <c r="K50" s="4"/>
    </row>
    <row r="51" spans="7:11">
      <c r="G51" s="4"/>
      <c r="H51" s="4"/>
      <c r="I51" s="4"/>
      <c r="J51" s="4"/>
      <c r="K51" s="4"/>
    </row>
    <row r="52" spans="7:11">
      <c r="G52" s="4"/>
      <c r="H52" s="4"/>
      <c r="I52" s="4"/>
      <c r="J52" s="4"/>
      <c r="K52" s="4"/>
    </row>
    <row r="53" spans="7:11">
      <c r="G53" s="4"/>
      <c r="H53" s="4"/>
      <c r="I53" s="4"/>
      <c r="J53" s="4"/>
      <c r="K53" s="4"/>
    </row>
    <row r="54" spans="7:11">
      <c r="G54" s="4"/>
      <c r="H54" s="4"/>
      <c r="I54" s="4"/>
      <c r="J54" s="4"/>
      <c r="K54" s="4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BEE15-B80C-4681-85BC-0B7B6F330FC6}">
  <dimension ref="A2:S136"/>
  <sheetViews>
    <sheetView tabSelected="1" topLeftCell="A70" workbookViewId="0">
      <selection activeCell="A2" sqref="A2"/>
    </sheetView>
  </sheetViews>
  <sheetFormatPr defaultRowHeight="15"/>
  <cols>
    <col min="1" max="1" width="14" customWidth="1"/>
    <col min="4" max="4" width="28.140625" customWidth="1"/>
    <col min="5" max="5" width="10.140625" bestFit="1" customWidth="1"/>
    <col min="6" max="6" width="15.5703125" customWidth="1"/>
    <col min="7" max="7" width="15.28515625" customWidth="1"/>
    <col min="8" max="8" width="13.140625" hidden="1" customWidth="1"/>
    <col min="9" max="9" width="14.5703125" hidden="1" customWidth="1"/>
    <col min="10" max="10" width="13.140625" hidden="1" customWidth="1"/>
    <col min="11" max="11" width="12.85546875" hidden="1" customWidth="1"/>
    <col min="12" max="12" width="2.42578125" hidden="1" customWidth="1"/>
    <col min="14" max="14" width="9.140625" style="26"/>
    <col min="257" max="257" width="14" customWidth="1"/>
    <col min="260" max="260" width="28.140625" customWidth="1"/>
    <col min="261" max="261" width="10.140625" bestFit="1" customWidth="1"/>
    <col min="262" max="262" width="15.5703125" customWidth="1"/>
    <col min="263" max="263" width="15.28515625" customWidth="1"/>
    <col min="264" max="268" width="0" hidden="1" customWidth="1"/>
    <col min="513" max="513" width="14" customWidth="1"/>
    <col min="516" max="516" width="28.140625" customWidth="1"/>
    <col min="517" max="517" width="10.140625" bestFit="1" customWidth="1"/>
    <col min="518" max="518" width="15.5703125" customWidth="1"/>
    <col min="519" max="519" width="15.28515625" customWidth="1"/>
    <col min="520" max="524" width="0" hidden="1" customWidth="1"/>
    <col min="769" max="769" width="14" customWidth="1"/>
    <col min="772" max="772" width="28.140625" customWidth="1"/>
    <col min="773" max="773" width="10.140625" bestFit="1" customWidth="1"/>
    <col min="774" max="774" width="15.5703125" customWidth="1"/>
    <col min="775" max="775" width="15.28515625" customWidth="1"/>
    <col min="776" max="780" width="0" hidden="1" customWidth="1"/>
    <col min="1025" max="1025" width="14" customWidth="1"/>
    <col min="1028" max="1028" width="28.140625" customWidth="1"/>
    <col min="1029" max="1029" width="10.140625" bestFit="1" customWidth="1"/>
    <col min="1030" max="1030" width="15.5703125" customWidth="1"/>
    <col min="1031" max="1031" width="15.28515625" customWidth="1"/>
    <col min="1032" max="1036" width="0" hidden="1" customWidth="1"/>
    <col min="1281" max="1281" width="14" customWidth="1"/>
    <col min="1284" max="1284" width="28.140625" customWidth="1"/>
    <col min="1285" max="1285" width="10.140625" bestFit="1" customWidth="1"/>
    <col min="1286" max="1286" width="15.5703125" customWidth="1"/>
    <col min="1287" max="1287" width="15.28515625" customWidth="1"/>
    <col min="1288" max="1292" width="0" hidden="1" customWidth="1"/>
    <col min="1537" max="1537" width="14" customWidth="1"/>
    <col min="1540" max="1540" width="28.140625" customWidth="1"/>
    <col min="1541" max="1541" width="10.140625" bestFit="1" customWidth="1"/>
    <col min="1542" max="1542" width="15.5703125" customWidth="1"/>
    <col min="1543" max="1543" width="15.28515625" customWidth="1"/>
    <col min="1544" max="1548" width="0" hidden="1" customWidth="1"/>
    <col min="1793" max="1793" width="14" customWidth="1"/>
    <col min="1796" max="1796" width="28.140625" customWidth="1"/>
    <col min="1797" max="1797" width="10.140625" bestFit="1" customWidth="1"/>
    <col min="1798" max="1798" width="15.5703125" customWidth="1"/>
    <col min="1799" max="1799" width="15.28515625" customWidth="1"/>
    <col min="1800" max="1804" width="0" hidden="1" customWidth="1"/>
    <col min="2049" max="2049" width="14" customWidth="1"/>
    <col min="2052" max="2052" width="28.140625" customWidth="1"/>
    <col min="2053" max="2053" width="10.140625" bestFit="1" customWidth="1"/>
    <col min="2054" max="2054" width="15.5703125" customWidth="1"/>
    <col min="2055" max="2055" width="15.28515625" customWidth="1"/>
    <col min="2056" max="2060" width="0" hidden="1" customWidth="1"/>
    <col min="2305" max="2305" width="14" customWidth="1"/>
    <col min="2308" max="2308" width="28.140625" customWidth="1"/>
    <col min="2309" max="2309" width="10.140625" bestFit="1" customWidth="1"/>
    <col min="2310" max="2310" width="15.5703125" customWidth="1"/>
    <col min="2311" max="2311" width="15.28515625" customWidth="1"/>
    <col min="2312" max="2316" width="0" hidden="1" customWidth="1"/>
    <col min="2561" max="2561" width="14" customWidth="1"/>
    <col min="2564" max="2564" width="28.140625" customWidth="1"/>
    <col min="2565" max="2565" width="10.140625" bestFit="1" customWidth="1"/>
    <col min="2566" max="2566" width="15.5703125" customWidth="1"/>
    <col min="2567" max="2567" width="15.28515625" customWidth="1"/>
    <col min="2568" max="2572" width="0" hidden="1" customWidth="1"/>
    <col min="2817" max="2817" width="14" customWidth="1"/>
    <col min="2820" max="2820" width="28.140625" customWidth="1"/>
    <col min="2821" max="2821" width="10.140625" bestFit="1" customWidth="1"/>
    <col min="2822" max="2822" width="15.5703125" customWidth="1"/>
    <col min="2823" max="2823" width="15.28515625" customWidth="1"/>
    <col min="2824" max="2828" width="0" hidden="1" customWidth="1"/>
    <col min="3073" max="3073" width="14" customWidth="1"/>
    <col min="3076" max="3076" width="28.140625" customWidth="1"/>
    <col min="3077" max="3077" width="10.140625" bestFit="1" customWidth="1"/>
    <col min="3078" max="3078" width="15.5703125" customWidth="1"/>
    <col min="3079" max="3079" width="15.28515625" customWidth="1"/>
    <col min="3080" max="3084" width="0" hidden="1" customWidth="1"/>
    <col min="3329" max="3329" width="14" customWidth="1"/>
    <col min="3332" max="3332" width="28.140625" customWidth="1"/>
    <col min="3333" max="3333" width="10.140625" bestFit="1" customWidth="1"/>
    <col min="3334" max="3334" width="15.5703125" customWidth="1"/>
    <col min="3335" max="3335" width="15.28515625" customWidth="1"/>
    <col min="3336" max="3340" width="0" hidden="1" customWidth="1"/>
    <col min="3585" max="3585" width="14" customWidth="1"/>
    <col min="3588" max="3588" width="28.140625" customWidth="1"/>
    <col min="3589" max="3589" width="10.140625" bestFit="1" customWidth="1"/>
    <col min="3590" max="3590" width="15.5703125" customWidth="1"/>
    <col min="3591" max="3591" width="15.28515625" customWidth="1"/>
    <col min="3592" max="3596" width="0" hidden="1" customWidth="1"/>
    <col min="3841" max="3841" width="14" customWidth="1"/>
    <col min="3844" max="3844" width="28.140625" customWidth="1"/>
    <col min="3845" max="3845" width="10.140625" bestFit="1" customWidth="1"/>
    <col min="3846" max="3846" width="15.5703125" customWidth="1"/>
    <col min="3847" max="3847" width="15.28515625" customWidth="1"/>
    <col min="3848" max="3852" width="0" hidden="1" customWidth="1"/>
    <col min="4097" max="4097" width="14" customWidth="1"/>
    <col min="4100" max="4100" width="28.140625" customWidth="1"/>
    <col min="4101" max="4101" width="10.140625" bestFit="1" customWidth="1"/>
    <col min="4102" max="4102" width="15.5703125" customWidth="1"/>
    <col min="4103" max="4103" width="15.28515625" customWidth="1"/>
    <col min="4104" max="4108" width="0" hidden="1" customWidth="1"/>
    <col min="4353" max="4353" width="14" customWidth="1"/>
    <col min="4356" max="4356" width="28.140625" customWidth="1"/>
    <col min="4357" max="4357" width="10.140625" bestFit="1" customWidth="1"/>
    <col min="4358" max="4358" width="15.5703125" customWidth="1"/>
    <col min="4359" max="4359" width="15.28515625" customWidth="1"/>
    <col min="4360" max="4364" width="0" hidden="1" customWidth="1"/>
    <col min="4609" max="4609" width="14" customWidth="1"/>
    <col min="4612" max="4612" width="28.140625" customWidth="1"/>
    <col min="4613" max="4613" width="10.140625" bestFit="1" customWidth="1"/>
    <col min="4614" max="4614" width="15.5703125" customWidth="1"/>
    <col min="4615" max="4615" width="15.28515625" customWidth="1"/>
    <col min="4616" max="4620" width="0" hidden="1" customWidth="1"/>
    <col min="4865" max="4865" width="14" customWidth="1"/>
    <col min="4868" max="4868" width="28.140625" customWidth="1"/>
    <col min="4869" max="4869" width="10.140625" bestFit="1" customWidth="1"/>
    <col min="4870" max="4870" width="15.5703125" customWidth="1"/>
    <col min="4871" max="4871" width="15.28515625" customWidth="1"/>
    <col min="4872" max="4876" width="0" hidden="1" customWidth="1"/>
    <col min="5121" max="5121" width="14" customWidth="1"/>
    <col min="5124" max="5124" width="28.140625" customWidth="1"/>
    <col min="5125" max="5125" width="10.140625" bestFit="1" customWidth="1"/>
    <col min="5126" max="5126" width="15.5703125" customWidth="1"/>
    <col min="5127" max="5127" width="15.28515625" customWidth="1"/>
    <col min="5128" max="5132" width="0" hidden="1" customWidth="1"/>
    <col min="5377" max="5377" width="14" customWidth="1"/>
    <col min="5380" max="5380" width="28.140625" customWidth="1"/>
    <col min="5381" max="5381" width="10.140625" bestFit="1" customWidth="1"/>
    <col min="5382" max="5382" width="15.5703125" customWidth="1"/>
    <col min="5383" max="5383" width="15.28515625" customWidth="1"/>
    <col min="5384" max="5388" width="0" hidden="1" customWidth="1"/>
    <col min="5633" max="5633" width="14" customWidth="1"/>
    <col min="5636" max="5636" width="28.140625" customWidth="1"/>
    <col min="5637" max="5637" width="10.140625" bestFit="1" customWidth="1"/>
    <col min="5638" max="5638" width="15.5703125" customWidth="1"/>
    <col min="5639" max="5639" width="15.28515625" customWidth="1"/>
    <col min="5640" max="5644" width="0" hidden="1" customWidth="1"/>
    <col min="5889" max="5889" width="14" customWidth="1"/>
    <col min="5892" max="5892" width="28.140625" customWidth="1"/>
    <col min="5893" max="5893" width="10.140625" bestFit="1" customWidth="1"/>
    <col min="5894" max="5894" width="15.5703125" customWidth="1"/>
    <col min="5895" max="5895" width="15.28515625" customWidth="1"/>
    <col min="5896" max="5900" width="0" hidden="1" customWidth="1"/>
    <col min="6145" max="6145" width="14" customWidth="1"/>
    <col min="6148" max="6148" width="28.140625" customWidth="1"/>
    <col min="6149" max="6149" width="10.140625" bestFit="1" customWidth="1"/>
    <col min="6150" max="6150" width="15.5703125" customWidth="1"/>
    <col min="6151" max="6151" width="15.28515625" customWidth="1"/>
    <col min="6152" max="6156" width="0" hidden="1" customWidth="1"/>
    <col min="6401" max="6401" width="14" customWidth="1"/>
    <col min="6404" max="6404" width="28.140625" customWidth="1"/>
    <col min="6405" max="6405" width="10.140625" bestFit="1" customWidth="1"/>
    <col min="6406" max="6406" width="15.5703125" customWidth="1"/>
    <col min="6407" max="6407" width="15.28515625" customWidth="1"/>
    <col min="6408" max="6412" width="0" hidden="1" customWidth="1"/>
    <col min="6657" max="6657" width="14" customWidth="1"/>
    <col min="6660" max="6660" width="28.140625" customWidth="1"/>
    <col min="6661" max="6661" width="10.140625" bestFit="1" customWidth="1"/>
    <col min="6662" max="6662" width="15.5703125" customWidth="1"/>
    <col min="6663" max="6663" width="15.28515625" customWidth="1"/>
    <col min="6664" max="6668" width="0" hidden="1" customWidth="1"/>
    <col min="6913" max="6913" width="14" customWidth="1"/>
    <col min="6916" max="6916" width="28.140625" customWidth="1"/>
    <col min="6917" max="6917" width="10.140625" bestFit="1" customWidth="1"/>
    <col min="6918" max="6918" width="15.5703125" customWidth="1"/>
    <col min="6919" max="6919" width="15.28515625" customWidth="1"/>
    <col min="6920" max="6924" width="0" hidden="1" customWidth="1"/>
    <col min="7169" max="7169" width="14" customWidth="1"/>
    <col min="7172" max="7172" width="28.140625" customWidth="1"/>
    <col min="7173" max="7173" width="10.140625" bestFit="1" customWidth="1"/>
    <col min="7174" max="7174" width="15.5703125" customWidth="1"/>
    <col min="7175" max="7175" width="15.28515625" customWidth="1"/>
    <col min="7176" max="7180" width="0" hidden="1" customWidth="1"/>
    <col min="7425" max="7425" width="14" customWidth="1"/>
    <col min="7428" max="7428" width="28.140625" customWidth="1"/>
    <col min="7429" max="7429" width="10.140625" bestFit="1" customWidth="1"/>
    <col min="7430" max="7430" width="15.5703125" customWidth="1"/>
    <col min="7431" max="7431" width="15.28515625" customWidth="1"/>
    <col min="7432" max="7436" width="0" hidden="1" customWidth="1"/>
    <col min="7681" max="7681" width="14" customWidth="1"/>
    <col min="7684" max="7684" width="28.140625" customWidth="1"/>
    <col min="7685" max="7685" width="10.140625" bestFit="1" customWidth="1"/>
    <col min="7686" max="7686" width="15.5703125" customWidth="1"/>
    <col min="7687" max="7687" width="15.28515625" customWidth="1"/>
    <col min="7688" max="7692" width="0" hidden="1" customWidth="1"/>
    <col min="7937" max="7937" width="14" customWidth="1"/>
    <col min="7940" max="7940" width="28.140625" customWidth="1"/>
    <col min="7941" max="7941" width="10.140625" bestFit="1" customWidth="1"/>
    <col min="7942" max="7942" width="15.5703125" customWidth="1"/>
    <col min="7943" max="7943" width="15.28515625" customWidth="1"/>
    <col min="7944" max="7948" width="0" hidden="1" customWidth="1"/>
    <col min="8193" max="8193" width="14" customWidth="1"/>
    <col min="8196" max="8196" width="28.140625" customWidth="1"/>
    <col min="8197" max="8197" width="10.140625" bestFit="1" customWidth="1"/>
    <col min="8198" max="8198" width="15.5703125" customWidth="1"/>
    <col min="8199" max="8199" width="15.28515625" customWidth="1"/>
    <col min="8200" max="8204" width="0" hidden="1" customWidth="1"/>
    <col min="8449" max="8449" width="14" customWidth="1"/>
    <col min="8452" max="8452" width="28.140625" customWidth="1"/>
    <col min="8453" max="8453" width="10.140625" bestFit="1" customWidth="1"/>
    <col min="8454" max="8454" width="15.5703125" customWidth="1"/>
    <col min="8455" max="8455" width="15.28515625" customWidth="1"/>
    <col min="8456" max="8460" width="0" hidden="1" customWidth="1"/>
    <col min="8705" max="8705" width="14" customWidth="1"/>
    <col min="8708" max="8708" width="28.140625" customWidth="1"/>
    <col min="8709" max="8709" width="10.140625" bestFit="1" customWidth="1"/>
    <col min="8710" max="8710" width="15.5703125" customWidth="1"/>
    <col min="8711" max="8711" width="15.28515625" customWidth="1"/>
    <col min="8712" max="8716" width="0" hidden="1" customWidth="1"/>
    <col min="8961" max="8961" width="14" customWidth="1"/>
    <col min="8964" max="8964" width="28.140625" customWidth="1"/>
    <col min="8965" max="8965" width="10.140625" bestFit="1" customWidth="1"/>
    <col min="8966" max="8966" width="15.5703125" customWidth="1"/>
    <col min="8967" max="8967" width="15.28515625" customWidth="1"/>
    <col min="8968" max="8972" width="0" hidden="1" customWidth="1"/>
    <col min="9217" max="9217" width="14" customWidth="1"/>
    <col min="9220" max="9220" width="28.140625" customWidth="1"/>
    <col min="9221" max="9221" width="10.140625" bestFit="1" customWidth="1"/>
    <col min="9222" max="9222" width="15.5703125" customWidth="1"/>
    <col min="9223" max="9223" width="15.28515625" customWidth="1"/>
    <col min="9224" max="9228" width="0" hidden="1" customWidth="1"/>
    <col min="9473" max="9473" width="14" customWidth="1"/>
    <col min="9476" max="9476" width="28.140625" customWidth="1"/>
    <col min="9477" max="9477" width="10.140625" bestFit="1" customWidth="1"/>
    <col min="9478" max="9478" width="15.5703125" customWidth="1"/>
    <col min="9479" max="9479" width="15.28515625" customWidth="1"/>
    <col min="9480" max="9484" width="0" hidden="1" customWidth="1"/>
    <col min="9729" max="9729" width="14" customWidth="1"/>
    <col min="9732" max="9732" width="28.140625" customWidth="1"/>
    <col min="9733" max="9733" width="10.140625" bestFit="1" customWidth="1"/>
    <col min="9734" max="9734" width="15.5703125" customWidth="1"/>
    <col min="9735" max="9735" width="15.28515625" customWidth="1"/>
    <col min="9736" max="9740" width="0" hidden="1" customWidth="1"/>
    <col min="9985" max="9985" width="14" customWidth="1"/>
    <col min="9988" max="9988" width="28.140625" customWidth="1"/>
    <col min="9989" max="9989" width="10.140625" bestFit="1" customWidth="1"/>
    <col min="9990" max="9990" width="15.5703125" customWidth="1"/>
    <col min="9991" max="9991" width="15.28515625" customWidth="1"/>
    <col min="9992" max="9996" width="0" hidden="1" customWidth="1"/>
    <col min="10241" max="10241" width="14" customWidth="1"/>
    <col min="10244" max="10244" width="28.140625" customWidth="1"/>
    <col min="10245" max="10245" width="10.140625" bestFit="1" customWidth="1"/>
    <col min="10246" max="10246" width="15.5703125" customWidth="1"/>
    <col min="10247" max="10247" width="15.28515625" customWidth="1"/>
    <col min="10248" max="10252" width="0" hidden="1" customWidth="1"/>
    <col min="10497" max="10497" width="14" customWidth="1"/>
    <col min="10500" max="10500" width="28.140625" customWidth="1"/>
    <col min="10501" max="10501" width="10.140625" bestFit="1" customWidth="1"/>
    <col min="10502" max="10502" width="15.5703125" customWidth="1"/>
    <col min="10503" max="10503" width="15.28515625" customWidth="1"/>
    <col min="10504" max="10508" width="0" hidden="1" customWidth="1"/>
    <col min="10753" max="10753" width="14" customWidth="1"/>
    <col min="10756" max="10756" width="28.140625" customWidth="1"/>
    <col min="10757" max="10757" width="10.140625" bestFit="1" customWidth="1"/>
    <col min="10758" max="10758" width="15.5703125" customWidth="1"/>
    <col min="10759" max="10759" width="15.28515625" customWidth="1"/>
    <col min="10760" max="10764" width="0" hidden="1" customWidth="1"/>
    <col min="11009" max="11009" width="14" customWidth="1"/>
    <col min="11012" max="11012" width="28.140625" customWidth="1"/>
    <col min="11013" max="11013" width="10.140625" bestFit="1" customWidth="1"/>
    <col min="11014" max="11014" width="15.5703125" customWidth="1"/>
    <col min="11015" max="11015" width="15.28515625" customWidth="1"/>
    <col min="11016" max="11020" width="0" hidden="1" customWidth="1"/>
    <col min="11265" max="11265" width="14" customWidth="1"/>
    <col min="11268" max="11268" width="28.140625" customWidth="1"/>
    <col min="11269" max="11269" width="10.140625" bestFit="1" customWidth="1"/>
    <col min="11270" max="11270" width="15.5703125" customWidth="1"/>
    <col min="11271" max="11271" width="15.28515625" customWidth="1"/>
    <col min="11272" max="11276" width="0" hidden="1" customWidth="1"/>
    <col min="11521" max="11521" width="14" customWidth="1"/>
    <col min="11524" max="11524" width="28.140625" customWidth="1"/>
    <col min="11525" max="11525" width="10.140625" bestFit="1" customWidth="1"/>
    <col min="11526" max="11526" width="15.5703125" customWidth="1"/>
    <col min="11527" max="11527" width="15.28515625" customWidth="1"/>
    <col min="11528" max="11532" width="0" hidden="1" customWidth="1"/>
    <col min="11777" max="11777" width="14" customWidth="1"/>
    <col min="11780" max="11780" width="28.140625" customWidth="1"/>
    <col min="11781" max="11781" width="10.140625" bestFit="1" customWidth="1"/>
    <col min="11782" max="11782" width="15.5703125" customWidth="1"/>
    <col min="11783" max="11783" width="15.28515625" customWidth="1"/>
    <col min="11784" max="11788" width="0" hidden="1" customWidth="1"/>
    <col min="12033" max="12033" width="14" customWidth="1"/>
    <col min="12036" max="12036" width="28.140625" customWidth="1"/>
    <col min="12037" max="12037" width="10.140625" bestFit="1" customWidth="1"/>
    <col min="12038" max="12038" width="15.5703125" customWidth="1"/>
    <col min="12039" max="12039" width="15.28515625" customWidth="1"/>
    <col min="12040" max="12044" width="0" hidden="1" customWidth="1"/>
    <col min="12289" max="12289" width="14" customWidth="1"/>
    <col min="12292" max="12292" width="28.140625" customWidth="1"/>
    <col min="12293" max="12293" width="10.140625" bestFit="1" customWidth="1"/>
    <col min="12294" max="12294" width="15.5703125" customWidth="1"/>
    <col min="12295" max="12295" width="15.28515625" customWidth="1"/>
    <col min="12296" max="12300" width="0" hidden="1" customWidth="1"/>
    <col min="12545" max="12545" width="14" customWidth="1"/>
    <col min="12548" max="12548" width="28.140625" customWidth="1"/>
    <col min="12549" max="12549" width="10.140625" bestFit="1" customWidth="1"/>
    <col min="12550" max="12550" width="15.5703125" customWidth="1"/>
    <col min="12551" max="12551" width="15.28515625" customWidth="1"/>
    <col min="12552" max="12556" width="0" hidden="1" customWidth="1"/>
    <col min="12801" max="12801" width="14" customWidth="1"/>
    <col min="12804" max="12804" width="28.140625" customWidth="1"/>
    <col min="12805" max="12805" width="10.140625" bestFit="1" customWidth="1"/>
    <col min="12806" max="12806" width="15.5703125" customWidth="1"/>
    <col min="12807" max="12807" width="15.28515625" customWidth="1"/>
    <col min="12808" max="12812" width="0" hidden="1" customWidth="1"/>
    <col min="13057" max="13057" width="14" customWidth="1"/>
    <col min="13060" max="13060" width="28.140625" customWidth="1"/>
    <col min="13061" max="13061" width="10.140625" bestFit="1" customWidth="1"/>
    <col min="13062" max="13062" width="15.5703125" customWidth="1"/>
    <col min="13063" max="13063" width="15.28515625" customWidth="1"/>
    <col min="13064" max="13068" width="0" hidden="1" customWidth="1"/>
    <col min="13313" max="13313" width="14" customWidth="1"/>
    <col min="13316" max="13316" width="28.140625" customWidth="1"/>
    <col min="13317" max="13317" width="10.140625" bestFit="1" customWidth="1"/>
    <col min="13318" max="13318" width="15.5703125" customWidth="1"/>
    <col min="13319" max="13319" width="15.28515625" customWidth="1"/>
    <col min="13320" max="13324" width="0" hidden="1" customWidth="1"/>
    <col min="13569" max="13569" width="14" customWidth="1"/>
    <col min="13572" max="13572" width="28.140625" customWidth="1"/>
    <col min="13573" max="13573" width="10.140625" bestFit="1" customWidth="1"/>
    <col min="13574" max="13574" width="15.5703125" customWidth="1"/>
    <col min="13575" max="13575" width="15.28515625" customWidth="1"/>
    <col min="13576" max="13580" width="0" hidden="1" customWidth="1"/>
    <col min="13825" max="13825" width="14" customWidth="1"/>
    <col min="13828" max="13828" width="28.140625" customWidth="1"/>
    <col min="13829" max="13829" width="10.140625" bestFit="1" customWidth="1"/>
    <col min="13830" max="13830" width="15.5703125" customWidth="1"/>
    <col min="13831" max="13831" width="15.28515625" customWidth="1"/>
    <col min="13832" max="13836" width="0" hidden="1" customWidth="1"/>
    <col min="14081" max="14081" width="14" customWidth="1"/>
    <col min="14084" max="14084" width="28.140625" customWidth="1"/>
    <col min="14085" max="14085" width="10.140625" bestFit="1" customWidth="1"/>
    <col min="14086" max="14086" width="15.5703125" customWidth="1"/>
    <col min="14087" max="14087" width="15.28515625" customWidth="1"/>
    <col min="14088" max="14092" width="0" hidden="1" customWidth="1"/>
    <col min="14337" max="14337" width="14" customWidth="1"/>
    <col min="14340" max="14340" width="28.140625" customWidth="1"/>
    <col min="14341" max="14341" width="10.140625" bestFit="1" customWidth="1"/>
    <col min="14342" max="14342" width="15.5703125" customWidth="1"/>
    <col min="14343" max="14343" width="15.28515625" customWidth="1"/>
    <col min="14344" max="14348" width="0" hidden="1" customWidth="1"/>
    <col min="14593" max="14593" width="14" customWidth="1"/>
    <col min="14596" max="14596" width="28.140625" customWidth="1"/>
    <col min="14597" max="14597" width="10.140625" bestFit="1" customWidth="1"/>
    <col min="14598" max="14598" width="15.5703125" customWidth="1"/>
    <col min="14599" max="14599" width="15.28515625" customWidth="1"/>
    <col min="14600" max="14604" width="0" hidden="1" customWidth="1"/>
    <col min="14849" max="14849" width="14" customWidth="1"/>
    <col min="14852" max="14852" width="28.140625" customWidth="1"/>
    <col min="14853" max="14853" width="10.140625" bestFit="1" customWidth="1"/>
    <col min="14854" max="14854" width="15.5703125" customWidth="1"/>
    <col min="14855" max="14855" width="15.28515625" customWidth="1"/>
    <col min="14856" max="14860" width="0" hidden="1" customWidth="1"/>
    <col min="15105" max="15105" width="14" customWidth="1"/>
    <col min="15108" max="15108" width="28.140625" customWidth="1"/>
    <col min="15109" max="15109" width="10.140625" bestFit="1" customWidth="1"/>
    <col min="15110" max="15110" width="15.5703125" customWidth="1"/>
    <col min="15111" max="15111" width="15.28515625" customWidth="1"/>
    <col min="15112" max="15116" width="0" hidden="1" customWidth="1"/>
    <col min="15361" max="15361" width="14" customWidth="1"/>
    <col min="15364" max="15364" width="28.140625" customWidth="1"/>
    <col min="15365" max="15365" width="10.140625" bestFit="1" customWidth="1"/>
    <col min="15366" max="15366" width="15.5703125" customWidth="1"/>
    <col min="15367" max="15367" width="15.28515625" customWidth="1"/>
    <col min="15368" max="15372" width="0" hidden="1" customWidth="1"/>
    <col min="15617" max="15617" width="14" customWidth="1"/>
    <col min="15620" max="15620" width="28.140625" customWidth="1"/>
    <col min="15621" max="15621" width="10.140625" bestFit="1" customWidth="1"/>
    <col min="15622" max="15622" width="15.5703125" customWidth="1"/>
    <col min="15623" max="15623" width="15.28515625" customWidth="1"/>
    <col min="15624" max="15628" width="0" hidden="1" customWidth="1"/>
    <col min="15873" max="15873" width="14" customWidth="1"/>
    <col min="15876" max="15876" width="28.140625" customWidth="1"/>
    <col min="15877" max="15877" width="10.140625" bestFit="1" customWidth="1"/>
    <col min="15878" max="15878" width="15.5703125" customWidth="1"/>
    <col min="15879" max="15879" width="15.28515625" customWidth="1"/>
    <col min="15880" max="15884" width="0" hidden="1" customWidth="1"/>
    <col min="16129" max="16129" width="14" customWidth="1"/>
    <col min="16132" max="16132" width="28.140625" customWidth="1"/>
    <col min="16133" max="16133" width="10.140625" bestFit="1" customWidth="1"/>
    <col min="16134" max="16134" width="15.5703125" customWidth="1"/>
    <col min="16135" max="16135" width="15.28515625" customWidth="1"/>
    <col min="16136" max="16140" width="0" hidden="1" customWidth="1"/>
  </cols>
  <sheetData>
    <row r="2" spans="1:12">
      <c r="A2" t="s">
        <v>54</v>
      </c>
    </row>
    <row r="3" spans="1:12" ht="21">
      <c r="A3" s="27" t="s">
        <v>55</v>
      </c>
    </row>
    <row r="4" spans="1:12" ht="15.75" thickBot="1">
      <c r="A4" s="28" t="s">
        <v>56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44.25" customHeight="1" thickBot="1">
      <c r="A5" s="141" t="s">
        <v>57</v>
      </c>
      <c r="B5" s="142"/>
      <c r="C5" s="142"/>
      <c r="D5" s="142"/>
      <c r="E5" s="29" t="s">
        <v>58</v>
      </c>
      <c r="F5" s="30" t="s">
        <v>59</v>
      </c>
      <c r="G5" s="30" t="s">
        <v>60</v>
      </c>
      <c r="H5" s="30" t="s">
        <v>61</v>
      </c>
      <c r="I5" s="30" t="s">
        <v>62</v>
      </c>
      <c r="J5" s="30" t="s">
        <v>63</v>
      </c>
      <c r="K5" s="30" t="s">
        <v>64</v>
      </c>
      <c r="L5" s="30" t="s">
        <v>65</v>
      </c>
    </row>
    <row r="6" spans="1:12" ht="14.1" customHeight="1">
      <c r="A6" s="139" t="s">
        <v>66</v>
      </c>
      <c r="B6" s="140"/>
      <c r="C6" s="140"/>
      <c r="D6" s="140"/>
    </row>
    <row r="7" spans="1:12" ht="21" customHeight="1">
      <c r="A7" s="32"/>
      <c r="B7" s="137" t="s">
        <v>67</v>
      </c>
      <c r="C7" s="137"/>
      <c r="D7" s="137"/>
      <c r="E7" s="33"/>
      <c r="F7" s="34">
        <v>27498.639999999999</v>
      </c>
      <c r="G7" s="33">
        <v>27498.639999999999</v>
      </c>
      <c r="H7" s="35">
        <v>27498.639999999999</v>
      </c>
      <c r="I7" s="35">
        <v>27498.639999999999</v>
      </c>
      <c r="J7" s="35"/>
      <c r="K7" s="35">
        <v>0</v>
      </c>
      <c r="L7" s="35">
        <v>0.94</v>
      </c>
    </row>
    <row r="8" spans="1:12" ht="21" customHeight="1">
      <c r="A8" s="36"/>
      <c r="B8" s="136" t="s">
        <v>68</v>
      </c>
      <c r="C8" s="136"/>
      <c r="D8" s="136"/>
      <c r="E8" s="37"/>
      <c r="F8" s="38">
        <v>265350.07</v>
      </c>
      <c r="G8" s="37">
        <v>265350.07</v>
      </c>
      <c r="H8" s="35">
        <v>265350.07</v>
      </c>
      <c r="I8" s="35">
        <v>265350.07</v>
      </c>
      <c r="J8" s="35"/>
      <c r="K8" s="35">
        <v>0</v>
      </c>
      <c r="L8" s="35">
        <v>9.11</v>
      </c>
    </row>
    <row r="9" spans="1:12" ht="21" customHeight="1" thickBot="1">
      <c r="A9" s="39"/>
      <c r="B9" s="135" t="s">
        <v>69</v>
      </c>
      <c r="C9" s="135"/>
      <c r="D9" s="135"/>
      <c r="E9" s="40"/>
      <c r="F9" s="41">
        <v>29303.84</v>
      </c>
      <c r="G9" s="40">
        <v>29303.84</v>
      </c>
      <c r="H9" s="35">
        <v>29303.84</v>
      </c>
      <c r="I9" s="35">
        <v>29303.84</v>
      </c>
      <c r="J9" s="35"/>
      <c r="K9" s="35">
        <v>0</v>
      </c>
      <c r="L9" s="35">
        <v>1.01</v>
      </c>
    </row>
    <row r="10" spans="1:12" ht="14.1" customHeight="1">
      <c r="G10" s="42">
        <f>SUM(G7:G9)</f>
        <v>322152.55000000005</v>
      </c>
      <c r="H10" s="42"/>
      <c r="I10" s="42">
        <f>SUM(I7:I9)</f>
        <v>322152.55000000005</v>
      </c>
      <c r="J10" s="42">
        <f>SUM(J7:J9)</f>
        <v>0</v>
      </c>
      <c r="K10" s="42">
        <f>(SUM(J7:J9)/SUM(I7:I9))*100</f>
        <v>0</v>
      </c>
      <c r="L10" s="42">
        <f>SUM(L7:L9)</f>
        <v>11.059999999999999</v>
      </c>
    </row>
    <row r="11" spans="1:12" ht="14.1" customHeight="1">
      <c r="A11" s="139" t="s">
        <v>70</v>
      </c>
      <c r="B11" s="140"/>
      <c r="C11" s="140"/>
      <c r="D11" s="140"/>
    </row>
    <row r="12" spans="1:12" ht="21" customHeight="1">
      <c r="A12" s="43" t="s">
        <v>71</v>
      </c>
      <c r="B12" s="138" t="s">
        <v>72</v>
      </c>
      <c r="C12" s="138"/>
      <c r="D12" s="138"/>
      <c r="E12" s="44">
        <v>500</v>
      </c>
      <c r="F12" s="45">
        <v>101</v>
      </c>
      <c r="G12" s="44">
        <v>50500</v>
      </c>
      <c r="H12" s="35">
        <v>94.89</v>
      </c>
      <c r="I12" s="35">
        <v>47444.5</v>
      </c>
      <c r="J12" s="35">
        <v>3055.5</v>
      </c>
      <c r="K12" s="35">
        <v>6.4401000000000002</v>
      </c>
      <c r="L12" s="35">
        <v>1.73</v>
      </c>
    </row>
    <row r="13" spans="1:12" ht="21" customHeight="1" thickBot="1">
      <c r="A13" s="32" t="s">
        <v>73</v>
      </c>
      <c r="B13" s="137" t="s">
        <v>74</v>
      </c>
      <c r="C13" s="137"/>
      <c r="D13" s="137"/>
      <c r="E13" s="33">
        <v>250</v>
      </c>
      <c r="F13" s="34">
        <v>96.2</v>
      </c>
      <c r="G13" s="33">
        <v>24050</v>
      </c>
      <c r="H13" s="35">
        <v>97.7</v>
      </c>
      <c r="I13" s="35">
        <v>24425.46</v>
      </c>
      <c r="J13" s="35">
        <v>-375.46</v>
      </c>
      <c r="K13" s="35">
        <v>-1.5371999999999999</v>
      </c>
      <c r="L13" s="35">
        <v>0.83</v>
      </c>
    </row>
    <row r="14" spans="1:12" ht="14.1" customHeight="1">
      <c r="G14" s="42">
        <f>SUM(G12:G13)</f>
        <v>74550</v>
      </c>
      <c r="H14" s="42"/>
      <c r="I14" s="42">
        <f>SUM(I12:I13)</f>
        <v>71869.959999999992</v>
      </c>
      <c r="J14" s="42">
        <f>SUM(J12:J13)</f>
        <v>2680.04</v>
      </c>
      <c r="K14" s="42">
        <f>(SUM(J12:J13)/SUM(I12:I13))*100</f>
        <v>3.7290127892098459</v>
      </c>
      <c r="L14" s="42">
        <f>SUM(L12:L13)</f>
        <v>2.56</v>
      </c>
    </row>
    <row r="15" spans="1:12" ht="14.1" customHeight="1">
      <c r="A15" s="139" t="s">
        <v>75</v>
      </c>
      <c r="B15" s="140"/>
      <c r="C15" s="140"/>
      <c r="D15" s="140"/>
      <c r="G15" s="46"/>
      <c r="H15" s="46"/>
      <c r="I15" s="46"/>
      <c r="J15" s="46"/>
      <c r="K15" s="46"/>
      <c r="L15" s="46"/>
    </row>
    <row r="16" spans="1:12" ht="21" customHeight="1" thickBot="1">
      <c r="A16" s="39"/>
      <c r="B16" s="135" t="s">
        <v>76</v>
      </c>
      <c r="C16" s="135"/>
      <c r="D16" s="135"/>
      <c r="E16" s="40"/>
      <c r="F16" s="41"/>
      <c r="G16" s="40">
        <v>40000</v>
      </c>
      <c r="H16" s="35">
        <v>94.89</v>
      </c>
      <c r="I16" s="35">
        <v>47444.5</v>
      </c>
      <c r="J16" s="35">
        <v>3055.5</v>
      </c>
      <c r="K16" s="35">
        <v>6.4401000000000002</v>
      </c>
      <c r="L16" s="35">
        <v>1.73</v>
      </c>
    </row>
    <row r="17" spans="1:19" ht="14.1" customHeight="1">
      <c r="G17" s="42">
        <f>+G16</f>
        <v>40000</v>
      </c>
      <c r="H17" s="42"/>
      <c r="I17" s="42">
        <f>SUM(I10:I16)</f>
        <v>513336.97000000009</v>
      </c>
      <c r="J17" s="42">
        <f>SUM(J10:J16)</f>
        <v>8415.58</v>
      </c>
      <c r="K17" s="42">
        <f>(SUM(J10:J16)/SUM(I10:I16))*100</f>
        <v>1.6393870871992715</v>
      </c>
      <c r="L17" s="42">
        <f>SUM(L10:L16)</f>
        <v>17.91</v>
      </c>
    </row>
    <row r="18" spans="1:19" ht="14.1" customHeight="1">
      <c r="G18" s="46"/>
      <c r="H18" s="46"/>
      <c r="I18" s="46"/>
      <c r="J18" s="46"/>
      <c r="K18" s="46"/>
      <c r="L18" s="46"/>
    </row>
    <row r="19" spans="1:19" ht="14.1" customHeight="1">
      <c r="A19" s="139" t="s">
        <v>77</v>
      </c>
      <c r="B19" s="140"/>
      <c r="C19" s="140"/>
      <c r="D19" s="140"/>
    </row>
    <row r="20" spans="1:19" ht="21" customHeight="1">
      <c r="A20" s="43" t="s">
        <v>78</v>
      </c>
      <c r="B20" s="138" t="s">
        <v>79</v>
      </c>
      <c r="C20" s="138"/>
      <c r="D20" s="138"/>
      <c r="E20" s="44">
        <v>17124.460599999999</v>
      </c>
      <c r="F20" s="45">
        <v>1.5476000000000001</v>
      </c>
      <c r="G20" s="44">
        <v>26501.82</v>
      </c>
      <c r="H20" s="35">
        <v>1.46</v>
      </c>
      <c r="I20" s="35">
        <v>25000</v>
      </c>
      <c r="J20" s="35">
        <v>1501.82</v>
      </c>
      <c r="K20" s="35">
        <v>6.0072000000000001</v>
      </c>
      <c r="L20" s="35">
        <v>0.91</v>
      </c>
      <c r="N20" s="26" t="s">
        <v>80</v>
      </c>
      <c r="S20">
        <f>27662.11-26501.82</f>
        <v>1160.2900000000009</v>
      </c>
    </row>
    <row r="21" spans="1:19" ht="21" customHeight="1">
      <c r="A21" s="32" t="s">
        <v>81</v>
      </c>
      <c r="B21" s="137" t="s">
        <v>82</v>
      </c>
      <c r="C21" s="137"/>
      <c r="D21" s="137"/>
      <c r="E21" s="33">
        <v>2556.85</v>
      </c>
      <c r="F21" s="34">
        <v>21.087</v>
      </c>
      <c r="G21" s="33">
        <v>53916.3</v>
      </c>
      <c r="H21" s="35">
        <v>19.559999999999999</v>
      </c>
      <c r="I21" s="35">
        <v>50000</v>
      </c>
      <c r="J21" s="35">
        <v>3916.3</v>
      </c>
      <c r="K21" s="35">
        <v>7.8326000000000002</v>
      </c>
      <c r="L21" s="35">
        <v>1.85</v>
      </c>
      <c r="N21" s="26" t="s">
        <v>83</v>
      </c>
      <c r="S21">
        <f>54091.44-53916.3</f>
        <v>175.13999999999942</v>
      </c>
    </row>
    <row r="22" spans="1:19" ht="21" customHeight="1">
      <c r="A22" s="32" t="s">
        <v>84</v>
      </c>
      <c r="B22" s="137" t="s">
        <v>85</v>
      </c>
      <c r="C22" s="137"/>
      <c r="D22" s="137"/>
      <c r="E22" s="33">
        <v>29157.920699999999</v>
      </c>
      <c r="F22" s="34">
        <v>2.4466000000000001</v>
      </c>
      <c r="G22" s="33">
        <v>71337.77</v>
      </c>
      <c r="H22" s="35">
        <v>1.71</v>
      </c>
      <c r="I22" s="35">
        <v>49813.88</v>
      </c>
      <c r="J22" s="35">
        <v>21523.89</v>
      </c>
      <c r="K22" s="35">
        <v>43.208599999999997</v>
      </c>
      <c r="L22" s="35">
        <v>2.4500000000000002</v>
      </c>
      <c r="N22" s="26" t="s">
        <v>86</v>
      </c>
      <c r="S22">
        <f>71466.06-71337.77</f>
        <v>128.2899999999936</v>
      </c>
    </row>
    <row r="23" spans="1:19" ht="21" customHeight="1">
      <c r="A23" s="32" t="s">
        <v>87</v>
      </c>
      <c r="B23" s="137" t="s">
        <v>88</v>
      </c>
      <c r="C23" s="137"/>
      <c r="D23" s="137"/>
      <c r="E23" s="33">
        <v>11092.623900000001</v>
      </c>
      <c r="F23" s="34">
        <v>1.6012999999999999</v>
      </c>
      <c r="G23" s="33">
        <v>17762.62</v>
      </c>
      <c r="H23" s="35">
        <v>1.79</v>
      </c>
      <c r="I23" s="35">
        <v>19813.88</v>
      </c>
      <c r="J23" s="35">
        <v>-2051.2600000000002</v>
      </c>
      <c r="K23" s="35">
        <v>-10.3527</v>
      </c>
      <c r="L23" s="35">
        <v>0.61</v>
      </c>
      <c r="N23" s="26" t="s">
        <v>89</v>
      </c>
      <c r="S23">
        <f>18350.53-17762.62</f>
        <v>587.90999999999985</v>
      </c>
    </row>
    <row r="24" spans="1:19" ht="21" customHeight="1">
      <c r="A24" s="32" t="s">
        <v>90</v>
      </c>
      <c r="B24" s="137" t="s">
        <v>91</v>
      </c>
      <c r="C24" s="137"/>
      <c r="D24" s="137"/>
      <c r="E24" s="33">
        <v>24857.748500000002</v>
      </c>
      <c r="F24" s="34">
        <v>2.6236000000000002</v>
      </c>
      <c r="G24" s="33">
        <f>+E24*F24</f>
        <v>65216.788964600011</v>
      </c>
      <c r="H24" s="35">
        <v>1.61</v>
      </c>
      <c r="I24" s="35">
        <v>50000</v>
      </c>
      <c r="J24" s="35">
        <v>28280.32</v>
      </c>
      <c r="K24" s="35">
        <v>56.560600000000001</v>
      </c>
      <c r="L24" s="35">
        <v>2.69</v>
      </c>
    </row>
    <row r="25" spans="1:19" ht="21" customHeight="1" thickBot="1">
      <c r="A25" s="32" t="s">
        <v>92</v>
      </c>
      <c r="B25" s="137" t="s">
        <v>93</v>
      </c>
      <c r="C25" s="137"/>
      <c r="D25" s="137"/>
      <c r="E25" s="33">
        <v>65793.708400000003</v>
      </c>
      <c r="F25" s="34">
        <v>1.0539000000000001</v>
      </c>
      <c r="G25" s="33">
        <v>69339.990000000005</v>
      </c>
      <c r="H25" s="35">
        <v>1.1399999999999999</v>
      </c>
      <c r="I25" s="35">
        <v>75000</v>
      </c>
      <c r="J25" s="35">
        <v>-5660.01</v>
      </c>
      <c r="K25" s="35">
        <v>-7.5467000000000004</v>
      </c>
      <c r="L25" s="35">
        <v>2.38</v>
      </c>
      <c r="N25" s="26" t="s">
        <v>94</v>
      </c>
      <c r="S25">
        <f>73767.91-69339.99</f>
        <v>4427.9199999999983</v>
      </c>
    </row>
    <row r="26" spans="1:19" ht="14.1" customHeight="1">
      <c r="G26" s="42">
        <f>SUM(G20:G25)</f>
        <v>304075.28896460001</v>
      </c>
      <c r="H26" s="42"/>
      <c r="I26" s="42">
        <f>SUM(I20:I25)</f>
        <v>269627.76</v>
      </c>
      <c r="J26" s="42">
        <f>SUM(J20:J25)</f>
        <v>47511.06</v>
      </c>
      <c r="K26" s="42">
        <f>(SUM(J20:J25)/SUM(I20:I25))*100</f>
        <v>17.6209823498886</v>
      </c>
      <c r="L26" s="42">
        <f>SUM(L20:L25)</f>
        <v>10.89</v>
      </c>
    </row>
    <row r="27" spans="1:19" ht="14.1" customHeight="1">
      <c r="A27" s="139" t="s">
        <v>95</v>
      </c>
      <c r="B27" s="140"/>
      <c r="C27" s="140"/>
      <c r="D27" s="140"/>
    </row>
    <row r="28" spans="1:19" ht="21" customHeight="1">
      <c r="A28" s="43" t="s">
        <v>96</v>
      </c>
      <c r="B28" s="138" t="s">
        <v>97</v>
      </c>
      <c r="C28" s="138"/>
      <c r="D28" s="138"/>
      <c r="E28" s="44">
        <v>46000</v>
      </c>
      <c r="F28" s="45">
        <v>1.1200000000000001</v>
      </c>
      <c r="G28" s="44">
        <v>51520</v>
      </c>
      <c r="H28" s="35">
        <v>1.1100000000000001</v>
      </c>
      <c r="I28" s="35">
        <v>51156.6</v>
      </c>
      <c r="J28" s="35">
        <v>363.4</v>
      </c>
      <c r="K28" s="35">
        <v>0.71030000000000004</v>
      </c>
      <c r="L28" s="35">
        <v>1.77</v>
      </c>
    </row>
    <row r="29" spans="1:19" ht="21" customHeight="1">
      <c r="A29" s="32" t="s">
        <v>98</v>
      </c>
      <c r="B29" s="137" t="s">
        <v>99</v>
      </c>
      <c r="C29" s="137"/>
      <c r="D29" s="137"/>
      <c r="E29" s="33">
        <v>200</v>
      </c>
      <c r="F29" s="34">
        <v>101.3</v>
      </c>
      <c r="G29" s="33">
        <v>20260</v>
      </c>
      <c r="H29" s="35">
        <v>101.74</v>
      </c>
      <c r="I29" s="35">
        <v>20348</v>
      </c>
      <c r="J29" s="35">
        <v>-88</v>
      </c>
      <c r="K29" s="35">
        <v>-0.4325</v>
      </c>
      <c r="L29" s="35">
        <v>0.7</v>
      </c>
    </row>
    <row r="30" spans="1:19" ht="21" customHeight="1">
      <c r="A30" s="32" t="s">
        <v>100</v>
      </c>
      <c r="B30" s="137" t="s">
        <v>101</v>
      </c>
      <c r="C30" s="137"/>
      <c r="D30" s="137"/>
      <c r="E30" s="33">
        <v>200</v>
      </c>
      <c r="F30" s="34">
        <v>103.75</v>
      </c>
      <c r="G30" s="33">
        <v>20750</v>
      </c>
      <c r="H30" s="35">
        <v>100</v>
      </c>
      <c r="I30" s="35">
        <v>20000</v>
      </c>
      <c r="J30" s="35">
        <v>750</v>
      </c>
      <c r="K30" s="35">
        <v>3.75</v>
      </c>
      <c r="L30" s="35">
        <v>0.71</v>
      </c>
    </row>
    <row r="31" spans="1:19" ht="21" customHeight="1">
      <c r="A31" s="43" t="s">
        <v>102</v>
      </c>
      <c r="B31" s="138" t="s">
        <v>103</v>
      </c>
      <c r="C31" s="138"/>
      <c r="D31" s="138"/>
      <c r="E31" s="44">
        <v>2350</v>
      </c>
      <c r="F31" s="45">
        <v>18.64</v>
      </c>
      <c r="G31" s="44">
        <v>43804</v>
      </c>
      <c r="H31" s="35">
        <v>26.59</v>
      </c>
      <c r="I31" s="35">
        <v>62487.79</v>
      </c>
      <c r="J31" s="35">
        <v>-18683.79</v>
      </c>
      <c r="K31" s="35">
        <v>-29.9</v>
      </c>
      <c r="L31" s="35">
        <v>1.5</v>
      </c>
    </row>
    <row r="32" spans="1:19" ht="21" customHeight="1">
      <c r="A32" s="32" t="s">
        <v>102</v>
      </c>
      <c r="B32" s="137" t="s">
        <v>103</v>
      </c>
      <c r="C32" s="137"/>
      <c r="D32" s="137"/>
      <c r="E32" s="33">
        <v>150</v>
      </c>
      <c r="F32" s="34">
        <v>18.64</v>
      </c>
      <c r="G32" s="33">
        <v>2796</v>
      </c>
      <c r="H32" s="35">
        <v>30.64</v>
      </c>
      <c r="I32" s="35">
        <v>4595.9399999999996</v>
      </c>
      <c r="J32" s="35">
        <v>-1799.94</v>
      </c>
      <c r="K32" s="35">
        <v>-39.163699999999999</v>
      </c>
      <c r="L32" s="35">
        <v>0.1</v>
      </c>
    </row>
    <row r="33" spans="1:14" ht="21" customHeight="1">
      <c r="A33" s="32" t="s">
        <v>104</v>
      </c>
      <c r="B33" s="137" t="s">
        <v>105</v>
      </c>
      <c r="C33" s="137"/>
      <c r="D33" s="137"/>
      <c r="E33" s="33">
        <v>350</v>
      </c>
      <c r="F33" s="34">
        <v>101</v>
      </c>
      <c r="G33" s="33">
        <v>35350</v>
      </c>
      <c r="H33" s="35">
        <v>741.34</v>
      </c>
      <c r="I33" s="35">
        <v>259467.79</v>
      </c>
      <c r="J33" s="35">
        <v>-224117.79</v>
      </c>
      <c r="K33" s="35">
        <v>-86.376000000000005</v>
      </c>
      <c r="L33" s="35">
        <v>1.21</v>
      </c>
      <c r="N33" s="26" t="s">
        <v>106</v>
      </c>
    </row>
    <row r="34" spans="1:14" ht="21" customHeight="1">
      <c r="A34" s="43" t="s">
        <v>107</v>
      </c>
      <c r="B34" s="138" t="s">
        <v>108</v>
      </c>
      <c r="C34" s="138"/>
      <c r="D34" s="138"/>
      <c r="E34" s="44">
        <v>6000</v>
      </c>
      <c r="F34" s="45">
        <v>3.22</v>
      </c>
      <c r="G34" s="44">
        <v>19320</v>
      </c>
      <c r="H34" s="35">
        <v>3.63</v>
      </c>
      <c r="I34" s="35">
        <v>21776.94</v>
      </c>
      <c r="J34" s="35">
        <v>-2456.94</v>
      </c>
      <c r="K34" s="35">
        <v>-11.282400000000001</v>
      </c>
      <c r="L34" s="35">
        <v>0.66</v>
      </c>
    </row>
    <row r="35" spans="1:14" ht="21" customHeight="1">
      <c r="A35" s="32" t="s">
        <v>109</v>
      </c>
      <c r="B35" s="137" t="s">
        <v>110</v>
      </c>
      <c r="C35" s="137"/>
      <c r="D35" s="137"/>
      <c r="E35" s="33">
        <v>1000</v>
      </c>
      <c r="F35" s="34">
        <v>99.84</v>
      </c>
      <c r="G35" s="33">
        <v>99840</v>
      </c>
      <c r="H35" s="35">
        <v>99.89</v>
      </c>
      <c r="I35" s="35">
        <v>99894.55</v>
      </c>
      <c r="J35" s="35">
        <v>-54.55</v>
      </c>
      <c r="K35" s="35">
        <v>-5.4699999999999999E-2</v>
      </c>
      <c r="L35" s="35">
        <v>3.43</v>
      </c>
    </row>
    <row r="36" spans="1:14" ht="21" customHeight="1">
      <c r="A36" s="32" t="s">
        <v>111</v>
      </c>
      <c r="B36" s="137" t="s">
        <v>112</v>
      </c>
      <c r="C36" s="137"/>
      <c r="D36" s="137"/>
      <c r="E36" s="33">
        <v>350</v>
      </c>
      <c r="F36" s="34">
        <v>35.82</v>
      </c>
      <c r="G36" s="33">
        <v>12537</v>
      </c>
      <c r="H36" s="35">
        <v>31.99</v>
      </c>
      <c r="I36" s="35">
        <v>11198</v>
      </c>
      <c r="J36" s="35">
        <v>1339</v>
      </c>
      <c r="K36" s="35">
        <v>11.9574</v>
      </c>
      <c r="L36" s="35">
        <v>0.43</v>
      </c>
    </row>
    <row r="37" spans="1:14" ht="21" customHeight="1">
      <c r="A37" s="43" t="s">
        <v>111</v>
      </c>
      <c r="B37" s="138" t="s">
        <v>112</v>
      </c>
      <c r="C37" s="138"/>
      <c r="D37" s="138"/>
      <c r="E37" s="44">
        <v>1195</v>
      </c>
      <c r="F37" s="45">
        <v>35.82</v>
      </c>
      <c r="G37" s="44">
        <v>42804.9</v>
      </c>
      <c r="H37" s="35">
        <v>8.18</v>
      </c>
      <c r="I37" s="35">
        <v>9774.23</v>
      </c>
      <c r="J37" s="35">
        <v>33030.67</v>
      </c>
      <c r="K37" s="35">
        <v>337.93619999999999</v>
      </c>
      <c r="L37" s="35">
        <v>1.47</v>
      </c>
    </row>
    <row r="38" spans="1:14" ht="21" customHeight="1">
      <c r="A38" s="43" t="s">
        <v>113</v>
      </c>
      <c r="B38" s="138" t="s">
        <v>114</v>
      </c>
      <c r="C38" s="138"/>
      <c r="D38" s="138"/>
      <c r="E38" s="44">
        <v>4500</v>
      </c>
      <c r="F38" s="45">
        <v>3.79</v>
      </c>
      <c r="G38" s="44">
        <v>17055</v>
      </c>
      <c r="H38" s="35">
        <v>7.1</v>
      </c>
      <c r="I38" s="35">
        <v>31952.82</v>
      </c>
      <c r="J38" s="35">
        <v>-14897.82</v>
      </c>
      <c r="K38" s="35">
        <v>-46.624499999999998</v>
      </c>
      <c r="L38" s="35">
        <v>0.59</v>
      </c>
    </row>
    <row r="39" spans="1:14" ht="21" customHeight="1">
      <c r="A39" s="43" t="s">
        <v>115</v>
      </c>
      <c r="B39" s="138" t="s">
        <v>116</v>
      </c>
      <c r="C39" s="138"/>
      <c r="D39" s="138"/>
      <c r="E39" s="44">
        <v>5000</v>
      </c>
      <c r="F39" s="45">
        <v>0.79</v>
      </c>
      <c r="G39" s="44">
        <v>3950</v>
      </c>
      <c r="H39" s="35">
        <v>3.02</v>
      </c>
      <c r="I39" s="35">
        <v>15092.58</v>
      </c>
      <c r="J39" s="35">
        <v>-11142.58</v>
      </c>
      <c r="K39" s="35">
        <v>-73.828199999999995</v>
      </c>
      <c r="L39" s="35">
        <v>0.14000000000000001</v>
      </c>
    </row>
    <row r="40" spans="1:14" ht="21" customHeight="1">
      <c r="A40" s="43" t="s">
        <v>117</v>
      </c>
      <c r="B40" s="138" t="s">
        <v>118</v>
      </c>
      <c r="C40" s="138"/>
      <c r="D40" s="138"/>
      <c r="E40" s="44">
        <v>400</v>
      </c>
      <c r="F40" s="45">
        <v>98.8</v>
      </c>
      <c r="G40" s="44">
        <v>39520</v>
      </c>
      <c r="H40" s="35">
        <v>92.36</v>
      </c>
      <c r="I40" s="35">
        <v>36945</v>
      </c>
      <c r="J40" s="35">
        <v>2575</v>
      </c>
      <c r="K40" s="35">
        <v>6.9698000000000002</v>
      </c>
      <c r="L40" s="35">
        <v>1.36</v>
      </c>
    </row>
    <row r="41" spans="1:14" ht="21" customHeight="1">
      <c r="A41" s="43" t="s">
        <v>119</v>
      </c>
      <c r="B41" s="138" t="s">
        <v>120</v>
      </c>
      <c r="C41" s="138"/>
      <c r="D41" s="138"/>
      <c r="E41" s="44">
        <v>1573</v>
      </c>
      <c r="F41" s="45">
        <v>17.170000000000002</v>
      </c>
      <c r="G41" s="44">
        <v>27008.41</v>
      </c>
      <c r="H41" s="35">
        <v>10.9</v>
      </c>
      <c r="I41" s="35">
        <v>17150.060000000001</v>
      </c>
      <c r="J41" s="35">
        <v>9858.35</v>
      </c>
      <c r="K41" s="35">
        <v>57.482799999999997</v>
      </c>
      <c r="L41" s="35">
        <v>0.93</v>
      </c>
    </row>
    <row r="42" spans="1:14" ht="21" customHeight="1">
      <c r="A42" s="43" t="s">
        <v>121</v>
      </c>
      <c r="B42" s="138" t="s">
        <v>122</v>
      </c>
      <c r="C42" s="138"/>
      <c r="D42" s="138"/>
      <c r="E42" s="44">
        <v>700</v>
      </c>
      <c r="F42" s="45">
        <v>69.42</v>
      </c>
      <c r="G42" s="44">
        <v>48594</v>
      </c>
      <c r="H42" s="35">
        <v>21.12</v>
      </c>
      <c r="I42" s="35">
        <v>14781.24</v>
      </c>
      <c r="J42" s="35">
        <v>33812.76</v>
      </c>
      <c r="K42" s="35">
        <v>228.75450000000001</v>
      </c>
      <c r="L42" s="35">
        <v>1.67</v>
      </c>
    </row>
    <row r="43" spans="1:14" ht="21" customHeight="1">
      <c r="A43" s="43" t="s">
        <v>123</v>
      </c>
      <c r="B43" s="138" t="s">
        <v>124</v>
      </c>
      <c r="C43" s="138"/>
      <c r="D43" s="138"/>
      <c r="E43" s="44">
        <v>400</v>
      </c>
      <c r="F43" s="45">
        <v>101.2</v>
      </c>
      <c r="G43" s="44">
        <v>40480</v>
      </c>
      <c r="H43" s="35">
        <v>100</v>
      </c>
      <c r="I43" s="35">
        <v>40000</v>
      </c>
      <c r="J43" s="35">
        <v>480</v>
      </c>
      <c r="K43" s="35">
        <v>1.2</v>
      </c>
      <c r="L43" s="35">
        <v>1.39</v>
      </c>
    </row>
    <row r="44" spans="1:14" ht="21" customHeight="1">
      <c r="A44" s="32" t="s">
        <v>125</v>
      </c>
      <c r="B44" s="137" t="s">
        <v>126</v>
      </c>
      <c r="C44" s="137"/>
      <c r="D44" s="137"/>
      <c r="E44" s="33">
        <v>300</v>
      </c>
      <c r="F44" s="34">
        <v>99.311000000000007</v>
      </c>
      <c r="G44" s="33">
        <v>29793.3</v>
      </c>
      <c r="H44" s="35">
        <v>97.28</v>
      </c>
      <c r="I44" s="35">
        <v>29185.24</v>
      </c>
      <c r="J44" s="35">
        <v>608.05999999999995</v>
      </c>
      <c r="K44" s="35">
        <v>2.0834000000000001</v>
      </c>
      <c r="L44" s="35">
        <v>1.02</v>
      </c>
    </row>
    <row r="45" spans="1:14" ht="21" customHeight="1">
      <c r="A45" s="43" t="s">
        <v>127</v>
      </c>
      <c r="B45" s="138" t="s">
        <v>128</v>
      </c>
      <c r="C45" s="138"/>
      <c r="D45" s="138"/>
      <c r="E45" s="44">
        <v>1300</v>
      </c>
      <c r="F45" s="45">
        <v>13.25</v>
      </c>
      <c r="G45" s="44">
        <v>17225</v>
      </c>
      <c r="H45" s="35">
        <v>11.69</v>
      </c>
      <c r="I45" s="35">
        <v>15193.31</v>
      </c>
      <c r="J45" s="35">
        <v>2031.69</v>
      </c>
      <c r="K45" s="35">
        <v>13.372199999999999</v>
      </c>
      <c r="L45" s="35">
        <v>0.59</v>
      </c>
    </row>
    <row r="46" spans="1:14" ht="21" customHeight="1">
      <c r="A46" s="43" t="s">
        <v>129</v>
      </c>
      <c r="B46" s="138" t="s">
        <v>130</v>
      </c>
      <c r="C46" s="138"/>
      <c r="D46" s="138"/>
      <c r="E46" s="44">
        <v>215</v>
      </c>
      <c r="F46" s="45">
        <v>287</v>
      </c>
      <c r="G46" s="44">
        <v>61705</v>
      </c>
      <c r="H46" s="35">
        <v>93.82</v>
      </c>
      <c r="I46" s="35">
        <v>20171.47</v>
      </c>
      <c r="J46" s="35">
        <v>41533.53</v>
      </c>
      <c r="K46" s="35">
        <v>205.9023</v>
      </c>
      <c r="L46" s="35">
        <v>2.12</v>
      </c>
    </row>
    <row r="47" spans="1:14" ht="21" customHeight="1">
      <c r="A47" s="32" t="s">
        <v>129</v>
      </c>
      <c r="B47" s="137" t="s">
        <v>130</v>
      </c>
      <c r="C47" s="137"/>
      <c r="D47" s="137"/>
      <c r="E47" s="33">
        <v>140</v>
      </c>
      <c r="F47" s="34">
        <v>287</v>
      </c>
      <c r="G47" s="33">
        <v>40180</v>
      </c>
      <c r="H47" s="35">
        <v>34.369999999999997</v>
      </c>
      <c r="I47" s="35">
        <v>4811.6000000000004</v>
      </c>
      <c r="J47" s="35">
        <v>35368.400000000001</v>
      </c>
      <c r="K47" s="35">
        <v>735.0652</v>
      </c>
      <c r="L47" s="35">
        <v>1.38</v>
      </c>
    </row>
    <row r="48" spans="1:14" ht="21" customHeight="1">
      <c r="A48" s="32" t="s">
        <v>131</v>
      </c>
      <c r="B48" s="137" t="s">
        <v>132</v>
      </c>
      <c r="C48" s="137"/>
      <c r="D48" s="137"/>
      <c r="E48" s="33">
        <v>50</v>
      </c>
      <c r="F48" s="34">
        <v>242.3</v>
      </c>
      <c r="G48" s="33">
        <v>12115</v>
      </c>
      <c r="H48" s="35">
        <v>145.72</v>
      </c>
      <c r="I48" s="35">
        <v>7286</v>
      </c>
      <c r="J48" s="35">
        <v>4829</v>
      </c>
      <c r="K48" s="35">
        <v>66.277699999999996</v>
      </c>
      <c r="L48" s="35">
        <v>0.42</v>
      </c>
    </row>
    <row r="49" spans="1:12" ht="21" customHeight="1">
      <c r="A49" s="43" t="s">
        <v>133</v>
      </c>
      <c r="B49" s="138" t="s">
        <v>134</v>
      </c>
      <c r="C49" s="138"/>
      <c r="D49" s="138"/>
      <c r="E49" s="44">
        <v>21000</v>
      </c>
      <c r="F49" s="45">
        <v>0.36499999999999999</v>
      </c>
      <c r="G49" s="44">
        <v>7665</v>
      </c>
      <c r="H49" s="35">
        <v>0.49</v>
      </c>
      <c r="I49" s="35">
        <v>10190.879999999999</v>
      </c>
      <c r="J49" s="35">
        <v>-2525.88</v>
      </c>
      <c r="K49" s="35">
        <v>-24.785699999999999</v>
      </c>
      <c r="L49" s="35">
        <v>0.26</v>
      </c>
    </row>
    <row r="50" spans="1:12" ht="21" customHeight="1">
      <c r="A50" s="43" t="s">
        <v>135</v>
      </c>
      <c r="B50" s="138" t="s">
        <v>136</v>
      </c>
      <c r="C50" s="138"/>
      <c r="D50" s="138"/>
      <c r="E50" s="44">
        <v>3100</v>
      </c>
      <c r="F50" s="45">
        <v>7.46</v>
      </c>
      <c r="G50" s="44">
        <v>23126</v>
      </c>
      <c r="H50" s="35">
        <v>8.2899999999999991</v>
      </c>
      <c r="I50" s="35">
        <v>25692.560000000001</v>
      </c>
      <c r="J50" s="35">
        <v>-2566.56</v>
      </c>
      <c r="K50" s="35">
        <v>-9.9895999999999994</v>
      </c>
      <c r="L50" s="35">
        <v>0.79</v>
      </c>
    </row>
    <row r="51" spans="1:12" ht="21" customHeight="1">
      <c r="A51" s="32" t="s">
        <v>137</v>
      </c>
      <c r="B51" s="137" t="s">
        <v>138</v>
      </c>
      <c r="C51" s="137"/>
      <c r="D51" s="137"/>
      <c r="E51" s="33">
        <v>375</v>
      </c>
      <c r="F51" s="34">
        <v>101.68</v>
      </c>
      <c r="G51" s="33">
        <v>38130</v>
      </c>
      <c r="H51" s="35">
        <v>100</v>
      </c>
      <c r="I51" s="35">
        <v>37500</v>
      </c>
      <c r="J51" s="35">
        <v>630</v>
      </c>
      <c r="K51" s="35">
        <v>1.68</v>
      </c>
      <c r="L51" s="35">
        <v>1.31</v>
      </c>
    </row>
    <row r="52" spans="1:12" ht="21" customHeight="1">
      <c r="A52" s="43" t="s">
        <v>139</v>
      </c>
      <c r="B52" s="138" t="s">
        <v>140</v>
      </c>
      <c r="C52" s="138"/>
      <c r="D52" s="138"/>
      <c r="E52" s="44">
        <v>250</v>
      </c>
      <c r="F52" s="45">
        <v>118.6</v>
      </c>
      <c r="G52" s="44">
        <v>29650</v>
      </c>
      <c r="H52" s="35">
        <v>91.21</v>
      </c>
      <c r="I52" s="35">
        <v>22803.439999999999</v>
      </c>
      <c r="J52" s="35">
        <v>6846.56</v>
      </c>
      <c r="K52" s="35">
        <v>30.0242</v>
      </c>
      <c r="L52" s="35">
        <v>1.02</v>
      </c>
    </row>
    <row r="53" spans="1:12" ht="21" customHeight="1">
      <c r="A53" s="39" t="s">
        <v>141</v>
      </c>
      <c r="B53" s="135" t="s">
        <v>142</v>
      </c>
      <c r="C53" s="135"/>
      <c r="D53" s="135"/>
      <c r="E53" s="40">
        <v>250</v>
      </c>
      <c r="F53" s="41">
        <v>1.7000000000000001E-2</v>
      </c>
      <c r="G53" s="40">
        <v>4.25</v>
      </c>
      <c r="H53" s="35">
        <v>12.16</v>
      </c>
      <c r="I53" s="35">
        <v>3040</v>
      </c>
      <c r="J53" s="35">
        <v>-3035.75</v>
      </c>
      <c r="K53" s="35">
        <v>-99.860200000000006</v>
      </c>
      <c r="L53" s="35">
        <v>0</v>
      </c>
    </row>
    <row r="54" spans="1:12" ht="21" customHeight="1">
      <c r="A54" s="43" t="s">
        <v>143</v>
      </c>
      <c r="B54" s="138" t="s">
        <v>144</v>
      </c>
      <c r="C54" s="138"/>
      <c r="D54" s="138"/>
      <c r="E54" s="44">
        <v>3201</v>
      </c>
      <c r="F54" s="45">
        <v>12.08</v>
      </c>
      <c r="G54" s="44">
        <v>38668.080000000002</v>
      </c>
      <c r="H54" s="35">
        <v>4.1399999999999997</v>
      </c>
      <c r="I54" s="35">
        <v>13263.15</v>
      </c>
      <c r="J54" s="35">
        <v>25404.93</v>
      </c>
      <c r="K54" s="35">
        <v>191.54519999999999</v>
      </c>
      <c r="L54" s="35">
        <v>1.33</v>
      </c>
    </row>
    <row r="55" spans="1:12" ht="21" customHeight="1">
      <c r="A55" s="43" t="s">
        <v>145</v>
      </c>
      <c r="B55" s="138" t="s">
        <v>146</v>
      </c>
      <c r="C55" s="138"/>
      <c r="D55" s="138"/>
      <c r="E55" s="44">
        <v>2222</v>
      </c>
      <c r="F55" s="45">
        <v>18.22</v>
      </c>
      <c r="G55" s="44">
        <f>+E55*F55</f>
        <v>40484.839999999997</v>
      </c>
      <c r="H55" s="35">
        <v>23.24</v>
      </c>
      <c r="I55" s="35">
        <v>33051.18</v>
      </c>
      <c r="J55" s="35">
        <v>-7142.34</v>
      </c>
      <c r="K55" s="35">
        <v>-21.61</v>
      </c>
      <c r="L55" s="35">
        <v>0.89</v>
      </c>
    </row>
    <row r="56" spans="1:12" ht="21" customHeight="1">
      <c r="A56" s="32" t="s">
        <v>145</v>
      </c>
      <c r="B56" s="137" t="s">
        <v>146</v>
      </c>
      <c r="C56" s="137"/>
      <c r="D56" s="137"/>
      <c r="E56" s="33">
        <v>676</v>
      </c>
      <c r="F56" s="34">
        <v>18.22</v>
      </c>
      <c r="G56" s="33">
        <f>+E56*F56</f>
        <v>12316.72</v>
      </c>
      <c r="H56" s="35">
        <v>21.34</v>
      </c>
      <c r="I56" s="35">
        <v>31490.84</v>
      </c>
      <c r="J56" s="35">
        <v>-4598.12</v>
      </c>
      <c r="K56" s="35">
        <v>-14.6015</v>
      </c>
      <c r="L56" s="35">
        <v>0.92</v>
      </c>
    </row>
    <row r="57" spans="1:12" ht="21" customHeight="1">
      <c r="A57" s="32" t="s">
        <v>147</v>
      </c>
      <c r="B57" s="137" t="s">
        <v>146</v>
      </c>
      <c r="C57" s="137"/>
      <c r="D57" s="137"/>
      <c r="E57" s="33">
        <v>250</v>
      </c>
      <c r="F57" s="34">
        <v>102.49</v>
      </c>
      <c r="G57" s="33">
        <v>25622.5</v>
      </c>
      <c r="H57" s="35">
        <v>100</v>
      </c>
      <c r="I57" s="35">
        <v>25000</v>
      </c>
      <c r="J57" s="35">
        <v>622.5</v>
      </c>
      <c r="K57" s="35">
        <v>2.4900000000000002</v>
      </c>
      <c r="L57" s="35">
        <v>0.88</v>
      </c>
    </row>
    <row r="58" spans="1:12" ht="21" customHeight="1">
      <c r="A58" s="43" t="s">
        <v>148</v>
      </c>
      <c r="B58" s="138" t="s">
        <v>149</v>
      </c>
      <c r="C58" s="138"/>
      <c r="D58" s="138"/>
      <c r="E58" s="44">
        <v>300</v>
      </c>
      <c r="F58" s="45">
        <v>100.12</v>
      </c>
      <c r="G58" s="44">
        <v>30036</v>
      </c>
      <c r="H58" s="35">
        <v>101.48</v>
      </c>
      <c r="I58" s="35">
        <v>30445</v>
      </c>
      <c r="J58" s="35">
        <v>-409</v>
      </c>
      <c r="K58" s="35">
        <v>-1.3434999999999999</v>
      </c>
      <c r="L58" s="35">
        <v>1.03</v>
      </c>
    </row>
    <row r="59" spans="1:12" ht="21" customHeight="1">
      <c r="A59" s="43" t="s">
        <v>150</v>
      </c>
      <c r="B59" s="138" t="s">
        <v>151</v>
      </c>
      <c r="C59" s="138"/>
      <c r="D59" s="138"/>
      <c r="E59" s="44">
        <v>1300</v>
      </c>
      <c r="F59" s="45">
        <v>17.11</v>
      </c>
      <c r="G59" s="44">
        <f>+E59*F59</f>
        <v>22243</v>
      </c>
      <c r="H59" s="35">
        <v>19.690000000000001</v>
      </c>
      <c r="I59" s="35">
        <v>25596.39</v>
      </c>
      <c r="J59" s="35">
        <v>-2960.53</v>
      </c>
      <c r="K59" s="35">
        <v>-11.5663</v>
      </c>
      <c r="L59" s="35">
        <v>0.78</v>
      </c>
    </row>
    <row r="60" spans="1:12" ht="21" customHeight="1">
      <c r="A60" s="43" t="s">
        <v>152</v>
      </c>
      <c r="B60" s="138" t="s">
        <v>153</v>
      </c>
      <c r="C60" s="138"/>
      <c r="D60" s="138"/>
      <c r="E60" s="44">
        <v>12400</v>
      </c>
      <c r="F60" s="45">
        <v>2.54</v>
      </c>
      <c r="G60" s="44">
        <v>31496</v>
      </c>
      <c r="H60" s="35">
        <v>3.58</v>
      </c>
      <c r="I60" s="35">
        <v>44427.3</v>
      </c>
      <c r="J60" s="35">
        <v>-12931.3</v>
      </c>
      <c r="K60" s="35">
        <v>-29.1067</v>
      </c>
      <c r="L60" s="35">
        <v>1.08</v>
      </c>
    </row>
    <row r="61" spans="1:12" ht="21" customHeight="1">
      <c r="A61" s="43" t="s">
        <v>154</v>
      </c>
      <c r="B61" s="138" t="s">
        <v>155</v>
      </c>
      <c r="C61" s="138"/>
      <c r="D61" s="138"/>
      <c r="E61" s="44">
        <v>39000</v>
      </c>
      <c r="F61" s="45">
        <v>0.9</v>
      </c>
      <c r="G61" s="44">
        <v>35100</v>
      </c>
      <c r="H61" s="35">
        <v>1.1299999999999999</v>
      </c>
      <c r="I61" s="35">
        <v>44134.74</v>
      </c>
      <c r="J61" s="35">
        <v>-9034.74</v>
      </c>
      <c r="K61" s="35">
        <v>-20.4709</v>
      </c>
      <c r="L61" s="35">
        <v>1.21</v>
      </c>
    </row>
    <row r="62" spans="1:12" ht="21" customHeight="1">
      <c r="A62" s="43" t="s">
        <v>156</v>
      </c>
      <c r="B62" s="138" t="s">
        <v>157</v>
      </c>
      <c r="C62" s="138"/>
      <c r="D62" s="138"/>
      <c r="E62" s="44">
        <v>2966</v>
      </c>
      <c r="F62" s="45">
        <v>8.86</v>
      </c>
      <c r="G62" s="44">
        <v>26278.76</v>
      </c>
      <c r="H62" s="35">
        <v>16.91</v>
      </c>
      <c r="I62" s="35">
        <v>50149.89</v>
      </c>
      <c r="J62" s="35">
        <v>-23871.13</v>
      </c>
      <c r="K62" s="35">
        <v>-47.599600000000002</v>
      </c>
      <c r="L62" s="35">
        <v>0.9</v>
      </c>
    </row>
    <row r="63" spans="1:12" ht="21" customHeight="1">
      <c r="A63" s="43" t="s">
        <v>158</v>
      </c>
      <c r="B63" s="138" t="s">
        <v>159</v>
      </c>
      <c r="C63" s="138"/>
      <c r="D63" s="138"/>
      <c r="E63" s="44">
        <v>200</v>
      </c>
      <c r="F63" s="45">
        <v>107.88</v>
      </c>
      <c r="G63" s="44">
        <v>21576</v>
      </c>
      <c r="H63" s="35">
        <v>81.56</v>
      </c>
      <c r="I63" s="35">
        <v>16311.21</v>
      </c>
      <c r="J63" s="35">
        <v>5264.79</v>
      </c>
      <c r="K63" s="35">
        <v>32.277099999999997</v>
      </c>
      <c r="L63" s="35">
        <v>0.74</v>
      </c>
    </row>
    <row r="64" spans="1:12" ht="21" customHeight="1">
      <c r="A64" s="43" t="s">
        <v>160</v>
      </c>
      <c r="B64" s="138" t="s">
        <v>161</v>
      </c>
      <c r="C64" s="138"/>
      <c r="D64" s="138"/>
      <c r="E64" s="44">
        <v>1180</v>
      </c>
      <c r="F64" s="45">
        <v>27.54</v>
      </c>
      <c r="G64" s="44">
        <f>+E64*F64</f>
        <v>32497.200000000001</v>
      </c>
      <c r="H64" s="35">
        <v>14.2</v>
      </c>
      <c r="I64" s="35">
        <v>25568.19</v>
      </c>
      <c r="J64" s="35">
        <v>24003.81</v>
      </c>
      <c r="K64" s="35">
        <v>93.881500000000003</v>
      </c>
      <c r="L64" s="35">
        <v>1.7</v>
      </c>
    </row>
    <row r="65" spans="1:14" ht="21" customHeight="1">
      <c r="A65" s="43" t="s">
        <v>162</v>
      </c>
      <c r="B65" s="138" t="s">
        <v>163</v>
      </c>
      <c r="C65" s="138"/>
      <c r="D65" s="138"/>
      <c r="E65" s="44">
        <v>600</v>
      </c>
      <c r="F65" s="45">
        <v>30.43</v>
      </c>
      <c r="G65" s="44">
        <v>18258</v>
      </c>
      <c r="H65" s="35">
        <v>25.14</v>
      </c>
      <c r="I65" s="35">
        <v>15086.14</v>
      </c>
      <c r="J65" s="35">
        <v>3171.86</v>
      </c>
      <c r="K65" s="35">
        <v>21.024899999999999</v>
      </c>
      <c r="L65" s="35">
        <v>0.63</v>
      </c>
    </row>
    <row r="66" spans="1:14" ht="21" customHeight="1">
      <c r="A66" s="43" t="s">
        <v>164</v>
      </c>
      <c r="B66" s="138" t="s">
        <v>165</v>
      </c>
      <c r="C66" s="138"/>
      <c r="D66" s="138"/>
      <c r="E66" s="44">
        <v>17078</v>
      </c>
      <c r="F66" s="45">
        <v>0.99</v>
      </c>
      <c r="G66" s="44">
        <v>16907.22</v>
      </c>
      <c r="H66" s="35">
        <v>1.79</v>
      </c>
      <c r="I66" s="35">
        <v>30519.46</v>
      </c>
      <c r="J66" s="35">
        <v>-13612.24</v>
      </c>
      <c r="K66" s="35">
        <v>-44.601900000000001</v>
      </c>
      <c r="L66" s="35">
        <v>0.57999999999999996</v>
      </c>
    </row>
    <row r="67" spans="1:14" ht="21" customHeight="1">
      <c r="A67" s="43" t="s">
        <v>166</v>
      </c>
      <c r="B67" s="138" t="s">
        <v>167</v>
      </c>
      <c r="C67" s="138"/>
      <c r="D67" s="138"/>
      <c r="E67" s="44">
        <v>12450</v>
      </c>
      <c r="F67" s="45">
        <v>3.13</v>
      </c>
      <c r="G67" s="44">
        <v>38968.5</v>
      </c>
      <c r="H67" s="35">
        <v>4.47</v>
      </c>
      <c r="I67" s="35">
        <v>55695.16</v>
      </c>
      <c r="J67" s="35">
        <v>-16726.66</v>
      </c>
      <c r="K67" s="35">
        <v>-30.032599999999999</v>
      </c>
      <c r="L67" s="35">
        <v>1.34</v>
      </c>
    </row>
    <row r="68" spans="1:14" ht="21" customHeight="1">
      <c r="A68" s="43" t="s">
        <v>168</v>
      </c>
      <c r="B68" s="138" t="s">
        <v>169</v>
      </c>
      <c r="C68" s="138"/>
      <c r="D68" s="138"/>
      <c r="E68" s="44">
        <v>923</v>
      </c>
      <c r="F68" s="45">
        <v>44.83</v>
      </c>
      <c r="G68" s="44">
        <v>41378.089999999997</v>
      </c>
      <c r="H68" s="35">
        <v>18.89</v>
      </c>
      <c r="I68" s="35">
        <v>17432.16</v>
      </c>
      <c r="J68" s="35">
        <v>23945.93</v>
      </c>
      <c r="K68" s="35">
        <v>137.3663</v>
      </c>
      <c r="L68" s="35">
        <v>1.42</v>
      </c>
    </row>
    <row r="69" spans="1:14" ht="21" customHeight="1">
      <c r="A69" s="32" t="s">
        <v>170</v>
      </c>
      <c r="B69" s="137" t="s">
        <v>171</v>
      </c>
      <c r="C69" s="137"/>
      <c r="D69" s="137"/>
      <c r="E69" s="33">
        <v>1620</v>
      </c>
      <c r="F69" s="34">
        <v>17.95</v>
      </c>
      <c r="G69" s="33">
        <v>29079</v>
      </c>
      <c r="H69" s="35">
        <v>26.01</v>
      </c>
      <c r="I69" s="35">
        <v>42143.95</v>
      </c>
      <c r="J69" s="35">
        <v>-13064.95</v>
      </c>
      <c r="K69" s="35">
        <v>-31.000800000000002</v>
      </c>
      <c r="L69" s="35">
        <v>1</v>
      </c>
    </row>
    <row r="70" spans="1:14" ht="21" customHeight="1">
      <c r="A70" s="43" t="s">
        <v>170</v>
      </c>
      <c r="B70" s="138" t="s">
        <v>171</v>
      </c>
      <c r="C70" s="138"/>
      <c r="D70" s="138"/>
      <c r="E70" s="44">
        <v>2422</v>
      </c>
      <c r="F70" s="45">
        <v>17.95</v>
      </c>
      <c r="G70" s="44">
        <v>43474.9</v>
      </c>
      <c r="H70" s="35">
        <v>22.12</v>
      </c>
      <c r="I70" s="35">
        <v>53580.69</v>
      </c>
      <c r="J70" s="35">
        <v>-10105.790000000001</v>
      </c>
      <c r="K70" s="35">
        <v>-18.860900000000001</v>
      </c>
      <c r="L70" s="35">
        <v>1.49</v>
      </c>
    </row>
    <row r="71" spans="1:14" ht="21" customHeight="1">
      <c r="A71" s="32" t="s">
        <v>172</v>
      </c>
      <c r="B71" s="137" t="s">
        <v>173</v>
      </c>
      <c r="C71" s="137"/>
      <c r="D71" s="137"/>
      <c r="E71" s="33">
        <v>200</v>
      </c>
      <c r="F71" s="34">
        <v>99.91</v>
      </c>
      <c r="G71" s="33">
        <v>19982</v>
      </c>
      <c r="H71" s="35">
        <v>96.48</v>
      </c>
      <c r="I71" s="35">
        <v>19296.3</v>
      </c>
      <c r="J71" s="35">
        <v>685.7</v>
      </c>
      <c r="K71" s="35">
        <v>3.5535000000000001</v>
      </c>
      <c r="L71" s="35">
        <v>0.69</v>
      </c>
    </row>
    <row r="72" spans="1:14" ht="21" customHeight="1">
      <c r="A72" s="32" t="s">
        <v>174</v>
      </c>
      <c r="B72" s="137" t="s">
        <v>175</v>
      </c>
      <c r="C72" s="137"/>
      <c r="D72" s="137"/>
      <c r="E72" s="33">
        <v>500</v>
      </c>
      <c r="F72" s="34">
        <v>98.35</v>
      </c>
      <c r="G72" s="33">
        <v>49175</v>
      </c>
      <c r="H72" s="35">
        <v>98.81</v>
      </c>
      <c r="I72" s="35">
        <v>49403.14</v>
      </c>
      <c r="J72" s="35">
        <v>-228.14</v>
      </c>
      <c r="K72" s="35">
        <v>-0.46179999999999999</v>
      </c>
      <c r="L72" s="35">
        <v>1.69</v>
      </c>
    </row>
    <row r="73" spans="1:14" ht="21" customHeight="1">
      <c r="A73" s="43" t="s">
        <v>176</v>
      </c>
      <c r="B73" s="138" t="s">
        <v>177</v>
      </c>
      <c r="C73" s="138"/>
      <c r="D73" s="138"/>
      <c r="E73" s="44">
        <v>1180</v>
      </c>
      <c r="F73" s="45">
        <v>21.65</v>
      </c>
      <c r="G73" s="44">
        <v>25547</v>
      </c>
      <c r="H73" s="35">
        <v>34.700000000000003</v>
      </c>
      <c r="I73" s="35">
        <v>40950.75</v>
      </c>
      <c r="J73" s="35">
        <v>-15403.75</v>
      </c>
      <c r="K73" s="35">
        <v>-37.615400000000001</v>
      </c>
      <c r="L73" s="35">
        <v>0.88</v>
      </c>
    </row>
    <row r="74" spans="1:14" ht="21" customHeight="1" thickBot="1">
      <c r="A74" s="43" t="s">
        <v>178</v>
      </c>
      <c r="B74" s="138" t="s">
        <v>179</v>
      </c>
      <c r="C74" s="138"/>
      <c r="D74" s="138"/>
      <c r="E74" s="44">
        <v>694</v>
      </c>
      <c r="F74" s="45">
        <v>37.28</v>
      </c>
      <c r="G74" s="44">
        <v>25872.32</v>
      </c>
      <c r="H74" s="35">
        <v>12.45</v>
      </c>
      <c r="I74" s="35">
        <v>8642.0499999999993</v>
      </c>
      <c r="J74" s="35">
        <v>17230.27</v>
      </c>
      <c r="K74" s="35">
        <v>199.37710000000001</v>
      </c>
      <c r="L74" s="35">
        <v>0.89</v>
      </c>
    </row>
    <row r="75" spans="1:14" ht="14.1" customHeight="1">
      <c r="G75" s="42">
        <f>SUM(G28:G74)</f>
        <v>1410143.99</v>
      </c>
      <c r="H75" s="42"/>
      <c r="I75" s="42">
        <f>SUM(I28:I74)</f>
        <v>1564683.7299999993</v>
      </c>
      <c r="J75" s="42">
        <f>SUM(J28:J74)</f>
        <v>-137072.08000000002</v>
      </c>
      <c r="K75" s="42">
        <f>(SUM(J28:J74)/SUM(I28:I74))*100</f>
        <v>-8.7603697393849735</v>
      </c>
      <c r="L75" s="42">
        <f>SUM(L28:L74)</f>
        <v>49.040000000000013</v>
      </c>
    </row>
    <row r="76" spans="1:14" ht="14.1" customHeight="1">
      <c r="A76" s="139" t="s">
        <v>48</v>
      </c>
      <c r="B76" s="140"/>
      <c r="C76" s="140"/>
      <c r="D76" s="140"/>
    </row>
    <row r="77" spans="1:14" ht="21" customHeight="1" thickBot="1">
      <c r="A77" s="36" t="s">
        <v>180</v>
      </c>
      <c r="B77" s="136" t="s">
        <v>181</v>
      </c>
      <c r="C77" s="136"/>
      <c r="D77" s="136"/>
      <c r="E77" s="37">
        <v>210.999999</v>
      </c>
      <c r="F77" s="38">
        <v>4.1963999999999997</v>
      </c>
      <c r="G77" s="37">
        <v>885.44</v>
      </c>
      <c r="H77" s="35">
        <v>63.36</v>
      </c>
      <c r="I77" s="35">
        <v>13368.75</v>
      </c>
      <c r="J77" s="35">
        <v>-12483.31</v>
      </c>
      <c r="K77" s="35">
        <v>-93.376800000000003</v>
      </c>
      <c r="L77" s="35">
        <v>0.03</v>
      </c>
    </row>
    <row r="78" spans="1:14" ht="14.1" customHeight="1">
      <c r="G78" s="42">
        <f>+G77</f>
        <v>885.44</v>
      </c>
      <c r="H78" s="42"/>
      <c r="I78" s="42">
        <f>SUM(I59:I77)</f>
        <v>2116989.9999999991</v>
      </c>
      <c r="J78" s="42">
        <f>SUM(J59:J77)</f>
        <v>-193192.26</v>
      </c>
      <c r="K78" s="42">
        <f>(SUM(J59:J77)/SUM(I59:I77))*100</f>
        <v>-9.1257993660810914</v>
      </c>
      <c r="L78" s="42">
        <f>SUM(L59:L77)</f>
        <v>66.090000000000018</v>
      </c>
    </row>
    <row r="79" spans="1:14" ht="14.1" customHeight="1">
      <c r="A79" s="139" t="s">
        <v>182</v>
      </c>
      <c r="B79" s="140"/>
      <c r="C79" s="140"/>
      <c r="D79" s="140"/>
    </row>
    <row r="80" spans="1:14" ht="21" customHeight="1">
      <c r="A80" s="32" t="s">
        <v>183</v>
      </c>
      <c r="B80" s="137" t="s">
        <v>184</v>
      </c>
      <c r="C80" s="137"/>
      <c r="D80" s="137"/>
      <c r="E80" s="33">
        <v>187573</v>
      </c>
      <c r="F80" s="34">
        <v>0</v>
      </c>
      <c r="G80" s="33">
        <v>0</v>
      </c>
      <c r="H80" s="35">
        <v>0.05</v>
      </c>
      <c r="I80" s="35">
        <v>8590</v>
      </c>
      <c r="J80" s="35">
        <v>-8590</v>
      </c>
      <c r="K80" s="35">
        <v>-100</v>
      </c>
      <c r="L80" s="35">
        <v>0</v>
      </c>
      <c r="N80" s="26" t="s">
        <v>185</v>
      </c>
    </row>
    <row r="81" spans="1:12" ht="21" customHeight="1" thickBot="1">
      <c r="A81" s="39" t="s">
        <v>186</v>
      </c>
      <c r="B81" s="135" t="s">
        <v>187</v>
      </c>
      <c r="C81" s="135"/>
      <c r="D81" s="135"/>
      <c r="E81" s="40">
        <v>93334</v>
      </c>
      <c r="F81" s="41">
        <v>0.25</v>
      </c>
      <c r="G81" s="40">
        <f>+E81*F81</f>
        <v>23333.5</v>
      </c>
      <c r="H81" s="35">
        <v>0.25</v>
      </c>
      <c r="I81" s="35">
        <v>20000</v>
      </c>
      <c r="J81" s="35">
        <v>0</v>
      </c>
      <c r="K81" s="35">
        <v>0</v>
      </c>
      <c r="L81" s="35">
        <v>0.69</v>
      </c>
    </row>
    <row r="82" spans="1:12" ht="14.1" customHeight="1">
      <c r="G82" s="42">
        <f>SUM(G80:G81)</f>
        <v>23333.5</v>
      </c>
      <c r="H82" s="42"/>
      <c r="I82" s="42">
        <f>SUM(I80:I81)</f>
        <v>28590</v>
      </c>
      <c r="J82" s="42">
        <f>SUM(J80:J81)</f>
        <v>-8590</v>
      </c>
      <c r="K82" s="42">
        <f>(SUM(J80:J81)/SUM(I80:I81))*100</f>
        <v>-30.045470444211265</v>
      </c>
      <c r="L82" s="42">
        <f>SUM(L80:L81)</f>
        <v>0.69</v>
      </c>
    </row>
    <row r="83" spans="1:12" ht="14.1" customHeight="1">
      <c r="A83" s="139" t="s">
        <v>188</v>
      </c>
      <c r="B83" s="140"/>
      <c r="C83" s="140"/>
      <c r="D83" s="140"/>
    </row>
    <row r="84" spans="1:12" ht="21" customHeight="1">
      <c r="A84" s="43" t="s">
        <v>189</v>
      </c>
      <c r="B84" s="138" t="s">
        <v>190</v>
      </c>
      <c r="C84" s="138"/>
      <c r="D84" s="138"/>
      <c r="E84" s="44">
        <v>1100</v>
      </c>
      <c r="F84" s="45">
        <v>27.19</v>
      </c>
      <c r="G84" s="44">
        <v>29909</v>
      </c>
      <c r="H84" s="35">
        <v>26.99</v>
      </c>
      <c r="I84" s="35">
        <v>29686.38</v>
      </c>
      <c r="J84" s="35">
        <v>222.62</v>
      </c>
      <c r="K84" s="35">
        <v>0.74990000000000001</v>
      </c>
      <c r="L84" s="35">
        <v>1.03</v>
      </c>
    </row>
    <row r="85" spans="1:12" ht="21" customHeight="1">
      <c r="A85" s="32" t="s">
        <v>191</v>
      </c>
      <c r="B85" s="137" t="s">
        <v>192</v>
      </c>
      <c r="C85" s="137"/>
      <c r="D85" s="137"/>
      <c r="E85" s="33">
        <v>650</v>
      </c>
      <c r="F85" s="34">
        <v>99.67</v>
      </c>
      <c r="G85" s="33">
        <v>64785.5</v>
      </c>
      <c r="H85" s="35">
        <v>73.959999999999994</v>
      </c>
      <c r="I85" s="35">
        <v>48076.07</v>
      </c>
      <c r="J85" s="35">
        <v>16709.43</v>
      </c>
      <c r="K85" s="35">
        <v>34.7562</v>
      </c>
      <c r="L85" s="35">
        <v>2.2200000000000002</v>
      </c>
    </row>
    <row r="86" spans="1:12" ht="21" customHeight="1">
      <c r="A86" s="32" t="s">
        <v>193</v>
      </c>
      <c r="B86" s="137" t="s">
        <v>194</v>
      </c>
      <c r="C86" s="137"/>
      <c r="D86" s="137"/>
      <c r="E86" s="33">
        <v>150</v>
      </c>
      <c r="F86" s="34">
        <v>446.37</v>
      </c>
      <c r="G86" s="33">
        <v>66955.5</v>
      </c>
      <c r="H86" s="35">
        <v>288.83</v>
      </c>
      <c r="I86" s="35">
        <v>43324.93</v>
      </c>
      <c r="J86" s="35">
        <v>23630.57</v>
      </c>
      <c r="K86" s="35">
        <v>54.5426</v>
      </c>
      <c r="L86" s="35">
        <v>2.2999999999999998</v>
      </c>
    </row>
    <row r="87" spans="1:12" ht="21" customHeight="1">
      <c r="A87" s="32" t="s">
        <v>195</v>
      </c>
      <c r="B87" s="137" t="s">
        <v>196</v>
      </c>
      <c r="C87" s="137"/>
      <c r="D87" s="137"/>
      <c r="E87" s="33">
        <f>4500-2500+255</f>
        <v>2255</v>
      </c>
      <c r="F87" s="34">
        <v>12.37</v>
      </c>
      <c r="G87" s="33">
        <f>+E87*F87</f>
        <v>27894.35</v>
      </c>
      <c r="H87" s="35">
        <v>6.42</v>
      </c>
      <c r="I87" s="35">
        <v>28885.58</v>
      </c>
      <c r="J87" s="35">
        <v>26779.42</v>
      </c>
      <c r="K87" s="35">
        <v>92.708600000000004</v>
      </c>
      <c r="L87" s="35">
        <v>1.91</v>
      </c>
    </row>
    <row r="88" spans="1:12" ht="21" customHeight="1">
      <c r="A88" s="43" t="s">
        <v>197</v>
      </c>
      <c r="B88" s="138" t="s">
        <v>198</v>
      </c>
      <c r="C88" s="138"/>
      <c r="D88" s="138"/>
      <c r="E88" s="44">
        <v>21315</v>
      </c>
      <c r="F88" s="45">
        <v>4.1500000000000004</v>
      </c>
      <c r="G88" s="44">
        <v>88457.25</v>
      </c>
      <c r="H88" s="35">
        <v>4.7300000000000004</v>
      </c>
      <c r="I88" s="35">
        <v>100777.07</v>
      </c>
      <c r="J88" s="35">
        <v>-12319.82</v>
      </c>
      <c r="K88" s="35">
        <v>-12.2249</v>
      </c>
      <c r="L88" s="35">
        <v>3.04</v>
      </c>
    </row>
    <row r="89" spans="1:12" ht="21" customHeight="1">
      <c r="A89" s="32" t="s">
        <v>199</v>
      </c>
      <c r="B89" s="137" t="s">
        <v>200</v>
      </c>
      <c r="C89" s="137"/>
      <c r="D89" s="137"/>
      <c r="E89" s="33">
        <v>21875</v>
      </c>
      <c r="F89" s="34">
        <v>1.425</v>
      </c>
      <c r="G89" s="33">
        <v>31171.88</v>
      </c>
      <c r="H89" s="35">
        <v>1.6</v>
      </c>
      <c r="I89" s="35">
        <v>35000</v>
      </c>
      <c r="J89" s="35">
        <v>-3828.12</v>
      </c>
      <c r="K89" s="35">
        <v>-10.9375</v>
      </c>
      <c r="L89" s="35">
        <v>1.07</v>
      </c>
    </row>
    <row r="90" spans="1:12" ht="21" customHeight="1">
      <c r="A90" s="32" t="s">
        <v>201</v>
      </c>
      <c r="B90" s="137" t="s">
        <v>202</v>
      </c>
      <c r="C90" s="137"/>
      <c r="D90" s="137"/>
      <c r="E90" s="33">
        <v>8850</v>
      </c>
      <c r="F90" s="34">
        <v>0.81499999999999995</v>
      </c>
      <c r="G90" s="33">
        <v>7212.75</v>
      </c>
      <c r="H90" s="35">
        <v>1.1299999999999999</v>
      </c>
      <c r="I90" s="35">
        <v>10000.5</v>
      </c>
      <c r="J90" s="35">
        <v>-2787.75</v>
      </c>
      <c r="K90" s="35">
        <v>-27.876200000000001</v>
      </c>
      <c r="L90" s="35">
        <v>0.25</v>
      </c>
    </row>
    <row r="91" spans="1:12" ht="21" customHeight="1">
      <c r="A91" s="32" t="s">
        <v>203</v>
      </c>
      <c r="B91" s="137" t="s">
        <v>204</v>
      </c>
      <c r="C91" s="137"/>
      <c r="D91" s="137"/>
      <c r="E91" s="33">
        <v>10000</v>
      </c>
      <c r="F91" s="34">
        <v>2.17</v>
      </c>
      <c r="G91" s="33">
        <v>21700</v>
      </c>
      <c r="H91" s="35">
        <v>4.1100000000000003</v>
      </c>
      <c r="I91" s="35">
        <v>41090.129999999997</v>
      </c>
      <c r="J91" s="35">
        <v>-19390.13</v>
      </c>
      <c r="K91" s="35">
        <v>-47.189300000000003</v>
      </c>
      <c r="L91" s="35">
        <v>0.75</v>
      </c>
    </row>
    <row r="92" spans="1:12" ht="21" customHeight="1">
      <c r="A92" s="43" t="s">
        <v>205</v>
      </c>
      <c r="B92" s="138" t="s">
        <v>206</v>
      </c>
      <c r="C92" s="138"/>
      <c r="D92" s="138"/>
      <c r="E92" s="44">
        <v>7500</v>
      </c>
      <c r="F92" s="45">
        <v>5.67</v>
      </c>
      <c r="G92" s="44">
        <v>42525</v>
      </c>
      <c r="H92" s="35">
        <v>2.67</v>
      </c>
      <c r="I92" s="35">
        <v>20003.59</v>
      </c>
      <c r="J92" s="35">
        <v>22521.41</v>
      </c>
      <c r="K92" s="35">
        <v>112.5868</v>
      </c>
      <c r="L92" s="35">
        <v>1.46</v>
      </c>
    </row>
    <row r="93" spans="1:12" ht="21" customHeight="1">
      <c r="A93" s="43" t="s">
        <v>207</v>
      </c>
      <c r="B93" s="138" t="s">
        <v>208</v>
      </c>
      <c r="C93" s="138"/>
      <c r="D93" s="138"/>
      <c r="E93" s="44">
        <v>3175</v>
      </c>
      <c r="F93" s="45">
        <v>14.13</v>
      </c>
      <c r="G93" s="44">
        <v>44862.75</v>
      </c>
      <c r="H93" s="35">
        <v>10.75</v>
      </c>
      <c r="I93" s="35">
        <v>34116.17</v>
      </c>
      <c r="J93" s="35">
        <v>10746.58</v>
      </c>
      <c r="K93" s="35">
        <v>31.4999</v>
      </c>
      <c r="L93" s="35">
        <v>1.54</v>
      </c>
    </row>
    <row r="94" spans="1:12" ht="21" customHeight="1" thickBot="1">
      <c r="A94" s="32" t="s">
        <v>209</v>
      </c>
      <c r="B94" s="137" t="s">
        <v>210</v>
      </c>
      <c r="C94" s="137"/>
      <c r="D94" s="137"/>
      <c r="E94" s="33">
        <v>250</v>
      </c>
      <c r="F94" s="34">
        <v>69.37</v>
      </c>
      <c r="G94" s="33">
        <v>17342.5</v>
      </c>
      <c r="H94" s="35">
        <v>90.82</v>
      </c>
      <c r="I94" s="35">
        <v>22705.87</v>
      </c>
      <c r="J94" s="35">
        <v>-5363.37</v>
      </c>
      <c r="K94" s="35">
        <v>-23.621099999999998</v>
      </c>
      <c r="L94" s="35">
        <v>0.6</v>
      </c>
    </row>
    <row r="95" spans="1:12" ht="14.1" customHeight="1">
      <c r="G95" s="42">
        <f>SUM(G84:G94)</f>
        <v>442816.48</v>
      </c>
      <c r="H95" s="42"/>
      <c r="I95" s="42">
        <f>SUM(I85:I94)</f>
        <v>383979.91000000003</v>
      </c>
      <c r="J95" s="42">
        <f>SUM(J85:J94)</f>
        <v>56698.219999999994</v>
      </c>
      <c r="K95" s="42">
        <f>(SUM(J85:J94)/SUM(I85:I94))*100</f>
        <v>14.76593397816047</v>
      </c>
      <c r="L95" s="42">
        <f>SUM(L85:L94)</f>
        <v>15.139999999999999</v>
      </c>
    </row>
    <row r="96" spans="1:12" ht="14.1" customHeight="1">
      <c r="A96" s="139" t="s">
        <v>211</v>
      </c>
      <c r="B96" s="140"/>
      <c r="C96" s="140"/>
      <c r="D96" s="140"/>
    </row>
    <row r="97" spans="1:14" ht="21" customHeight="1">
      <c r="A97" s="36" t="s">
        <v>212</v>
      </c>
      <c r="B97" s="136" t="s">
        <v>213</v>
      </c>
      <c r="C97" s="136"/>
      <c r="D97" s="136"/>
      <c r="E97" s="37">
        <v>30000</v>
      </c>
      <c r="F97" s="38">
        <v>2.04</v>
      </c>
      <c r="G97" s="37">
        <v>61200</v>
      </c>
      <c r="H97" s="35">
        <v>1</v>
      </c>
      <c r="I97" s="35">
        <v>30000</v>
      </c>
      <c r="J97" s="35">
        <v>31200</v>
      </c>
      <c r="K97" s="35">
        <v>104</v>
      </c>
      <c r="L97" s="35">
        <v>2.1</v>
      </c>
    </row>
    <row r="98" spans="1:14" ht="21" customHeight="1">
      <c r="A98" s="39" t="s">
        <v>214</v>
      </c>
      <c r="B98" s="135" t="s">
        <v>215</v>
      </c>
      <c r="C98" s="135"/>
      <c r="D98" s="135"/>
      <c r="E98" s="40">
        <v>300000</v>
      </c>
      <c r="F98" s="41">
        <v>0</v>
      </c>
      <c r="G98" s="40">
        <v>0</v>
      </c>
      <c r="H98" s="35">
        <v>7.0000000000000007E-2</v>
      </c>
      <c r="I98" s="35">
        <v>20700</v>
      </c>
      <c r="J98" s="35">
        <v>-20700</v>
      </c>
      <c r="K98" s="35">
        <v>-100</v>
      </c>
      <c r="L98" s="35">
        <v>0</v>
      </c>
    </row>
    <row r="99" spans="1:14" ht="21" customHeight="1">
      <c r="A99" s="36" t="s">
        <v>216</v>
      </c>
      <c r="B99" s="136" t="s">
        <v>217</v>
      </c>
      <c r="C99" s="136"/>
      <c r="D99" s="136"/>
      <c r="E99" s="37">
        <v>50000</v>
      </c>
      <c r="F99" s="38">
        <v>0.68669999999999998</v>
      </c>
      <c r="G99" s="37">
        <f>+E99*F99</f>
        <v>34335</v>
      </c>
      <c r="H99" s="35">
        <v>1</v>
      </c>
      <c r="I99" s="35">
        <v>50000</v>
      </c>
      <c r="J99" s="35">
        <v>-2515</v>
      </c>
      <c r="K99" s="35">
        <v>-5.03</v>
      </c>
      <c r="L99" s="35">
        <v>1.63</v>
      </c>
    </row>
    <row r="100" spans="1:14" ht="21" customHeight="1" thickBot="1">
      <c r="A100" s="36" t="s">
        <v>218</v>
      </c>
      <c r="B100" s="136" t="s">
        <v>219</v>
      </c>
      <c r="C100" s="136"/>
      <c r="D100" s="136"/>
      <c r="E100" s="37">
        <v>98039.22</v>
      </c>
      <c r="F100" s="38">
        <v>1.0214000000000001</v>
      </c>
      <c r="G100" s="37">
        <f>+E100*F100</f>
        <v>100137.25930800001</v>
      </c>
      <c r="H100" s="35">
        <v>1000</v>
      </c>
      <c r="I100" s="35">
        <v>100000</v>
      </c>
      <c r="J100" s="35">
        <v>-100000</v>
      </c>
      <c r="K100" s="35">
        <v>-100</v>
      </c>
      <c r="L100" s="35">
        <v>0</v>
      </c>
    </row>
    <row r="101" spans="1:14" ht="14.1" customHeight="1" thickBot="1">
      <c r="G101" s="42">
        <f>SUM(G97:G100)</f>
        <v>195672.25930800001</v>
      </c>
      <c r="H101" s="42"/>
      <c r="I101" s="42">
        <f>SUM(I97:I100)</f>
        <v>200700</v>
      </c>
      <c r="J101" s="42">
        <f>SUM(J97:J100)</f>
        <v>-92015</v>
      </c>
      <c r="K101" s="42">
        <f>(SUM(J97:J100)/SUM(I97:I100))*100</f>
        <v>-45.847035376183356</v>
      </c>
      <c r="L101" s="42">
        <f>SUM(L97:L100)</f>
        <v>3.73</v>
      </c>
    </row>
    <row r="102" spans="1:14" ht="14.45" customHeight="1" thickBot="1">
      <c r="G102" s="47">
        <f>SUM(G10,G14,G17, G26,G75,G78,G82,G95,G101)</f>
        <v>2813629.5082726004</v>
      </c>
      <c r="H102" s="47"/>
      <c r="I102" s="47">
        <f>SUM(I10,I14,I26,I75,I78,I82,I95,I101)</f>
        <v>4958593.9099999983</v>
      </c>
      <c r="J102" s="47">
        <f>SUM(J10,J14,J26,J75,J78,J82,J95,J101)</f>
        <v>-323980.02</v>
      </c>
      <c r="K102" s="47">
        <f>(SUM(J10,J14,J26,J75,J78,J82,J95,J101)/SUM(I10,I14,I26,I75,I78,I82,I95,I101))*100</f>
        <v>-6.5337074557896226</v>
      </c>
      <c r="L102" s="47">
        <f>SUM(L10,L14,L26,L75,L78,L82,L95,L101)</f>
        <v>159.20000000000002</v>
      </c>
    </row>
    <row r="103" spans="1:14" ht="14.45" customHeight="1" thickTop="1"/>
    <row r="104" spans="1:14" ht="14.45" customHeight="1"/>
    <row r="105" spans="1:14" ht="14.45" customHeight="1">
      <c r="A105" s="21" t="s">
        <v>220</v>
      </c>
    </row>
    <row r="106" spans="1:14" ht="14.45" customHeight="1">
      <c r="B106" s="48"/>
      <c r="C106" s="49" t="s">
        <v>221</v>
      </c>
      <c r="G106" s="50">
        <f>+G7+G13+G21+G22+G23+G24+G25+G29+G30+G32+G35+G36+G44+G47+G48+G51+G56+G57+G69+G71+G72+G80+G85+G86+G87+G89+G90+G91+G94+G33</f>
        <v>1014111.1089645999</v>
      </c>
    </row>
    <row r="107" spans="1:14" ht="14.45" customHeight="1">
      <c r="C107" s="49" t="s">
        <v>222</v>
      </c>
    </row>
    <row r="108" spans="1:14" ht="14.45" customHeight="1">
      <c r="D108" s="51" t="s">
        <v>81</v>
      </c>
      <c r="F108" s="52">
        <v>175.48</v>
      </c>
    </row>
    <row r="109" spans="1:14" ht="14.45" customHeight="1">
      <c r="D109" s="51" t="s">
        <v>84</v>
      </c>
      <c r="F109" s="52">
        <v>127.9</v>
      </c>
    </row>
    <row r="110" spans="1:14" ht="14.45" customHeight="1">
      <c r="D110" s="51" t="s">
        <v>87</v>
      </c>
      <c r="F110" s="52">
        <v>589.23</v>
      </c>
    </row>
    <row r="111" spans="1:14" ht="14.45" customHeight="1">
      <c r="D111" s="51" t="s">
        <v>90</v>
      </c>
      <c r="F111" s="52">
        <v>0</v>
      </c>
      <c r="N111" s="26" t="s">
        <v>223</v>
      </c>
    </row>
    <row r="112" spans="1:14" ht="14.45" customHeight="1">
      <c r="D112" s="51" t="s">
        <v>92</v>
      </c>
      <c r="F112" s="53">
        <v>4535.87</v>
      </c>
      <c r="G112" s="54">
        <f>SUM(F108:F112)</f>
        <v>5428.48</v>
      </c>
    </row>
    <row r="113" spans="1:14" ht="14.45" customHeight="1">
      <c r="C113" s="49" t="s">
        <v>224</v>
      </c>
      <c r="G113" s="55">
        <f>-35350+35346.5</f>
        <v>-3.5</v>
      </c>
    </row>
    <row r="114" spans="1:14" ht="14.45" customHeight="1">
      <c r="C114" s="49" t="s">
        <v>225</v>
      </c>
      <c r="G114" s="56">
        <v>1688.16</v>
      </c>
    </row>
    <row r="115" spans="1:14" ht="14.45" customHeight="1">
      <c r="G115" s="50">
        <f>SUM(G106:G114)</f>
        <v>1021224.2489645999</v>
      </c>
    </row>
    <row r="116" spans="1:14" ht="14.45" customHeight="1"/>
    <row r="117" spans="1:14" ht="14.45" customHeight="1">
      <c r="C117" s="49" t="s">
        <v>226</v>
      </c>
      <c r="G117" s="53">
        <v>1021115.02</v>
      </c>
    </row>
    <row r="118" spans="1:14" ht="14.45" customHeight="1">
      <c r="C118" s="49" t="s">
        <v>227</v>
      </c>
      <c r="G118" s="55">
        <f>+G117-G115</f>
        <v>-109.22896459989715</v>
      </c>
      <c r="N118" s="26" t="s">
        <v>228</v>
      </c>
    </row>
    <row r="119" spans="1:14" ht="14.45" customHeight="1"/>
    <row r="120" spans="1:14">
      <c r="B120" s="57"/>
      <c r="C120" s="49" t="s">
        <v>229</v>
      </c>
      <c r="G120" s="50">
        <f>+G9+G16+G53+G81+G98</f>
        <v>92641.59</v>
      </c>
    </row>
    <row r="121" spans="1:14">
      <c r="B121" s="58" t="s">
        <v>230</v>
      </c>
      <c r="C121" s="49"/>
      <c r="G121" s="50">
        <f>+G120+G106</f>
        <v>1106752.6989646</v>
      </c>
    </row>
    <row r="123" spans="1:14">
      <c r="A123" s="21" t="s">
        <v>231</v>
      </c>
    </row>
    <row r="124" spans="1:14">
      <c r="B124" s="59"/>
      <c r="C124" t="s">
        <v>232</v>
      </c>
      <c r="G124" s="55">
        <f>+G12+G20+G28+G31+G34+G37+G38+G39+G40+G41+G42+G43+G45+G46+G49+G50+G52+G54+G55+G58+G59+G60+G61+G62+G63+G64+G65+G66+G67+G68+G70+G73+G74+G84+G88+G92+G93</f>
        <v>1244969.0399999996</v>
      </c>
    </row>
    <row r="125" spans="1:14">
      <c r="C125" t="s">
        <v>233</v>
      </c>
      <c r="G125" s="53">
        <f>+S20</f>
        <v>1160.2900000000009</v>
      </c>
      <c r="N125" s="58" t="s">
        <v>234</v>
      </c>
    </row>
    <row r="126" spans="1:14">
      <c r="G126" s="52">
        <f>SUM(G124:G125)</f>
        <v>1246129.3299999996</v>
      </c>
      <c r="N126" s="58"/>
    </row>
    <row r="127" spans="1:14">
      <c r="G127" s="52"/>
      <c r="N127" s="58"/>
    </row>
    <row r="128" spans="1:14">
      <c r="C128" t="s">
        <v>235</v>
      </c>
      <c r="G128" s="53">
        <v>1246129.33</v>
      </c>
    </row>
    <row r="129" spans="1:7">
      <c r="C129" s="49" t="s">
        <v>236</v>
      </c>
      <c r="G129" s="54">
        <f>+G128-G126</f>
        <v>0</v>
      </c>
    </row>
    <row r="131" spans="1:7">
      <c r="B131" s="60"/>
      <c r="C131" s="49" t="s">
        <v>229</v>
      </c>
      <c r="G131" s="50">
        <f>+G8+G97+G99+G100+G77</f>
        <v>461907.76930800005</v>
      </c>
    </row>
    <row r="132" spans="1:7">
      <c r="B132" t="s">
        <v>237</v>
      </c>
      <c r="G132" s="61">
        <f>+G124+G131</f>
        <v>1706876.8093079997</v>
      </c>
    </row>
    <row r="135" spans="1:7" ht="15.75" thickBot="1">
      <c r="A135" s="21" t="s">
        <v>238</v>
      </c>
      <c r="C135" s="21"/>
      <c r="D135" s="21"/>
      <c r="E135" s="21"/>
      <c r="F135" s="21"/>
      <c r="G135" s="62">
        <f>+G132+G121</f>
        <v>2813629.5082725994</v>
      </c>
    </row>
    <row r="136" spans="1:7" ht="15.75" thickTop="1"/>
  </sheetData>
  <mergeCells count="87">
    <mergeCell ref="A11:D11"/>
    <mergeCell ref="A5:D5"/>
    <mergeCell ref="A6:D6"/>
    <mergeCell ref="B7:D7"/>
    <mergeCell ref="B8:D8"/>
    <mergeCell ref="B9:D9"/>
    <mergeCell ref="A27:D27"/>
    <mergeCell ref="B12:D12"/>
    <mergeCell ref="B13:D13"/>
    <mergeCell ref="A15:D15"/>
    <mergeCell ref="B16:D16"/>
    <mergeCell ref="A19:D19"/>
    <mergeCell ref="B20:D20"/>
    <mergeCell ref="B21:D21"/>
    <mergeCell ref="B22:D22"/>
    <mergeCell ref="B23:D23"/>
    <mergeCell ref="B24:D24"/>
    <mergeCell ref="B25:D25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A76:D76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90:D90"/>
    <mergeCell ref="B77:D77"/>
    <mergeCell ref="A79:D79"/>
    <mergeCell ref="B80:D80"/>
    <mergeCell ref="B81:D81"/>
    <mergeCell ref="A83:D83"/>
    <mergeCell ref="B84:D84"/>
    <mergeCell ref="B85:D85"/>
    <mergeCell ref="B86:D86"/>
    <mergeCell ref="B87:D87"/>
    <mergeCell ref="B88:D88"/>
    <mergeCell ref="B89:D89"/>
    <mergeCell ref="B98:D98"/>
    <mergeCell ref="B99:D99"/>
    <mergeCell ref="B100:D100"/>
    <mergeCell ref="B91:D91"/>
    <mergeCell ref="B92:D92"/>
    <mergeCell ref="B93:D93"/>
    <mergeCell ref="B94:D94"/>
    <mergeCell ref="A96:D96"/>
    <mergeCell ref="B97:D9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EC696-609F-406D-8624-D3F5EDD5AC45}">
  <dimension ref="A1:L55"/>
  <sheetViews>
    <sheetView topLeftCell="A7" workbookViewId="0">
      <selection activeCell="I3" sqref="I3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4" customWidth="1"/>
    <col min="7" max="7" width="14.28515625" customWidth="1"/>
    <col min="8" max="9" width="15.7109375" customWidth="1"/>
    <col min="10" max="10" width="14.42578125" customWidth="1"/>
  </cols>
  <sheetData>
    <row r="1" spans="1:11" ht="18">
      <c r="A1" s="1" t="s">
        <v>0</v>
      </c>
      <c r="B1" s="2"/>
      <c r="C1" s="3" t="s">
        <v>1</v>
      </c>
      <c r="H1" s="5" t="s">
        <v>2</v>
      </c>
      <c r="I1" s="5"/>
    </row>
    <row r="2" spans="1:11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11" ht="18">
      <c r="A3" s="2" t="s">
        <v>248</v>
      </c>
      <c r="C3" s="20"/>
      <c r="G3" s="9" t="s">
        <v>5</v>
      </c>
      <c r="H3" s="10" t="s">
        <v>6</v>
      </c>
      <c r="I3" s="11">
        <v>44266</v>
      </c>
    </row>
    <row r="4" spans="1:11" ht="18">
      <c r="A4" s="12" t="s">
        <v>7</v>
      </c>
      <c r="C4" s="13">
        <v>44012</v>
      </c>
      <c r="D4" s="2"/>
      <c r="E4" s="2"/>
      <c r="F4" s="7"/>
      <c r="G4" s="9" t="s">
        <v>8</v>
      </c>
      <c r="H4" s="10"/>
      <c r="I4" s="11"/>
    </row>
    <row r="5" spans="1:11" ht="18">
      <c r="D5" s="2"/>
      <c r="E5" s="2"/>
      <c r="F5" s="7"/>
      <c r="G5" s="14"/>
      <c r="I5" s="15"/>
    </row>
    <row r="7" spans="1:11" s="18" customFormat="1" ht="25.5">
      <c r="A7" s="16" t="s">
        <v>9</v>
      </c>
      <c r="B7" s="130" t="s">
        <v>10</v>
      </c>
      <c r="C7" s="131"/>
      <c r="D7" s="131"/>
      <c r="E7" s="132"/>
      <c r="F7" s="17" t="s">
        <v>11</v>
      </c>
      <c r="G7" s="130" t="s">
        <v>12</v>
      </c>
      <c r="H7" s="133"/>
      <c r="I7" s="134"/>
    </row>
    <row r="9" spans="1:11">
      <c r="F9" s="24"/>
      <c r="G9" s="22"/>
      <c r="H9" s="22"/>
      <c r="I9" s="22"/>
      <c r="J9" s="22"/>
    </row>
    <row r="11" spans="1:11">
      <c r="B11" s="21" t="s">
        <v>20</v>
      </c>
      <c r="F11" s="24" t="s">
        <v>17</v>
      </c>
      <c r="G11" s="22"/>
      <c r="H11" s="22" t="s">
        <v>18</v>
      </c>
      <c r="I11" s="22"/>
      <c r="J11" s="22" t="s">
        <v>16</v>
      </c>
      <c r="K11" s="4"/>
    </row>
    <row r="12" spans="1:11">
      <c r="C12" t="s">
        <v>21</v>
      </c>
      <c r="F12" s="4">
        <v>21392</v>
      </c>
      <c r="G12" s="4"/>
      <c r="H12" s="4">
        <f>18954.35+47896.7</f>
        <v>66851.049999999988</v>
      </c>
      <c r="I12" s="4"/>
      <c r="J12" s="4">
        <f>SUM(F12:I12)</f>
        <v>88243.049999999988</v>
      </c>
      <c r="K12" s="4"/>
    </row>
    <row r="13" spans="1:11">
      <c r="C13" t="s">
        <v>22</v>
      </c>
      <c r="F13" s="4">
        <v>15384.91</v>
      </c>
      <c r="G13" s="4"/>
      <c r="H13" s="4">
        <f>40101.88+2.28</f>
        <v>40104.159999999996</v>
      </c>
      <c r="I13" s="4"/>
      <c r="J13" s="4">
        <f>SUM(F13:I13)</f>
        <v>55489.069999999992</v>
      </c>
      <c r="K13" s="4"/>
    </row>
    <row r="14" spans="1:11">
      <c r="C14" t="s">
        <v>23</v>
      </c>
      <c r="F14" s="4">
        <v>2187.16</v>
      </c>
      <c r="G14" s="4"/>
      <c r="H14" s="4">
        <v>460</v>
      </c>
      <c r="I14" s="4"/>
      <c r="J14" s="4">
        <f>SUM(F14:I14)</f>
        <v>2647.16</v>
      </c>
      <c r="K14" s="4"/>
    </row>
    <row r="15" spans="1:11">
      <c r="C15" t="s">
        <v>24</v>
      </c>
      <c r="F15" s="23">
        <v>205.44</v>
      </c>
      <c r="G15" s="4"/>
      <c r="H15" s="23">
        <v>0</v>
      </c>
      <c r="I15" s="4"/>
      <c r="J15" s="23">
        <f>SUM(F15:I15)</f>
        <v>205.44</v>
      </c>
      <c r="K15" s="4"/>
    </row>
    <row r="16" spans="1:11">
      <c r="F16" s="4">
        <f>SUM(F12:F15)</f>
        <v>39169.510000000009</v>
      </c>
      <c r="G16" s="4"/>
      <c r="H16" s="4">
        <f>SUM(H12:H15)</f>
        <v>107415.20999999999</v>
      </c>
      <c r="I16" s="4"/>
      <c r="J16" s="4">
        <f>SUM(J12:J15)</f>
        <v>146584.72</v>
      </c>
      <c r="K16" s="4"/>
    </row>
    <row r="17" spans="2:12">
      <c r="G17" s="4"/>
      <c r="H17" s="4"/>
      <c r="I17" s="4"/>
      <c r="J17" s="4"/>
      <c r="K17" s="4"/>
    </row>
    <row r="18" spans="2:12">
      <c r="G18" s="4"/>
      <c r="H18" s="4"/>
      <c r="I18" s="4"/>
      <c r="J18" s="4"/>
      <c r="K18" s="4"/>
    </row>
    <row r="19" spans="2:12">
      <c r="B19" s="21" t="s">
        <v>25</v>
      </c>
      <c r="F19" s="24" t="s">
        <v>13</v>
      </c>
      <c r="G19" s="24" t="s">
        <v>15</v>
      </c>
      <c r="H19" s="24" t="s">
        <v>14</v>
      </c>
      <c r="I19" s="24" t="s">
        <v>19</v>
      </c>
      <c r="J19" s="22" t="s">
        <v>16</v>
      </c>
      <c r="K19" s="4"/>
    </row>
    <row r="20" spans="2:12">
      <c r="C20" t="s">
        <v>26</v>
      </c>
      <c r="F20" s="4">
        <v>24385.98</v>
      </c>
      <c r="G20" s="4">
        <v>0</v>
      </c>
      <c r="H20" s="4">
        <v>6889.38</v>
      </c>
      <c r="I20" s="4">
        <v>0</v>
      </c>
      <c r="J20" s="4">
        <f t="shared" ref="J20:J22" si="0">SUM(F20:I20)</f>
        <v>31275.360000000001</v>
      </c>
      <c r="K20" s="4"/>
    </row>
    <row r="21" spans="2:12">
      <c r="C21" t="s">
        <v>27</v>
      </c>
      <c r="F21" s="4">
        <v>0</v>
      </c>
      <c r="G21" s="4">
        <v>25000</v>
      </c>
      <c r="H21" s="4">
        <v>18000</v>
      </c>
      <c r="I21" s="4">
        <v>0</v>
      </c>
      <c r="J21" s="4">
        <f t="shared" si="0"/>
        <v>43000</v>
      </c>
      <c r="K21" s="4"/>
    </row>
    <row r="22" spans="2:12">
      <c r="C22" t="s">
        <v>28</v>
      </c>
      <c r="F22" s="23">
        <v>0</v>
      </c>
      <c r="G22" s="23">
        <v>1227.7</v>
      </c>
      <c r="H22" s="23">
        <v>100000</v>
      </c>
      <c r="I22" s="23">
        <v>0</v>
      </c>
      <c r="J22" s="23">
        <f t="shared" si="0"/>
        <v>101227.7</v>
      </c>
      <c r="K22" s="4"/>
    </row>
    <row r="23" spans="2:12">
      <c r="F23" s="4">
        <f>SUM(F20:F22)</f>
        <v>24385.98</v>
      </c>
      <c r="G23" s="4">
        <f>SUM(G20:G22)</f>
        <v>26227.7</v>
      </c>
      <c r="H23" s="4">
        <f>SUM(H20:H22)</f>
        <v>124889.38</v>
      </c>
      <c r="I23" s="4">
        <f>SUM(I20:I22)</f>
        <v>0</v>
      </c>
      <c r="J23" s="4">
        <f>SUM(J20:J22)</f>
        <v>175503.06</v>
      </c>
      <c r="K23" s="4"/>
    </row>
    <row r="24" spans="2:12">
      <c r="G24" s="4"/>
      <c r="H24" s="4"/>
      <c r="I24" s="4"/>
      <c r="J24" s="4"/>
      <c r="K24" s="4"/>
    </row>
    <row r="25" spans="2:12">
      <c r="B25" s="21" t="s">
        <v>246</v>
      </c>
      <c r="G25" s="4"/>
      <c r="H25" s="4"/>
      <c r="I25" s="4"/>
      <c r="J25" s="4">
        <f>+J23+J16</f>
        <v>322087.78000000003</v>
      </c>
      <c r="K25" s="4"/>
    </row>
    <row r="26" spans="2:12">
      <c r="G26" s="4"/>
      <c r="H26" s="4"/>
      <c r="I26" s="4"/>
      <c r="J26" s="4"/>
      <c r="K26" s="4"/>
    </row>
    <row r="27" spans="2:12">
      <c r="B27" s="21" t="s">
        <v>29</v>
      </c>
      <c r="F27" s="24" t="s">
        <v>17</v>
      </c>
      <c r="G27" s="22"/>
      <c r="H27" s="22" t="s">
        <v>18</v>
      </c>
      <c r="I27" s="22"/>
      <c r="J27" s="22" t="s">
        <v>16</v>
      </c>
      <c r="K27" s="4"/>
    </row>
    <row r="28" spans="2:12">
      <c r="C28" s="118" t="s">
        <v>30</v>
      </c>
      <c r="D28" s="118"/>
      <c r="E28" s="118"/>
      <c r="F28" s="107">
        <f>+J28/2</f>
        <v>4895</v>
      </c>
      <c r="G28" s="107"/>
      <c r="H28" s="107">
        <f>+J28/2</f>
        <v>4895</v>
      </c>
      <c r="I28" s="4"/>
      <c r="J28" s="4">
        <v>9790</v>
      </c>
      <c r="K28" s="4"/>
      <c r="L28" s="111" t="s">
        <v>304</v>
      </c>
    </row>
    <row r="29" spans="2:12">
      <c r="C29" s="118" t="s">
        <v>31</v>
      </c>
      <c r="D29" s="118"/>
      <c r="E29" s="118"/>
      <c r="F29" s="107">
        <f>+J29/2</f>
        <v>110</v>
      </c>
      <c r="G29" s="107"/>
      <c r="H29" s="107">
        <f>+J29/2</f>
        <v>110</v>
      </c>
      <c r="I29" s="4"/>
      <c r="J29" s="4">
        <v>220</v>
      </c>
      <c r="K29" s="4"/>
      <c r="L29" s="111" t="s">
        <v>304</v>
      </c>
    </row>
    <row r="30" spans="2:12">
      <c r="C30" s="118" t="s">
        <v>32</v>
      </c>
      <c r="D30" s="118"/>
      <c r="E30" s="118"/>
      <c r="F30" s="107">
        <f>+J30/2</f>
        <v>129.5</v>
      </c>
      <c r="G30" s="107"/>
      <c r="H30" s="107">
        <f>+J30/2</f>
        <v>129.5</v>
      </c>
      <c r="I30" s="4"/>
      <c r="J30" s="4">
        <v>259</v>
      </c>
      <c r="K30" s="4"/>
      <c r="L30" s="111" t="s">
        <v>304</v>
      </c>
    </row>
    <row r="31" spans="2:12">
      <c r="C31" s="118" t="s">
        <v>33</v>
      </c>
      <c r="D31" s="118"/>
      <c r="E31" s="118"/>
      <c r="F31" s="107">
        <f>+J31/2</f>
        <v>880</v>
      </c>
      <c r="G31" s="107"/>
      <c r="H31" s="107">
        <f>+J31/2</f>
        <v>880</v>
      </c>
      <c r="I31" s="4"/>
      <c r="J31" s="4">
        <v>1760</v>
      </c>
      <c r="K31" s="4"/>
      <c r="L31" s="111" t="s">
        <v>304</v>
      </c>
    </row>
    <row r="32" spans="2:12">
      <c r="C32" s="118" t="s">
        <v>34</v>
      </c>
      <c r="D32" s="118"/>
      <c r="E32" s="118"/>
      <c r="F32" s="107">
        <v>120</v>
      </c>
      <c r="G32" s="107"/>
      <c r="H32" s="107">
        <v>120</v>
      </c>
      <c r="I32" s="4"/>
      <c r="J32" s="4">
        <f>SUM(F32:I32)</f>
        <v>240</v>
      </c>
      <c r="K32" s="4"/>
      <c r="L32" s="111" t="s">
        <v>305</v>
      </c>
    </row>
    <row r="33" spans="2:12">
      <c r="C33" t="s">
        <v>35</v>
      </c>
      <c r="F33" s="23">
        <v>6794.81</v>
      </c>
      <c r="G33" s="4"/>
      <c r="H33" s="23">
        <v>0</v>
      </c>
      <c r="I33" s="4"/>
      <c r="J33" s="23">
        <f>SUM(F33:I33)</f>
        <v>6794.81</v>
      </c>
      <c r="K33" s="4"/>
      <c r="L33" t="s">
        <v>36</v>
      </c>
    </row>
    <row r="34" spans="2:12">
      <c r="F34" s="4">
        <f>SUM(F28:F33)</f>
        <v>12929.310000000001</v>
      </c>
      <c r="G34" s="4"/>
      <c r="H34" s="4">
        <f>SUM(H28:H33)</f>
        <v>6134.5</v>
      </c>
      <c r="I34" s="4"/>
      <c r="J34" s="4">
        <f>SUM(J28:J33)</f>
        <v>19063.810000000001</v>
      </c>
      <c r="K34" s="4"/>
    </row>
    <row r="35" spans="2:12">
      <c r="G35" s="4"/>
      <c r="H35" s="4"/>
      <c r="I35" s="4"/>
      <c r="J35" s="4"/>
      <c r="K35" s="4"/>
    </row>
    <row r="36" spans="2:12">
      <c r="B36" s="21" t="s">
        <v>37</v>
      </c>
      <c r="F36" s="24" t="s">
        <v>13</v>
      </c>
      <c r="G36" s="24" t="s">
        <v>15</v>
      </c>
      <c r="H36" s="24" t="s">
        <v>14</v>
      </c>
      <c r="I36" s="24" t="s">
        <v>19</v>
      </c>
      <c r="J36" s="22" t="s">
        <v>16</v>
      </c>
      <c r="K36" s="4"/>
    </row>
    <row r="37" spans="2:12">
      <c r="C37" t="s">
        <v>38</v>
      </c>
      <c r="F37" s="4">
        <f>33165+12035</f>
        <v>45200</v>
      </c>
      <c r="G37" s="19">
        <v>0</v>
      </c>
      <c r="H37" s="19">
        <v>36530</v>
      </c>
      <c r="I37" s="19">
        <v>3590</v>
      </c>
      <c r="J37" s="19">
        <f t="shared" ref="J37:J38" si="1">SUM(F37:I37)</f>
        <v>85320</v>
      </c>
      <c r="K37" s="4"/>
    </row>
    <row r="38" spans="2:12">
      <c r="C38" t="s">
        <v>39</v>
      </c>
      <c r="F38" s="23">
        <v>47800</v>
      </c>
      <c r="G38" s="23">
        <v>0</v>
      </c>
      <c r="H38" s="23">
        <v>0</v>
      </c>
      <c r="I38" s="23">
        <v>0</v>
      </c>
      <c r="J38" s="23">
        <f t="shared" si="1"/>
        <v>47800</v>
      </c>
      <c r="K38" s="4"/>
    </row>
    <row r="39" spans="2:12">
      <c r="F39" s="4">
        <f>SUM(F37:F38)</f>
        <v>93000</v>
      </c>
      <c r="G39" s="4">
        <f t="shared" ref="G39:J39" si="2">SUM(G37:G38)</f>
        <v>0</v>
      </c>
      <c r="H39" s="4">
        <f t="shared" si="2"/>
        <v>36530</v>
      </c>
      <c r="I39" s="4">
        <f t="shared" si="2"/>
        <v>3590</v>
      </c>
      <c r="J39" s="4">
        <f t="shared" si="2"/>
        <v>133120</v>
      </c>
      <c r="K39" s="4"/>
    </row>
    <row r="40" spans="2:12">
      <c r="G40" s="4"/>
      <c r="H40" s="4"/>
      <c r="I40" s="4"/>
      <c r="J40" s="4"/>
      <c r="K40" s="4"/>
    </row>
    <row r="41" spans="2:12">
      <c r="B41" s="21" t="s">
        <v>40</v>
      </c>
      <c r="F41" s="24" t="s">
        <v>17</v>
      </c>
      <c r="G41" s="22"/>
      <c r="H41" s="22" t="s">
        <v>18</v>
      </c>
      <c r="I41" s="22"/>
      <c r="J41" s="22" t="s">
        <v>16</v>
      </c>
      <c r="K41" s="4"/>
    </row>
    <row r="42" spans="2:12">
      <c r="C42" t="s">
        <v>41</v>
      </c>
      <c r="F42" s="4">
        <f>+[2]Sheet1!$M$632+[2]Sheet1!$M$633</f>
        <v>-13739.579999999998</v>
      </c>
      <c r="G42" s="4"/>
      <c r="H42" s="4">
        <f>+[2]Sheet1!$M$634+[2]Sheet1!$M$635</f>
        <v>-1661.2399999999998</v>
      </c>
      <c r="I42" s="4"/>
      <c r="J42" s="4">
        <f>SUM(F42:I42)</f>
        <v>-15400.819999999998</v>
      </c>
      <c r="K42" s="4"/>
    </row>
    <row r="43" spans="2:12">
      <c r="C43" t="s">
        <v>247</v>
      </c>
      <c r="F43" s="23">
        <f>+[2]Sheet1!$G$632+[2]Sheet1!$G$633</f>
        <v>-23165.87</v>
      </c>
      <c r="G43" s="4"/>
      <c r="H43" s="23">
        <f>+[2]Sheet1!$G$634+[2]Sheet1!$G$635</f>
        <v>-129755.39999999998</v>
      </c>
      <c r="I43" s="4"/>
      <c r="J43" s="23">
        <f>SUM(F43:I43)</f>
        <v>-152921.26999999999</v>
      </c>
      <c r="K43" s="4"/>
    </row>
    <row r="44" spans="2:12">
      <c r="F44" s="4">
        <f>SUM(F42:F43)</f>
        <v>-36905.449999999997</v>
      </c>
      <c r="G44" s="4"/>
      <c r="H44" s="4">
        <f>SUM(H42:H43)</f>
        <v>-131416.63999999998</v>
      </c>
      <c r="I44" s="4"/>
      <c r="J44" s="4">
        <f>SUM(J42:J43)</f>
        <v>-168322.09</v>
      </c>
      <c r="K44" s="4"/>
    </row>
    <row r="45" spans="2:12">
      <c r="G45" s="4"/>
      <c r="H45" s="4"/>
      <c r="I45" s="4"/>
      <c r="J45" s="4"/>
      <c r="K45" s="4"/>
    </row>
    <row r="46" spans="2:12">
      <c r="B46" t="s">
        <v>42</v>
      </c>
      <c r="F46" s="4">
        <f>+F16+F23+G23-G39-F34-F39+F44</f>
        <v>-53051.569999999992</v>
      </c>
      <c r="G46" s="4"/>
      <c r="H46" s="4">
        <f>+H16+H23+I23-I39-H34-H39+H44</f>
        <v>54633.450000000012</v>
      </c>
      <c r="I46" s="4"/>
      <c r="J46" s="4">
        <f>+J25-J34-J39+J44</f>
        <v>1581.8800000000338</v>
      </c>
      <c r="K46" s="4"/>
    </row>
    <row r="47" spans="2:12">
      <c r="B47" t="s">
        <v>302</v>
      </c>
      <c r="F47" s="4">
        <f>+'Income Tax'!F53</f>
        <v>1041.4110054000009</v>
      </c>
      <c r="G47" s="4"/>
      <c r="H47" s="4">
        <f>+'Income Tax'!H53</f>
        <v>-10287.770346700001</v>
      </c>
      <c r="I47" s="4"/>
      <c r="J47" s="4">
        <f>+F47+H47</f>
        <v>-9246.3593412999999</v>
      </c>
      <c r="K47" s="4"/>
    </row>
    <row r="48" spans="2:12" ht="15.75" thickBot="1">
      <c r="B48" t="s">
        <v>303</v>
      </c>
      <c r="F48" s="120">
        <f>+F46-F47</f>
        <v>-54092.98100539999</v>
      </c>
      <c r="G48" s="4"/>
      <c r="H48" s="120">
        <f>+H46-H47</f>
        <v>64921.220346700014</v>
      </c>
      <c r="I48" s="4"/>
      <c r="J48" s="120">
        <f>+J46-J47</f>
        <v>10828.239341300034</v>
      </c>
      <c r="K48" s="4"/>
    </row>
    <row r="49" spans="7:11" ht="15.75" thickTop="1">
      <c r="G49" s="4"/>
      <c r="H49" s="4"/>
      <c r="I49" s="4"/>
      <c r="J49" s="4"/>
      <c r="K49" s="4"/>
    </row>
    <row r="50" spans="7:11">
      <c r="G50" s="4"/>
      <c r="H50" s="4"/>
      <c r="I50" s="4"/>
      <c r="J50" s="4"/>
      <c r="K50" s="4"/>
    </row>
    <row r="51" spans="7:11">
      <c r="G51" s="4"/>
      <c r="H51" s="4"/>
      <c r="I51" s="4"/>
      <c r="J51" s="4"/>
      <c r="K51" s="4"/>
    </row>
    <row r="52" spans="7:11">
      <c r="G52" s="4"/>
      <c r="H52" s="4"/>
      <c r="I52" s="4"/>
      <c r="J52" s="4"/>
      <c r="K52" s="4"/>
    </row>
    <row r="53" spans="7:11">
      <c r="G53" s="4"/>
      <c r="H53" s="4"/>
      <c r="I53" s="4"/>
      <c r="J53" s="4"/>
      <c r="K53" s="4"/>
    </row>
    <row r="54" spans="7:11">
      <c r="G54" s="4"/>
      <c r="H54" s="4"/>
      <c r="I54" s="4"/>
      <c r="J54" s="4"/>
      <c r="K54" s="4"/>
    </row>
    <row r="55" spans="7:11">
      <c r="G55" s="4"/>
      <c r="H55" s="4"/>
      <c r="I55" s="4"/>
      <c r="J55" s="4"/>
      <c r="K55" s="4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4B3AA-F2C3-4FEE-AC7B-FEC6F4C69216}">
  <dimension ref="A1:T56"/>
  <sheetViews>
    <sheetView workbookViewId="0">
      <selection activeCell="I3" sqref="I3"/>
    </sheetView>
  </sheetViews>
  <sheetFormatPr defaultRowHeight="15"/>
  <cols>
    <col min="1" max="1" width="11.85546875" style="31" customWidth="1"/>
    <col min="2" max="2" width="3" style="31" customWidth="1"/>
    <col min="3" max="3" width="19.7109375" style="31" customWidth="1"/>
    <col min="4" max="5" width="14.7109375" style="31" customWidth="1"/>
    <col min="6" max="6" width="15.5703125" style="4" customWidth="1"/>
    <col min="7" max="7" width="14.28515625" style="31" customWidth="1"/>
    <col min="8" max="9" width="15.7109375" style="31" customWidth="1"/>
    <col min="10" max="10" width="14.42578125" style="31" customWidth="1"/>
    <col min="11" max="11" width="12.5703125" style="31" bestFit="1" customWidth="1"/>
    <col min="12" max="12" width="9.140625" style="31"/>
    <col min="13" max="13" width="10.5703125" style="31" bestFit="1" customWidth="1"/>
    <col min="14" max="16" width="9.140625" style="31"/>
    <col min="17" max="17" width="14.85546875" style="31" customWidth="1"/>
    <col min="18" max="18" width="13.28515625" style="31" bestFit="1" customWidth="1"/>
    <col min="19" max="20" width="11.5703125" style="31" bestFit="1" customWidth="1"/>
    <col min="21" max="16384" width="9.140625" style="31"/>
  </cols>
  <sheetData>
    <row r="1" spans="1:13" ht="18">
      <c r="A1" s="1" t="s">
        <v>0</v>
      </c>
      <c r="B1" s="2"/>
      <c r="C1" s="3" t="s">
        <v>1</v>
      </c>
      <c r="H1" s="5" t="s">
        <v>2</v>
      </c>
      <c r="I1" s="5"/>
    </row>
    <row r="2" spans="1:13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13" ht="18">
      <c r="A3" s="2" t="s">
        <v>250</v>
      </c>
      <c r="C3" s="20"/>
      <c r="G3" s="9" t="s">
        <v>5</v>
      </c>
      <c r="H3" s="10" t="s">
        <v>6</v>
      </c>
      <c r="I3" s="11">
        <v>44266</v>
      </c>
    </row>
    <row r="4" spans="1:13" ht="18">
      <c r="A4" s="12" t="s">
        <v>7</v>
      </c>
      <c r="C4" s="13">
        <v>44012</v>
      </c>
      <c r="D4" s="2"/>
      <c r="E4" s="2"/>
      <c r="F4" s="7"/>
      <c r="G4" s="9" t="s">
        <v>8</v>
      </c>
      <c r="H4" s="10"/>
      <c r="I4" s="11"/>
    </row>
    <row r="5" spans="1:13" ht="18">
      <c r="D5" s="2"/>
      <c r="E5" s="2"/>
      <c r="F5" s="7"/>
      <c r="G5" s="14"/>
      <c r="I5" s="15"/>
    </row>
    <row r="7" spans="1:13" s="18" customFormat="1" ht="25.5">
      <c r="A7" s="16" t="s">
        <v>9</v>
      </c>
      <c r="B7" s="130" t="s">
        <v>10</v>
      </c>
      <c r="C7" s="131"/>
      <c r="D7" s="131"/>
      <c r="E7" s="132"/>
      <c r="F7" s="17" t="s">
        <v>11</v>
      </c>
      <c r="G7" s="130" t="s">
        <v>12</v>
      </c>
      <c r="H7" s="133"/>
      <c r="I7" s="134"/>
    </row>
    <row r="9" spans="1:13">
      <c r="B9" s="31" t="s">
        <v>291</v>
      </c>
      <c r="F9" s="112">
        <v>0.94681000000000004</v>
      </c>
      <c r="G9" s="22"/>
      <c r="H9" s="22"/>
      <c r="I9" s="22"/>
      <c r="J9" s="22"/>
    </row>
    <row r="10" spans="1:13" s="111" customFormat="1">
      <c r="B10" s="111" t="s">
        <v>299</v>
      </c>
      <c r="F10" s="112">
        <v>0.44514999999999999</v>
      </c>
      <c r="G10" s="22"/>
      <c r="H10" s="22"/>
      <c r="I10" s="22"/>
      <c r="J10" s="22"/>
    </row>
    <row r="12" spans="1:13">
      <c r="B12" s="21" t="s">
        <v>20</v>
      </c>
      <c r="F12" s="24" t="s">
        <v>17</v>
      </c>
      <c r="G12" s="22"/>
      <c r="H12" s="22" t="s">
        <v>18</v>
      </c>
      <c r="I12" s="22"/>
      <c r="J12" s="22" t="s">
        <v>16</v>
      </c>
      <c r="K12" s="113" t="s">
        <v>292</v>
      </c>
    </row>
    <row r="13" spans="1:13" s="66" customFormat="1">
      <c r="B13" s="21"/>
      <c r="C13" s="66" t="s">
        <v>252</v>
      </c>
      <c r="F13" s="63">
        <f>+[3]Sheet1!$O$182</f>
        <v>12251.920000000002</v>
      </c>
      <c r="G13" s="22"/>
      <c r="H13" s="114">
        <f>+[3]Sheet1!$P$182</f>
        <v>32152.54</v>
      </c>
      <c r="I13" s="22"/>
      <c r="J13" s="4">
        <f>SUM(F13:I13)</f>
        <v>44404.460000000006</v>
      </c>
      <c r="K13" s="107">
        <v>44404</v>
      </c>
      <c r="M13" s="115"/>
    </row>
    <row r="14" spans="1:13">
      <c r="C14" s="31" t="s">
        <v>23</v>
      </c>
      <c r="F14" s="4">
        <v>2187.16</v>
      </c>
      <c r="G14" s="4"/>
      <c r="H14" s="4">
        <v>460</v>
      </c>
      <c r="I14" s="4"/>
      <c r="J14" s="4">
        <f>SUM(F14:I14)</f>
        <v>2647.16</v>
      </c>
      <c r="K14" s="4">
        <v>2647</v>
      </c>
    </row>
    <row r="15" spans="1:13" s="66" customFormat="1">
      <c r="C15" s="66" t="s">
        <v>278</v>
      </c>
      <c r="F15" s="4">
        <f>+[4]Sheet1!$J$156</f>
        <v>10270.619999999999</v>
      </c>
      <c r="G15" s="4"/>
      <c r="H15" s="4">
        <f>+[4]Sheet1!$J$158+[4]Sheet1!$J$159</f>
        <v>4606.75</v>
      </c>
      <c r="I15" s="4"/>
      <c r="J15" s="4">
        <f>SUM(F15:I15)</f>
        <v>14877.369999999999</v>
      </c>
      <c r="K15" s="107">
        <v>14877</v>
      </c>
    </row>
    <row r="16" spans="1:13">
      <c r="C16" s="31" t="s">
        <v>279</v>
      </c>
      <c r="F16" s="4">
        <f>+[4]Sheet1!$E$131</f>
        <v>1977.7</v>
      </c>
      <c r="G16" s="4"/>
      <c r="H16" s="4">
        <f>+[4]Sheet1!$E$133</f>
        <v>6987.9599999999991</v>
      </c>
      <c r="I16" s="4"/>
      <c r="J16" s="4">
        <f t="shared" ref="J16:J21" si="0">SUM(F16:I16)</f>
        <v>8965.66</v>
      </c>
      <c r="K16" s="4">
        <v>8965</v>
      </c>
    </row>
    <row r="17" spans="2:20" s="66" customFormat="1">
      <c r="C17" s="66" t="s">
        <v>280</v>
      </c>
      <c r="F17" s="4">
        <f>+[4]Sheet1!$D$131</f>
        <v>13407.210000000001</v>
      </c>
      <c r="G17" s="4"/>
      <c r="H17" s="4">
        <f>+[4]Sheet1!$D$133</f>
        <v>32607.719999999998</v>
      </c>
      <c r="I17" s="4"/>
      <c r="J17" s="4">
        <f t="shared" si="0"/>
        <v>46014.93</v>
      </c>
      <c r="K17" s="4">
        <v>46014</v>
      </c>
    </row>
    <row r="18" spans="2:20" s="66" customFormat="1">
      <c r="C18" s="31" t="s">
        <v>251</v>
      </c>
      <c r="D18" s="31"/>
      <c r="E18" s="31"/>
      <c r="F18" s="19">
        <f>+[4]Sheet1!$G$131</f>
        <v>5745.95</v>
      </c>
      <c r="G18" s="4"/>
      <c r="H18" s="19">
        <f>+[4]Sheet1!$G$133</f>
        <v>13974.75</v>
      </c>
      <c r="I18" s="4"/>
      <c r="J18" s="19">
        <f>SUM(F18:I18)</f>
        <v>19720.7</v>
      </c>
      <c r="K18" s="4">
        <v>19720</v>
      </c>
    </row>
    <row r="19" spans="2:20">
      <c r="C19" s="31" t="s">
        <v>281</v>
      </c>
      <c r="F19" s="19">
        <f>+[4]Sheet1!$J$149</f>
        <v>6383.68</v>
      </c>
      <c r="G19" s="19"/>
      <c r="H19" s="19">
        <f>+[4]Sheet1!$J$151+[4]Sheet1!$J$152</f>
        <v>12514.74</v>
      </c>
      <c r="I19" s="19"/>
      <c r="J19" s="19">
        <f t="shared" si="0"/>
        <v>18898.419999999998</v>
      </c>
      <c r="K19" s="4">
        <v>18898</v>
      </c>
    </row>
    <row r="20" spans="2:20">
      <c r="C20" s="66" t="s">
        <v>24</v>
      </c>
      <c r="D20" s="66"/>
      <c r="E20" s="66"/>
      <c r="F20" s="19">
        <v>205.44</v>
      </c>
      <c r="G20" s="19"/>
      <c r="H20" s="19">
        <v>0</v>
      </c>
      <c r="I20" s="19"/>
      <c r="J20" s="19">
        <f t="shared" si="0"/>
        <v>205.44</v>
      </c>
      <c r="K20" s="4">
        <v>205</v>
      </c>
    </row>
    <row r="21" spans="2:20" s="95" customFormat="1">
      <c r="C21" s="95" t="s">
        <v>293</v>
      </c>
      <c r="F21" s="23">
        <v>-2</v>
      </c>
      <c r="G21" s="19"/>
      <c r="H21" s="23">
        <v>-2</v>
      </c>
      <c r="I21" s="4"/>
      <c r="J21" s="23">
        <f t="shared" si="0"/>
        <v>-4</v>
      </c>
      <c r="K21" s="4"/>
    </row>
    <row r="22" spans="2:20">
      <c r="F22" s="4">
        <f>SUM(F13:F21)</f>
        <v>52427.68</v>
      </c>
      <c r="G22" s="4"/>
      <c r="H22" s="4">
        <f>SUM(H13:H21)</f>
        <v>103302.46</v>
      </c>
      <c r="I22" s="4"/>
      <c r="J22" s="4">
        <f>SUM(J13:J21)</f>
        <v>155730.14000000001</v>
      </c>
      <c r="K22" s="4"/>
    </row>
    <row r="23" spans="2:20">
      <c r="G23" s="4"/>
      <c r="H23" s="4"/>
      <c r="I23" s="4"/>
      <c r="J23" s="4"/>
      <c r="K23" s="4"/>
      <c r="Q23" s="31" t="s">
        <v>294</v>
      </c>
    </row>
    <row r="24" spans="2:20">
      <c r="B24" s="21" t="s">
        <v>25</v>
      </c>
      <c r="F24" s="24" t="s">
        <v>13</v>
      </c>
      <c r="G24" s="24" t="s">
        <v>15</v>
      </c>
      <c r="H24" s="24" t="s">
        <v>14</v>
      </c>
      <c r="I24" s="24" t="s">
        <v>19</v>
      </c>
      <c r="J24" s="22" t="s">
        <v>16</v>
      </c>
      <c r="K24" s="4"/>
      <c r="R24" s="24" t="s">
        <v>17</v>
      </c>
      <c r="S24" s="22" t="s">
        <v>18</v>
      </c>
      <c r="T24" s="22" t="s">
        <v>16</v>
      </c>
    </row>
    <row r="25" spans="2:20">
      <c r="C25" s="31" t="s">
        <v>26</v>
      </c>
      <c r="F25" s="4">
        <v>24385.98</v>
      </c>
      <c r="G25" s="4">
        <v>0</v>
      </c>
      <c r="H25" s="4">
        <v>6889.38</v>
      </c>
      <c r="I25" s="4">
        <v>0</v>
      </c>
      <c r="J25" s="4">
        <f t="shared" ref="J25:J26" si="1">SUM(F25:I25)</f>
        <v>31275.360000000001</v>
      </c>
      <c r="K25" s="4">
        <v>31275</v>
      </c>
      <c r="Q25" s="31" t="s">
        <v>295</v>
      </c>
      <c r="R25" s="116">
        <f>+'Member Accounts'!V72+'Member Accounts'!W72</f>
        <v>0.11600125495871784</v>
      </c>
      <c r="S25" s="116">
        <f>+'Member Accounts'!R72</f>
        <v>6.463023981184454E-3</v>
      </c>
    </row>
    <row r="26" spans="2:20">
      <c r="C26" s="31" t="s">
        <v>27</v>
      </c>
      <c r="F26" s="23">
        <v>0</v>
      </c>
      <c r="G26" s="23">
        <v>25000</v>
      </c>
      <c r="H26" s="23">
        <v>18000</v>
      </c>
      <c r="I26" s="23">
        <v>0</v>
      </c>
      <c r="J26" s="23">
        <f t="shared" si="1"/>
        <v>43000</v>
      </c>
      <c r="K26" s="4">
        <v>43000</v>
      </c>
      <c r="Q26" s="31" t="s">
        <v>296</v>
      </c>
      <c r="R26" s="117">
        <f>+F22</f>
        <v>52427.68</v>
      </c>
      <c r="S26" s="117">
        <f>+H22</f>
        <v>103302.46</v>
      </c>
      <c r="T26" s="54">
        <f>SUM(R26:S26)</f>
        <v>155730.14000000001</v>
      </c>
    </row>
    <row r="27" spans="2:20">
      <c r="F27" s="4">
        <f>SUM(F25:F26)</f>
        <v>24385.98</v>
      </c>
      <c r="G27" s="4">
        <f>SUM(G25:G26)</f>
        <v>25000</v>
      </c>
      <c r="H27" s="4">
        <f>SUM(H25:H26)</f>
        <v>24889.38</v>
      </c>
      <c r="I27" s="4">
        <f>SUM(I25:I26)</f>
        <v>0</v>
      </c>
      <c r="J27" s="4">
        <f>SUM(J25:J26)</f>
        <v>74275.360000000001</v>
      </c>
      <c r="K27" s="4"/>
      <c r="Q27" s="31" t="s">
        <v>297</v>
      </c>
      <c r="R27" s="117">
        <f>+R26*(100%-R25)</f>
        <v>46346.003325425932</v>
      </c>
      <c r="S27" s="117">
        <f>+S26*(100%-S25)</f>
        <v>102634.81372370466</v>
      </c>
      <c r="T27" s="54">
        <f>SUM(R27:S27)</f>
        <v>148980.81704913059</v>
      </c>
    </row>
    <row r="28" spans="2:20">
      <c r="G28" s="4"/>
      <c r="H28" s="4"/>
      <c r="I28" s="4"/>
      <c r="J28" s="4"/>
      <c r="K28" s="4"/>
    </row>
    <row r="29" spans="2:20">
      <c r="B29" s="21" t="s">
        <v>246</v>
      </c>
      <c r="F29" s="4">
        <f>+F22+F27+G27</f>
        <v>101813.66</v>
      </c>
      <c r="G29" s="4"/>
      <c r="H29" s="4">
        <f>+H22+H27+I27</f>
        <v>128191.84000000001</v>
      </c>
      <c r="I29" s="4"/>
      <c r="J29" s="4">
        <f>+J27+J22</f>
        <v>230005.5</v>
      </c>
      <c r="K29" s="4">
        <f>SUM(K13:K26)</f>
        <v>230005</v>
      </c>
    </row>
    <row r="30" spans="2:20">
      <c r="B30" s="21" t="s">
        <v>284</v>
      </c>
      <c r="F30" s="23">
        <f>+F22*F9</f>
        <v>49639.051700800002</v>
      </c>
      <c r="G30" s="4"/>
      <c r="H30" s="23">
        <f>+H22*F9</f>
        <v>97807.802152600008</v>
      </c>
      <c r="I30" s="4"/>
      <c r="J30" s="23">
        <f>+J22*F9</f>
        <v>147446.85385340001</v>
      </c>
      <c r="K30" s="107">
        <v>147447</v>
      </c>
    </row>
    <row r="31" spans="2:20" s="66" customFormat="1">
      <c r="B31" s="21" t="s">
        <v>290</v>
      </c>
      <c r="F31" s="4">
        <f>+F29-F30</f>
        <v>52174.608299200001</v>
      </c>
      <c r="G31" s="4"/>
      <c r="H31" s="4">
        <f>+H29-H30</f>
        <v>30384.037847400003</v>
      </c>
      <c r="I31" s="4"/>
      <c r="J31" s="4">
        <f>+J29-J30</f>
        <v>82558.646146599989</v>
      </c>
      <c r="K31" s="4">
        <f>+K29-K30</f>
        <v>82558</v>
      </c>
    </row>
    <row r="32" spans="2:20" s="66" customFormat="1">
      <c r="F32" s="4"/>
      <c r="G32" s="4"/>
      <c r="H32" s="4"/>
      <c r="I32" s="4"/>
      <c r="J32" s="4"/>
      <c r="K32" s="4"/>
    </row>
    <row r="33" spans="2:12">
      <c r="B33" s="21" t="s">
        <v>29</v>
      </c>
      <c r="F33" s="24" t="s">
        <v>17</v>
      </c>
      <c r="G33" s="22"/>
      <c r="H33" s="22" t="s">
        <v>18</v>
      </c>
      <c r="I33" s="22"/>
      <c r="J33" s="22" t="s">
        <v>16</v>
      </c>
      <c r="K33" s="4"/>
    </row>
    <row r="34" spans="2:12">
      <c r="C34" s="118" t="s">
        <v>30</v>
      </c>
      <c r="D34" s="118"/>
      <c r="E34" s="118"/>
      <c r="F34" s="107">
        <f>+'Op Stmt'!F28</f>
        <v>4895</v>
      </c>
      <c r="G34" s="107"/>
      <c r="H34" s="107">
        <f>+'Op Stmt'!H28</f>
        <v>4895</v>
      </c>
      <c r="I34" s="4"/>
      <c r="J34" s="4">
        <f t="shared" ref="J34:J40" si="2">+F34+H34</f>
        <v>9790</v>
      </c>
      <c r="K34" s="4">
        <v>9790</v>
      </c>
      <c r="L34" s="95" t="s">
        <v>304</v>
      </c>
    </row>
    <row r="35" spans="2:12">
      <c r="C35" s="118" t="s">
        <v>31</v>
      </c>
      <c r="D35" s="118"/>
      <c r="E35" s="118"/>
      <c r="F35" s="107">
        <f>+'Op Stmt'!F29</f>
        <v>110</v>
      </c>
      <c r="G35" s="107"/>
      <c r="H35" s="107">
        <f>+'Op Stmt'!H29</f>
        <v>110</v>
      </c>
      <c r="I35" s="4"/>
      <c r="J35" s="4">
        <f t="shared" si="2"/>
        <v>220</v>
      </c>
      <c r="K35" s="4">
        <v>220</v>
      </c>
      <c r="L35" s="111" t="s">
        <v>304</v>
      </c>
    </row>
    <row r="36" spans="2:12">
      <c r="C36" s="118" t="s">
        <v>32</v>
      </c>
      <c r="D36" s="118"/>
      <c r="E36" s="118"/>
      <c r="F36" s="107">
        <f>+'Op Stmt'!F30</f>
        <v>129.5</v>
      </c>
      <c r="G36" s="107"/>
      <c r="H36" s="107">
        <f>+'Op Stmt'!H30</f>
        <v>129.5</v>
      </c>
      <c r="I36" s="4"/>
      <c r="J36" s="4">
        <f t="shared" si="2"/>
        <v>259</v>
      </c>
      <c r="K36" s="4">
        <v>259</v>
      </c>
      <c r="L36" s="111" t="s">
        <v>304</v>
      </c>
    </row>
    <row r="37" spans="2:12">
      <c r="C37" s="118" t="s">
        <v>33</v>
      </c>
      <c r="D37" s="118"/>
      <c r="E37" s="118"/>
      <c r="F37" s="107">
        <f>+'Op Stmt'!F31</f>
        <v>880</v>
      </c>
      <c r="G37" s="107"/>
      <c r="H37" s="107">
        <f>+'Op Stmt'!H31</f>
        <v>880</v>
      </c>
      <c r="I37" s="4"/>
      <c r="J37" s="4">
        <f t="shared" si="2"/>
        <v>1760</v>
      </c>
      <c r="K37" s="4">
        <v>1760</v>
      </c>
      <c r="L37" s="111" t="s">
        <v>304</v>
      </c>
    </row>
    <row r="38" spans="2:12">
      <c r="C38" s="118" t="s">
        <v>34</v>
      </c>
      <c r="D38" s="118"/>
      <c r="E38" s="118"/>
      <c r="F38" s="107">
        <f>+'Op Stmt'!F32</f>
        <v>120</v>
      </c>
      <c r="G38" s="107"/>
      <c r="H38" s="107">
        <f>+'Op Stmt'!H32</f>
        <v>120</v>
      </c>
      <c r="I38" s="4"/>
      <c r="J38" s="4">
        <f t="shared" si="2"/>
        <v>240</v>
      </c>
      <c r="K38" s="4">
        <v>240</v>
      </c>
      <c r="L38" s="95" t="s">
        <v>305</v>
      </c>
    </row>
    <row r="39" spans="2:12">
      <c r="C39" s="31" t="s">
        <v>35</v>
      </c>
      <c r="F39" s="19">
        <f>+'Op Stmt'!F33</f>
        <v>6794.81</v>
      </c>
      <c r="G39" s="19"/>
      <c r="H39" s="19">
        <f>+'Op Stmt'!H33</f>
        <v>0</v>
      </c>
      <c r="I39" s="19"/>
      <c r="J39" s="4">
        <f t="shared" si="2"/>
        <v>6794.81</v>
      </c>
      <c r="K39" s="4">
        <v>6794</v>
      </c>
      <c r="L39" s="31" t="s">
        <v>36</v>
      </c>
    </row>
    <row r="40" spans="2:12" s="111" customFormat="1">
      <c r="C40" s="118" t="s">
        <v>298</v>
      </c>
      <c r="F40" s="23">
        <v>-1</v>
      </c>
      <c r="G40" s="4"/>
      <c r="H40" s="23">
        <v>-1</v>
      </c>
      <c r="I40" s="4"/>
      <c r="J40" s="23">
        <f t="shared" si="2"/>
        <v>-2</v>
      </c>
      <c r="K40" s="4"/>
    </row>
    <row r="41" spans="2:12">
      <c r="F41" s="4">
        <f>SUM(F34:F40)</f>
        <v>12928.310000000001</v>
      </c>
      <c r="G41" s="4"/>
      <c r="H41" s="4">
        <f>SUM(H34:H40)</f>
        <v>6133.5</v>
      </c>
      <c r="I41" s="4"/>
      <c r="J41" s="4">
        <f>SUM(J34:J40)</f>
        <v>19061.810000000001</v>
      </c>
      <c r="K41" s="4">
        <v>19061</v>
      </c>
    </row>
    <row r="42" spans="2:12">
      <c r="G42" s="4"/>
      <c r="H42" s="4"/>
      <c r="I42" s="4"/>
      <c r="J42" s="4"/>
      <c r="K42" s="4"/>
    </row>
    <row r="43" spans="2:12" s="66" customFormat="1">
      <c r="B43" s="21" t="s">
        <v>285</v>
      </c>
      <c r="F43" s="23">
        <f>((SUM(F34:F35)+SUM(F37:F38))*0.44515)+(F39*F9)</f>
        <v>9106.519806100001</v>
      </c>
      <c r="G43" s="4"/>
      <c r="H43" s="23">
        <f>((SUM(H34:H35)+SUM(H37:H38))*0.44515)+(H39*H9)</f>
        <v>2673.1257500000002</v>
      </c>
      <c r="I43" s="4"/>
      <c r="J43" s="23">
        <f>+F43+H43</f>
        <v>11779.6455561</v>
      </c>
      <c r="K43" s="4">
        <v>11778</v>
      </c>
    </row>
    <row r="44" spans="2:12" s="66" customFormat="1">
      <c r="B44" s="21" t="s">
        <v>29</v>
      </c>
      <c r="F44" s="4">
        <f>+F41-F43</f>
        <v>3821.7901939000003</v>
      </c>
      <c r="G44" s="4"/>
      <c r="H44" s="4">
        <f>+H41-H43</f>
        <v>3460.3742499999998</v>
      </c>
      <c r="I44" s="4"/>
      <c r="J44" s="4">
        <f>+J41-J43</f>
        <v>7282.1644439000011</v>
      </c>
      <c r="K44" s="4">
        <f>+K41-K43</f>
        <v>7283</v>
      </c>
    </row>
    <row r="45" spans="2:12" s="66" customFormat="1">
      <c r="F45" s="4"/>
      <c r="G45" s="4"/>
      <c r="H45" s="4"/>
      <c r="I45" s="4"/>
      <c r="J45" s="4"/>
      <c r="K45" s="4"/>
    </row>
    <row r="46" spans="2:12">
      <c r="B46" s="21" t="s">
        <v>253</v>
      </c>
      <c r="F46" s="4">
        <f>+F31-F44</f>
        <v>48352.818105300001</v>
      </c>
      <c r="G46" s="4"/>
      <c r="H46" s="4">
        <f>+H31-H44</f>
        <v>26923.663597400002</v>
      </c>
      <c r="I46" s="4"/>
      <c r="J46" s="4">
        <f>+J31-J44</f>
        <v>75276.481702699995</v>
      </c>
      <c r="K46" s="4">
        <v>75275</v>
      </c>
    </row>
    <row r="47" spans="2:12">
      <c r="B47" s="21" t="s">
        <v>287</v>
      </c>
      <c r="F47" s="4">
        <v>48352</v>
      </c>
      <c r="G47" s="4"/>
      <c r="H47" s="4">
        <v>26923</v>
      </c>
      <c r="I47" s="4"/>
      <c r="J47" s="4">
        <f>+F47+H47</f>
        <v>75275</v>
      </c>
      <c r="K47" s="4"/>
    </row>
    <row r="48" spans="2:12" s="66" customFormat="1">
      <c r="F48" s="4"/>
      <c r="G48" s="4"/>
      <c r="H48" s="4"/>
      <c r="I48" s="4"/>
      <c r="J48" s="4"/>
      <c r="K48" s="4"/>
    </row>
    <row r="49" spans="2:11">
      <c r="B49" s="110" t="s">
        <v>286</v>
      </c>
      <c r="F49" s="4">
        <f>+F47*0.15</f>
        <v>7252.8</v>
      </c>
      <c r="G49" s="4"/>
      <c r="H49" s="4">
        <f>+H47*0.15</f>
        <v>4038.45</v>
      </c>
      <c r="I49" s="4"/>
      <c r="J49" s="4">
        <f t="shared" ref="J49:J54" si="3">+F49+H49</f>
        <v>11291.25</v>
      </c>
      <c r="K49" s="4"/>
    </row>
    <row r="50" spans="2:11">
      <c r="B50" s="110" t="s">
        <v>288</v>
      </c>
      <c r="F50" s="4">
        <f>+[4]Sheet1!$G$131+[4]Sheet1!$G$124</f>
        <v>6190.6799999999994</v>
      </c>
      <c r="G50" s="4"/>
      <c r="H50" s="4">
        <f>+[4]Sheet1!$G$133+[4]Sheet1!$G$126+[4]Sheet1!$G$127</f>
        <v>14296.81</v>
      </c>
      <c r="I50" s="4"/>
      <c r="J50" s="4">
        <f t="shared" si="3"/>
        <v>20487.489999999998</v>
      </c>
      <c r="K50" s="4"/>
    </row>
    <row r="51" spans="2:11">
      <c r="B51" s="110" t="s">
        <v>289</v>
      </c>
      <c r="F51" s="4">
        <f>+[4]Sheet1!$I$124</f>
        <v>389.34</v>
      </c>
      <c r="G51" s="4"/>
      <c r="H51" s="4">
        <f>+[4]Sheet1!$I$126+[4]Sheet1!$I$133</f>
        <v>552.93000000000006</v>
      </c>
      <c r="I51" s="4"/>
      <c r="J51" s="4">
        <f t="shared" si="3"/>
        <v>942.27</v>
      </c>
      <c r="K51" s="4"/>
    </row>
    <row r="52" spans="2:11">
      <c r="B52" s="110" t="s">
        <v>300</v>
      </c>
      <c r="F52" s="23">
        <f>+F51*F9</f>
        <v>368.63100539999999</v>
      </c>
      <c r="G52" s="4"/>
      <c r="H52" s="23">
        <f>+H51*F9</f>
        <v>523.51965330000007</v>
      </c>
      <c r="I52" s="4"/>
      <c r="J52" s="23">
        <f t="shared" si="3"/>
        <v>892.15065870000012</v>
      </c>
      <c r="K52" s="4"/>
    </row>
    <row r="53" spans="2:11" s="111" customFormat="1">
      <c r="B53" s="110"/>
      <c r="F53" s="4">
        <f>+F49-F50-F51+F52</f>
        <v>1041.4110054000009</v>
      </c>
      <c r="G53" s="4"/>
      <c r="H53" s="4">
        <f>+H49-H50-H51+H52</f>
        <v>-10287.770346700001</v>
      </c>
      <c r="I53" s="4"/>
      <c r="J53" s="4">
        <f t="shared" si="3"/>
        <v>-9246.3593412999999</v>
      </c>
      <c r="K53" s="4"/>
    </row>
    <row r="54" spans="2:11">
      <c r="B54" s="110" t="s">
        <v>301</v>
      </c>
      <c r="F54" s="23">
        <v>129.5</v>
      </c>
      <c r="G54" s="4"/>
      <c r="H54" s="23">
        <v>129.5</v>
      </c>
      <c r="I54" s="4"/>
      <c r="J54" s="23">
        <f t="shared" si="3"/>
        <v>259</v>
      </c>
      <c r="K54" s="4"/>
    </row>
    <row r="55" spans="2:11">
      <c r="B55" s="111" t="s">
        <v>313</v>
      </c>
      <c r="F55" s="115">
        <f>+F53+F54</f>
        <v>1170.9110054000009</v>
      </c>
      <c r="G55" s="4"/>
      <c r="H55" s="115">
        <f>+H53+H54</f>
        <v>-10158.270346700001</v>
      </c>
      <c r="I55" s="4"/>
      <c r="J55" s="4">
        <f>+J53+J54</f>
        <v>-8987.3593412999999</v>
      </c>
      <c r="K55" s="4">
        <v>-8987.36</v>
      </c>
    </row>
    <row r="56" spans="2:11">
      <c r="G56" s="4"/>
      <c r="H56" s="4"/>
      <c r="I56" s="4"/>
      <c r="J56" s="4"/>
      <c r="K56" s="4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6C223-854F-4B17-96F4-DADB86A8EAE9}">
  <dimension ref="A1:AA87"/>
  <sheetViews>
    <sheetView topLeftCell="C13" zoomScaleNormal="100" workbookViewId="0">
      <selection activeCell="J3" sqref="J3"/>
    </sheetView>
  </sheetViews>
  <sheetFormatPr defaultRowHeight="15"/>
  <cols>
    <col min="1" max="1" width="11.85546875" style="31" customWidth="1"/>
    <col min="2" max="2" width="3" style="31" customWidth="1"/>
    <col min="3" max="3" width="27.5703125" style="31" customWidth="1"/>
    <col min="4" max="6" width="14.7109375" style="31" customWidth="1"/>
    <col min="7" max="7" width="15.5703125" style="4" customWidth="1"/>
    <col min="8" max="8" width="14.28515625" style="31" customWidth="1"/>
    <col min="9" max="10" width="15.7109375" style="31" customWidth="1"/>
    <col min="11" max="12" width="14.42578125" style="31" customWidth="1"/>
    <col min="13" max="13" width="14.28515625" style="31" bestFit="1" customWidth="1"/>
    <col min="14" max="15" width="9.140625" style="31"/>
    <col min="16" max="16" width="10.7109375" style="31" bestFit="1" customWidth="1"/>
    <col min="17" max="17" width="9.140625" style="31"/>
    <col min="18" max="18" width="14.5703125" style="31" customWidth="1"/>
    <col min="19" max="20" width="13.85546875" style="31" bestFit="1" customWidth="1"/>
    <col min="21" max="21" width="13.28515625" style="31" bestFit="1" customWidth="1"/>
    <col min="22" max="22" width="11.5703125" style="31" bestFit="1" customWidth="1"/>
    <col min="23" max="23" width="10.85546875" style="31" bestFit="1" customWidth="1"/>
    <col min="24" max="26" width="13.7109375" style="31" bestFit="1" customWidth="1"/>
    <col min="27" max="16384" width="9.140625" style="31"/>
  </cols>
  <sheetData>
    <row r="1" spans="1:26" ht="18">
      <c r="A1" s="1" t="s">
        <v>0</v>
      </c>
      <c r="B1" s="2"/>
      <c r="C1" s="3" t="s">
        <v>1</v>
      </c>
      <c r="I1" s="5" t="s">
        <v>2</v>
      </c>
      <c r="J1" s="5"/>
    </row>
    <row r="2" spans="1:26" ht="18">
      <c r="A2" s="6"/>
      <c r="B2" s="2"/>
      <c r="C2" s="2"/>
      <c r="D2" s="2"/>
      <c r="E2" s="2"/>
      <c r="F2" s="2"/>
      <c r="G2" s="7"/>
      <c r="I2" s="8" t="s">
        <v>3</v>
      </c>
      <c r="J2" s="8" t="s">
        <v>4</v>
      </c>
    </row>
    <row r="3" spans="1:26" ht="18">
      <c r="A3" s="2" t="s">
        <v>254</v>
      </c>
      <c r="C3" s="20"/>
      <c r="H3" s="9" t="s">
        <v>5</v>
      </c>
      <c r="I3" s="10" t="s">
        <v>6</v>
      </c>
      <c r="J3" s="11">
        <v>44266</v>
      </c>
    </row>
    <row r="4" spans="1:26" ht="18">
      <c r="A4" s="12" t="s">
        <v>7</v>
      </c>
      <c r="C4" s="13">
        <v>44012</v>
      </c>
      <c r="D4" s="2"/>
      <c r="E4" s="2"/>
      <c r="F4" s="2"/>
      <c r="G4" s="7"/>
      <c r="H4" s="9" t="s">
        <v>8</v>
      </c>
      <c r="I4" s="10"/>
      <c r="J4" s="11"/>
    </row>
    <row r="5" spans="1:26" ht="18">
      <c r="D5" s="2"/>
      <c r="E5" s="2"/>
      <c r="F5" s="2"/>
      <c r="G5" s="7"/>
      <c r="H5" s="14"/>
      <c r="J5" s="15"/>
    </row>
    <row r="7" spans="1:26" s="18" customFormat="1" ht="25.5">
      <c r="A7" s="16" t="s">
        <v>9</v>
      </c>
      <c r="B7" s="130" t="s">
        <v>10</v>
      </c>
      <c r="C7" s="131"/>
      <c r="D7" s="131"/>
      <c r="E7" s="132"/>
      <c r="F7" s="25"/>
      <c r="G7" s="17" t="s">
        <v>11</v>
      </c>
      <c r="H7" s="130" t="s">
        <v>12</v>
      </c>
      <c r="I7" s="133"/>
      <c r="J7" s="134"/>
    </row>
    <row r="9" spans="1:26">
      <c r="G9" s="24"/>
      <c r="H9" s="22"/>
      <c r="I9" s="22"/>
      <c r="J9" s="22"/>
      <c r="K9" s="22"/>
      <c r="L9" s="22"/>
      <c r="R9" s="21" t="s">
        <v>275</v>
      </c>
    </row>
    <row r="10" spans="1:26">
      <c r="D10" s="79" t="s">
        <v>255</v>
      </c>
      <c r="E10" s="79" t="s">
        <v>266</v>
      </c>
      <c r="F10" s="79" t="s">
        <v>265</v>
      </c>
      <c r="G10" s="79" t="s">
        <v>256</v>
      </c>
      <c r="H10" s="72" t="s">
        <v>257</v>
      </c>
      <c r="I10" s="72" t="s">
        <v>258</v>
      </c>
      <c r="J10" s="72" t="s">
        <v>260</v>
      </c>
      <c r="K10" s="72" t="s">
        <v>261</v>
      </c>
      <c r="L10" s="72" t="s">
        <v>267</v>
      </c>
      <c r="M10" s="22" t="s">
        <v>262</v>
      </c>
      <c r="P10" s="31" t="s">
        <v>270</v>
      </c>
      <c r="R10" s="89" t="s">
        <v>255</v>
      </c>
      <c r="S10" s="79" t="s">
        <v>266</v>
      </c>
      <c r="T10" s="79" t="s">
        <v>265</v>
      </c>
      <c r="U10" s="79" t="s">
        <v>256</v>
      </c>
      <c r="V10" s="72" t="s">
        <v>257</v>
      </c>
      <c r="W10" s="72" t="s">
        <v>258</v>
      </c>
      <c r="X10" s="72" t="s">
        <v>260</v>
      </c>
      <c r="Y10" s="72" t="s">
        <v>261</v>
      </c>
      <c r="Z10" s="72" t="s">
        <v>267</v>
      </c>
    </row>
    <row r="11" spans="1:26">
      <c r="A11" s="69">
        <v>43646</v>
      </c>
      <c r="D11" s="89"/>
      <c r="E11" s="79"/>
      <c r="F11" s="79"/>
      <c r="G11" s="79"/>
      <c r="H11" s="72"/>
      <c r="I11" s="72"/>
      <c r="J11" s="72"/>
      <c r="K11" s="72"/>
      <c r="L11" s="72"/>
      <c r="M11" s="21"/>
      <c r="R11" s="59"/>
      <c r="S11" s="59"/>
      <c r="T11" s="59"/>
      <c r="U11" s="59"/>
      <c r="V11" s="48"/>
      <c r="W11" s="48"/>
      <c r="X11" s="48"/>
      <c r="Y11" s="48"/>
      <c r="Z11" s="48"/>
    </row>
    <row r="12" spans="1:26" s="67" customFormat="1">
      <c r="A12" s="69">
        <v>43647</v>
      </c>
      <c r="B12" s="68"/>
      <c r="C12" s="67" t="s">
        <v>259</v>
      </c>
      <c r="D12" s="82">
        <v>133223.15</v>
      </c>
      <c r="E12" s="80">
        <v>1328132.1399999999</v>
      </c>
      <c r="F12" s="80">
        <v>0</v>
      </c>
      <c r="G12" s="80">
        <v>143577.35999999999</v>
      </c>
      <c r="H12" s="74">
        <v>127641.02</v>
      </c>
      <c r="I12" s="74">
        <v>38343.089999999997</v>
      </c>
      <c r="J12" s="74">
        <v>278479.83</v>
      </c>
      <c r="K12" s="74">
        <v>778988.15</v>
      </c>
      <c r="L12" s="74">
        <v>0</v>
      </c>
      <c r="M12" s="71">
        <f>SUM(D12:L12)</f>
        <v>2828384.74</v>
      </c>
      <c r="R12" s="85"/>
      <c r="S12" s="85"/>
      <c r="T12" s="85"/>
      <c r="U12" s="85"/>
      <c r="V12" s="77"/>
      <c r="W12" s="77"/>
      <c r="X12" s="77"/>
      <c r="Y12" s="77"/>
      <c r="Z12" s="77"/>
    </row>
    <row r="13" spans="1:26" s="67" customFormat="1">
      <c r="A13" s="70">
        <v>43647</v>
      </c>
      <c r="C13" s="67" t="s">
        <v>263</v>
      </c>
      <c r="D13" s="81">
        <f>-E13</f>
        <v>1328132.1399999999</v>
      </c>
      <c r="E13" s="81">
        <f>-E12</f>
        <v>-1328132.1399999999</v>
      </c>
      <c r="F13" s="81"/>
      <c r="G13" s="81"/>
      <c r="H13" s="75"/>
      <c r="I13" s="75">
        <f>-J13</f>
        <v>278479.83</v>
      </c>
      <c r="J13" s="75">
        <f>-J12</f>
        <v>-278479.83</v>
      </c>
      <c r="K13" s="75"/>
      <c r="L13" s="75"/>
      <c r="M13" s="71">
        <f>SUM(D13:L13)</f>
        <v>0</v>
      </c>
      <c r="R13" s="85"/>
      <c r="S13" s="85"/>
      <c r="T13" s="85"/>
      <c r="U13" s="85"/>
      <c r="V13" s="77"/>
      <c r="W13" s="77"/>
      <c r="X13" s="77"/>
      <c r="Y13" s="77"/>
      <c r="Z13" s="77"/>
    </row>
    <row r="14" spans="1:26" s="67" customFormat="1">
      <c r="A14" s="70">
        <v>43647</v>
      </c>
      <c r="C14" s="67" t="s">
        <v>264</v>
      </c>
      <c r="D14" s="87">
        <f>-D12-D13</f>
        <v>-1461355.2899999998</v>
      </c>
      <c r="E14" s="87"/>
      <c r="F14" s="87">
        <f>-D14</f>
        <v>1461355.2899999998</v>
      </c>
      <c r="G14" s="87"/>
      <c r="H14" s="86"/>
      <c r="I14" s="86">
        <f>-I12-I13</f>
        <v>-316822.92000000004</v>
      </c>
      <c r="J14" s="86"/>
      <c r="K14" s="86"/>
      <c r="L14" s="86">
        <f>-I14</f>
        <v>316822.92000000004</v>
      </c>
      <c r="M14" s="88">
        <f>SUM(D14:L14)</f>
        <v>0</v>
      </c>
      <c r="R14" s="85"/>
      <c r="S14" s="85"/>
      <c r="T14" s="85"/>
      <c r="U14" s="85"/>
      <c r="V14" s="77"/>
      <c r="W14" s="77"/>
      <c r="X14" s="77"/>
      <c r="Y14" s="77"/>
      <c r="Z14" s="77"/>
    </row>
    <row r="15" spans="1:26" s="67" customFormat="1">
      <c r="A15" s="70"/>
      <c r="D15" s="81">
        <f t="shared" ref="D15:L15" si="0">SUM(D12:D14)</f>
        <v>0</v>
      </c>
      <c r="E15" s="81">
        <f t="shared" si="0"/>
        <v>0</v>
      </c>
      <c r="F15" s="81">
        <f t="shared" si="0"/>
        <v>1461355.2899999998</v>
      </c>
      <c r="G15" s="81">
        <f t="shared" si="0"/>
        <v>143577.35999999999</v>
      </c>
      <c r="H15" s="75">
        <f t="shared" si="0"/>
        <v>127641.02</v>
      </c>
      <c r="I15" s="75">
        <f t="shared" si="0"/>
        <v>0</v>
      </c>
      <c r="J15" s="75">
        <f t="shared" si="0"/>
        <v>0</v>
      </c>
      <c r="K15" s="75">
        <f t="shared" si="0"/>
        <v>778988.15</v>
      </c>
      <c r="L15" s="75">
        <f t="shared" si="0"/>
        <v>316822.92000000004</v>
      </c>
      <c r="M15" s="71">
        <f>SUM(D15:L15)</f>
        <v>2828384.7399999998</v>
      </c>
      <c r="P15" s="92"/>
      <c r="R15" s="81">
        <f>+D15</f>
        <v>0</v>
      </c>
      <c r="S15" s="81">
        <f t="shared" ref="S15:Z15" si="1">+E15</f>
        <v>0</v>
      </c>
      <c r="T15" s="81">
        <f t="shared" si="1"/>
        <v>1461355.2899999998</v>
      </c>
      <c r="U15" s="81">
        <f t="shared" si="1"/>
        <v>143577.35999999999</v>
      </c>
      <c r="V15" s="75">
        <f t="shared" si="1"/>
        <v>127641.02</v>
      </c>
      <c r="W15" s="75">
        <f t="shared" si="1"/>
        <v>0</v>
      </c>
      <c r="X15" s="75">
        <f t="shared" si="1"/>
        <v>0</v>
      </c>
      <c r="Y15" s="75">
        <f t="shared" si="1"/>
        <v>778988.15</v>
      </c>
      <c r="Z15" s="75">
        <f t="shared" si="1"/>
        <v>316822.92000000004</v>
      </c>
    </row>
    <row r="16" spans="1:26" s="67" customFormat="1">
      <c r="A16" s="70">
        <v>43650</v>
      </c>
      <c r="C16" s="67" t="s">
        <v>273</v>
      </c>
      <c r="D16" s="81"/>
      <c r="E16" s="81"/>
      <c r="F16" s="81"/>
      <c r="G16" s="81"/>
      <c r="H16" s="75"/>
      <c r="I16" s="75">
        <v>1850.22</v>
      </c>
      <c r="J16" s="75"/>
      <c r="K16" s="75"/>
      <c r="L16" s="75"/>
      <c r="M16" s="71"/>
      <c r="P16" s="92">
        <f t="shared" ref="P16:P47" si="2">+($A$72-A16)+1</f>
        <v>363</v>
      </c>
      <c r="R16" s="81">
        <f t="shared" ref="R16:R60" si="3">+D16*($P16/365)</f>
        <v>0</v>
      </c>
      <c r="S16" s="81">
        <f t="shared" ref="S16:S60" si="4">+E16*($P16/365)</f>
        <v>0</v>
      </c>
      <c r="T16" s="81">
        <f t="shared" ref="T16:T60" si="5">+F16*($P16/365)</f>
        <v>0</v>
      </c>
      <c r="U16" s="81">
        <f t="shared" ref="U16:U60" si="6">+G16*($P16/365)</f>
        <v>0</v>
      </c>
      <c r="V16" s="75">
        <f t="shared" ref="V16:V60" si="7">+H16*($P16/365)</f>
        <v>0</v>
      </c>
      <c r="W16" s="75">
        <f t="shared" ref="W16:W60" si="8">+I16*($P16/365)</f>
        <v>1840.0818082191781</v>
      </c>
      <c r="X16" s="75">
        <f t="shared" ref="X16:X60" si="9">+J16*($P16/365)</f>
        <v>0</v>
      </c>
      <c r="Y16" s="75">
        <f t="shared" ref="Y16:Y60" si="10">+K16*($P16/365)</f>
        <v>0</v>
      </c>
      <c r="Z16" s="75">
        <f t="shared" ref="Z16:Z60" si="11">+L16*($P16/365)</f>
        <v>0</v>
      </c>
    </row>
    <row r="17" spans="1:26" s="67" customFormat="1">
      <c r="A17" s="70">
        <v>43650</v>
      </c>
      <c r="C17" s="91" t="s">
        <v>274</v>
      </c>
      <c r="D17" s="81">
        <f>-D16*0.15</f>
        <v>0</v>
      </c>
      <c r="E17" s="81"/>
      <c r="F17" s="81"/>
      <c r="G17" s="81"/>
      <c r="H17" s="75"/>
      <c r="I17" s="75">
        <f>-I16*0.15</f>
        <v>-277.53300000000002</v>
      </c>
      <c r="J17" s="75"/>
      <c r="K17" s="75"/>
      <c r="L17" s="75"/>
      <c r="M17" s="71"/>
      <c r="P17" s="92">
        <f t="shared" si="2"/>
        <v>363</v>
      </c>
      <c r="R17" s="81">
        <f t="shared" ref="R17" si="12">+D17*($P17/365)</f>
        <v>0</v>
      </c>
      <c r="S17" s="81">
        <f t="shared" ref="S17" si="13">+E17*($P17/365)</f>
        <v>0</v>
      </c>
      <c r="T17" s="81">
        <f t="shared" ref="T17" si="14">+F17*($P17/365)</f>
        <v>0</v>
      </c>
      <c r="U17" s="81">
        <f t="shared" ref="U17" si="15">+G17*($P17/365)</f>
        <v>0</v>
      </c>
      <c r="V17" s="75">
        <f t="shared" ref="V17" si="16">+H17*($P17/365)</f>
        <v>0</v>
      </c>
      <c r="W17" s="75">
        <f t="shared" ref="W17" si="17">+I17*($P17/365)</f>
        <v>-276.01227123287674</v>
      </c>
      <c r="X17" s="75">
        <f t="shared" ref="X17" si="18">+J17*($P17/365)</f>
        <v>0</v>
      </c>
      <c r="Y17" s="75">
        <f t="shared" ref="Y17" si="19">+K17*($P17/365)</f>
        <v>0</v>
      </c>
      <c r="Z17" s="75">
        <f t="shared" ref="Z17" si="20">+L17*($P17/365)</f>
        <v>0</v>
      </c>
    </row>
    <row r="18" spans="1:26" s="67" customFormat="1">
      <c r="A18" s="70">
        <v>43661</v>
      </c>
      <c r="C18" s="91" t="s">
        <v>268</v>
      </c>
      <c r="D18" s="81"/>
      <c r="E18" s="81"/>
      <c r="F18" s="81"/>
      <c r="G18" s="81"/>
      <c r="H18" s="75"/>
      <c r="I18" s="75"/>
      <c r="J18" s="75"/>
      <c r="K18" s="75">
        <v>-2840</v>
      </c>
      <c r="L18" s="75">
        <v>-1160</v>
      </c>
      <c r="M18" s="71"/>
      <c r="P18" s="92">
        <f t="shared" si="2"/>
        <v>352</v>
      </c>
      <c r="R18" s="81">
        <f t="shared" si="3"/>
        <v>0</v>
      </c>
      <c r="S18" s="81">
        <f t="shared" si="4"/>
        <v>0</v>
      </c>
      <c r="T18" s="81">
        <f t="shared" si="5"/>
        <v>0</v>
      </c>
      <c r="U18" s="81">
        <f t="shared" si="6"/>
        <v>0</v>
      </c>
      <c r="V18" s="75">
        <f t="shared" si="7"/>
        <v>0</v>
      </c>
      <c r="W18" s="75">
        <f t="shared" si="8"/>
        <v>0</v>
      </c>
      <c r="X18" s="75">
        <f t="shared" si="9"/>
        <v>0</v>
      </c>
      <c r="Y18" s="75">
        <f t="shared" si="10"/>
        <v>-2738.8493150684931</v>
      </c>
      <c r="Z18" s="75">
        <f t="shared" si="11"/>
        <v>-1118.6849315068494</v>
      </c>
    </row>
    <row r="19" spans="1:26" s="67" customFormat="1">
      <c r="A19" s="70">
        <v>43665</v>
      </c>
      <c r="C19" s="91" t="s">
        <v>268</v>
      </c>
      <c r="D19" s="81"/>
      <c r="E19" s="81"/>
      <c r="F19" s="81"/>
      <c r="G19" s="81"/>
      <c r="H19" s="75"/>
      <c r="I19" s="75"/>
      <c r="J19" s="75"/>
      <c r="K19" s="75">
        <v>-3000</v>
      </c>
      <c r="L19" s="75"/>
      <c r="M19" s="71"/>
      <c r="P19" s="92">
        <f t="shared" si="2"/>
        <v>348</v>
      </c>
      <c r="R19" s="81">
        <f t="shared" si="3"/>
        <v>0</v>
      </c>
      <c r="S19" s="81">
        <f t="shared" si="4"/>
        <v>0</v>
      </c>
      <c r="T19" s="81">
        <f t="shared" si="5"/>
        <v>0</v>
      </c>
      <c r="U19" s="81">
        <f t="shared" si="6"/>
        <v>0</v>
      </c>
      <c r="V19" s="75">
        <f t="shared" si="7"/>
        <v>0</v>
      </c>
      <c r="W19" s="75">
        <f t="shared" si="8"/>
        <v>0</v>
      </c>
      <c r="X19" s="75">
        <f t="shared" si="9"/>
        <v>0</v>
      </c>
      <c r="Y19" s="75">
        <f t="shared" si="10"/>
        <v>-2860.2739726027398</v>
      </c>
      <c r="Z19" s="75">
        <f t="shared" si="11"/>
        <v>0</v>
      </c>
    </row>
    <row r="20" spans="1:26" s="67" customFormat="1">
      <c r="A20" s="70">
        <v>43684</v>
      </c>
      <c r="C20" s="67" t="s">
        <v>273</v>
      </c>
      <c r="D20" s="81">
        <v>54.72</v>
      </c>
      <c r="E20" s="81"/>
      <c r="F20" s="81"/>
      <c r="G20" s="81"/>
      <c r="H20" s="75"/>
      <c r="I20" s="75">
        <v>2775.33</v>
      </c>
      <c r="J20" s="75"/>
      <c r="K20" s="75"/>
      <c r="L20" s="75"/>
      <c r="M20" s="71"/>
      <c r="P20" s="92">
        <f t="shared" si="2"/>
        <v>329</v>
      </c>
      <c r="R20" s="81">
        <f t="shared" si="3"/>
        <v>49.322958904109584</v>
      </c>
      <c r="S20" s="81">
        <f t="shared" si="4"/>
        <v>0</v>
      </c>
      <c r="T20" s="81">
        <f t="shared" si="5"/>
        <v>0</v>
      </c>
      <c r="U20" s="81">
        <f t="shared" si="6"/>
        <v>0</v>
      </c>
      <c r="V20" s="75">
        <f t="shared" si="7"/>
        <v>0</v>
      </c>
      <c r="W20" s="75">
        <f t="shared" si="8"/>
        <v>2501.598821917808</v>
      </c>
      <c r="X20" s="75">
        <f t="shared" si="9"/>
        <v>0</v>
      </c>
      <c r="Y20" s="75">
        <f t="shared" si="10"/>
        <v>0</v>
      </c>
      <c r="Z20" s="75">
        <f t="shared" si="11"/>
        <v>0</v>
      </c>
    </row>
    <row r="21" spans="1:26" s="67" customFormat="1">
      <c r="A21" s="70">
        <v>43684</v>
      </c>
      <c r="C21" s="91" t="s">
        <v>274</v>
      </c>
      <c r="D21" s="81">
        <f>-D20*0.15</f>
        <v>-8.2080000000000002</v>
      </c>
      <c r="E21" s="81"/>
      <c r="F21" s="81"/>
      <c r="G21" s="81"/>
      <c r="H21" s="75"/>
      <c r="I21" s="75">
        <f>-I20*0.15</f>
        <v>-416.29949999999997</v>
      </c>
      <c r="J21" s="75"/>
      <c r="K21" s="75"/>
      <c r="L21" s="75"/>
      <c r="M21" s="71"/>
      <c r="P21" s="92">
        <f t="shared" si="2"/>
        <v>329</v>
      </c>
      <c r="R21" s="81">
        <f t="shared" si="3"/>
        <v>-7.3984438356164386</v>
      </c>
      <c r="S21" s="81">
        <f t="shared" si="4"/>
        <v>0</v>
      </c>
      <c r="T21" s="81">
        <f t="shared" si="5"/>
        <v>0</v>
      </c>
      <c r="U21" s="81">
        <f t="shared" si="6"/>
        <v>0</v>
      </c>
      <c r="V21" s="75">
        <f t="shared" si="7"/>
        <v>0</v>
      </c>
      <c r="W21" s="75">
        <f t="shared" si="8"/>
        <v>-375.23982328767119</v>
      </c>
      <c r="X21" s="75">
        <f t="shared" si="9"/>
        <v>0</v>
      </c>
      <c r="Y21" s="75">
        <f t="shared" si="10"/>
        <v>0</v>
      </c>
      <c r="Z21" s="75">
        <f t="shared" si="11"/>
        <v>0</v>
      </c>
    </row>
    <row r="22" spans="1:26" s="67" customFormat="1">
      <c r="A22" s="70">
        <v>43685</v>
      </c>
      <c r="C22" s="91" t="s">
        <v>268</v>
      </c>
      <c r="D22" s="81"/>
      <c r="E22" s="81"/>
      <c r="F22" s="81"/>
      <c r="G22" s="81"/>
      <c r="H22" s="75"/>
      <c r="I22" s="75"/>
      <c r="J22" s="75"/>
      <c r="K22" s="75">
        <v>-710</v>
      </c>
      <c r="L22" s="75">
        <v>-290</v>
      </c>
      <c r="M22" s="71"/>
      <c r="P22" s="92">
        <f t="shared" si="2"/>
        <v>328</v>
      </c>
      <c r="R22" s="81">
        <f t="shared" si="3"/>
        <v>0</v>
      </c>
      <c r="S22" s="81">
        <f t="shared" si="4"/>
        <v>0</v>
      </c>
      <c r="T22" s="81">
        <f t="shared" si="5"/>
        <v>0</v>
      </c>
      <c r="U22" s="81">
        <f t="shared" si="6"/>
        <v>0</v>
      </c>
      <c r="V22" s="75">
        <f t="shared" si="7"/>
        <v>0</v>
      </c>
      <c r="W22" s="75">
        <f t="shared" si="8"/>
        <v>0</v>
      </c>
      <c r="X22" s="75">
        <f t="shared" si="9"/>
        <v>0</v>
      </c>
      <c r="Y22" s="75">
        <f t="shared" si="10"/>
        <v>-638.02739726027391</v>
      </c>
      <c r="Z22" s="75">
        <f t="shared" si="11"/>
        <v>-260.60273972602738</v>
      </c>
    </row>
    <row r="23" spans="1:26" s="67" customFormat="1">
      <c r="A23" s="70">
        <v>43692</v>
      </c>
      <c r="C23" s="91" t="s">
        <v>268</v>
      </c>
      <c r="D23" s="81"/>
      <c r="E23" s="81"/>
      <c r="F23" s="81"/>
      <c r="G23" s="81"/>
      <c r="H23" s="75"/>
      <c r="I23" s="75"/>
      <c r="J23" s="75"/>
      <c r="K23" s="75">
        <v>-2840</v>
      </c>
      <c r="L23" s="75">
        <v>-1160</v>
      </c>
      <c r="M23" s="71"/>
      <c r="P23" s="92">
        <f t="shared" si="2"/>
        <v>321</v>
      </c>
      <c r="R23" s="81">
        <f t="shared" si="3"/>
        <v>0</v>
      </c>
      <c r="S23" s="81">
        <f t="shared" si="4"/>
        <v>0</v>
      </c>
      <c r="T23" s="81">
        <f t="shared" si="5"/>
        <v>0</v>
      </c>
      <c r="U23" s="81">
        <f t="shared" si="6"/>
        <v>0</v>
      </c>
      <c r="V23" s="75">
        <f t="shared" si="7"/>
        <v>0</v>
      </c>
      <c r="W23" s="75">
        <f t="shared" si="8"/>
        <v>0</v>
      </c>
      <c r="X23" s="75">
        <f t="shared" si="9"/>
        <v>0</v>
      </c>
      <c r="Y23" s="75">
        <f t="shared" si="10"/>
        <v>-2497.6438356164385</v>
      </c>
      <c r="Z23" s="75">
        <f t="shared" si="11"/>
        <v>-1020.1643835616439</v>
      </c>
    </row>
    <row r="24" spans="1:26" s="67" customFormat="1">
      <c r="A24" s="70">
        <v>43703</v>
      </c>
      <c r="C24" s="91" t="s">
        <v>268</v>
      </c>
      <c r="D24" s="81"/>
      <c r="E24" s="81"/>
      <c r="F24" s="81"/>
      <c r="G24" s="81"/>
      <c r="H24" s="75"/>
      <c r="I24" s="75"/>
      <c r="J24" s="75"/>
      <c r="K24" s="75">
        <v>-1775</v>
      </c>
      <c r="L24" s="75">
        <v>-725</v>
      </c>
      <c r="M24" s="71"/>
      <c r="P24" s="92">
        <f t="shared" si="2"/>
        <v>310</v>
      </c>
      <c r="R24" s="81">
        <f t="shared" si="3"/>
        <v>0</v>
      </c>
      <c r="S24" s="81">
        <f t="shared" si="4"/>
        <v>0</v>
      </c>
      <c r="T24" s="81">
        <f t="shared" si="5"/>
        <v>0</v>
      </c>
      <c r="U24" s="81">
        <f t="shared" si="6"/>
        <v>0</v>
      </c>
      <c r="V24" s="75">
        <f t="shared" si="7"/>
        <v>0</v>
      </c>
      <c r="W24" s="75">
        <f t="shared" si="8"/>
        <v>0</v>
      </c>
      <c r="X24" s="75">
        <f t="shared" si="9"/>
        <v>0</v>
      </c>
      <c r="Y24" s="75">
        <f t="shared" si="10"/>
        <v>-1507.5342465753424</v>
      </c>
      <c r="Z24" s="75">
        <f t="shared" si="11"/>
        <v>-615.7534246575342</v>
      </c>
    </row>
    <row r="25" spans="1:26" s="67" customFormat="1">
      <c r="A25" s="70">
        <v>43714</v>
      </c>
      <c r="C25" s="67" t="s">
        <v>273</v>
      </c>
      <c r="D25" s="81">
        <v>2036.49</v>
      </c>
      <c r="E25" s="81"/>
      <c r="F25" s="81"/>
      <c r="G25" s="81"/>
      <c r="H25" s="75"/>
      <c r="I25" s="75">
        <v>1850.22</v>
      </c>
      <c r="J25" s="75"/>
      <c r="K25" s="75"/>
      <c r="L25" s="75"/>
      <c r="M25" s="71"/>
      <c r="P25" s="92">
        <f t="shared" si="2"/>
        <v>299</v>
      </c>
      <c r="R25" s="81">
        <f t="shared" si="3"/>
        <v>1668.2479726027398</v>
      </c>
      <c r="S25" s="81">
        <f t="shared" si="4"/>
        <v>0</v>
      </c>
      <c r="T25" s="81">
        <f t="shared" si="5"/>
        <v>0</v>
      </c>
      <c r="U25" s="81">
        <f t="shared" si="6"/>
        <v>0</v>
      </c>
      <c r="V25" s="75">
        <f t="shared" si="7"/>
        <v>0</v>
      </c>
      <c r="W25" s="75">
        <f t="shared" si="8"/>
        <v>1515.6596712328767</v>
      </c>
      <c r="X25" s="75">
        <f t="shared" si="9"/>
        <v>0</v>
      </c>
      <c r="Y25" s="75">
        <f t="shared" si="10"/>
        <v>0</v>
      </c>
      <c r="Z25" s="75">
        <f t="shared" si="11"/>
        <v>0</v>
      </c>
    </row>
    <row r="26" spans="1:26" s="67" customFormat="1">
      <c r="A26" s="70">
        <v>43714</v>
      </c>
      <c r="C26" s="91" t="s">
        <v>274</v>
      </c>
      <c r="D26" s="81">
        <f>-D25*0.15</f>
        <v>-305.4735</v>
      </c>
      <c r="E26" s="81"/>
      <c r="F26" s="81"/>
      <c r="G26" s="81"/>
      <c r="H26" s="75"/>
      <c r="I26" s="75">
        <f>-I25*0.15</f>
        <v>-277.53300000000002</v>
      </c>
      <c r="J26" s="75"/>
      <c r="K26" s="75"/>
      <c r="L26" s="75"/>
      <c r="M26" s="71"/>
      <c r="P26" s="92">
        <f t="shared" si="2"/>
        <v>299</v>
      </c>
      <c r="R26" s="81">
        <f t="shared" si="3"/>
        <v>-250.23719589041096</v>
      </c>
      <c r="S26" s="81">
        <f t="shared" si="4"/>
        <v>0</v>
      </c>
      <c r="T26" s="81">
        <f t="shared" si="5"/>
        <v>0</v>
      </c>
      <c r="U26" s="81">
        <f t="shared" si="6"/>
        <v>0</v>
      </c>
      <c r="V26" s="75">
        <f t="shared" si="7"/>
        <v>0</v>
      </c>
      <c r="W26" s="75">
        <f t="shared" si="8"/>
        <v>-227.34895068493151</v>
      </c>
      <c r="X26" s="75">
        <f t="shared" si="9"/>
        <v>0</v>
      </c>
      <c r="Y26" s="75">
        <f t="shared" si="10"/>
        <v>0</v>
      </c>
      <c r="Z26" s="75">
        <f t="shared" si="11"/>
        <v>0</v>
      </c>
    </row>
    <row r="27" spans="1:26" s="67" customFormat="1">
      <c r="A27" s="70">
        <v>43721</v>
      </c>
      <c r="C27" s="91" t="s">
        <v>268</v>
      </c>
      <c r="D27" s="81"/>
      <c r="E27" s="81"/>
      <c r="F27" s="81"/>
      <c r="G27" s="81"/>
      <c r="H27" s="75"/>
      <c r="I27" s="75"/>
      <c r="J27" s="75"/>
      <c r="K27" s="75">
        <v>-2840</v>
      </c>
      <c r="L27" s="75">
        <v>-1160</v>
      </c>
      <c r="M27" s="71"/>
      <c r="P27" s="92">
        <f t="shared" si="2"/>
        <v>292</v>
      </c>
      <c r="R27" s="81">
        <f t="shared" si="3"/>
        <v>0</v>
      </c>
      <c r="S27" s="81">
        <f t="shared" si="4"/>
        <v>0</v>
      </c>
      <c r="T27" s="81">
        <f t="shared" si="5"/>
        <v>0</v>
      </c>
      <c r="U27" s="81">
        <f t="shared" si="6"/>
        <v>0</v>
      </c>
      <c r="V27" s="75">
        <f t="shared" si="7"/>
        <v>0</v>
      </c>
      <c r="W27" s="75">
        <f t="shared" si="8"/>
        <v>0</v>
      </c>
      <c r="X27" s="75">
        <f t="shared" si="9"/>
        <v>0</v>
      </c>
      <c r="Y27" s="75">
        <f t="shared" si="10"/>
        <v>-2272</v>
      </c>
      <c r="Z27" s="75">
        <f t="shared" si="11"/>
        <v>-928</v>
      </c>
    </row>
    <row r="28" spans="1:26" s="67" customFormat="1">
      <c r="A28" s="70">
        <v>43741</v>
      </c>
      <c r="C28" s="91" t="s">
        <v>268</v>
      </c>
      <c r="D28" s="81"/>
      <c r="E28" s="81"/>
      <c r="F28" s="81"/>
      <c r="G28" s="81"/>
      <c r="H28" s="75"/>
      <c r="I28" s="75"/>
      <c r="J28" s="75"/>
      <c r="K28" s="75">
        <v>-710</v>
      </c>
      <c r="L28" s="75">
        <v>-290</v>
      </c>
      <c r="M28" s="71"/>
      <c r="P28" s="92">
        <f t="shared" si="2"/>
        <v>272</v>
      </c>
      <c r="R28" s="81">
        <f t="shared" si="3"/>
        <v>0</v>
      </c>
      <c r="S28" s="81">
        <f t="shared" si="4"/>
        <v>0</v>
      </c>
      <c r="T28" s="81">
        <f t="shared" si="5"/>
        <v>0</v>
      </c>
      <c r="U28" s="81">
        <f t="shared" si="6"/>
        <v>0</v>
      </c>
      <c r="V28" s="75">
        <f t="shared" si="7"/>
        <v>0</v>
      </c>
      <c r="W28" s="75">
        <f t="shared" si="8"/>
        <v>0</v>
      </c>
      <c r="X28" s="75">
        <f t="shared" si="9"/>
        <v>0</v>
      </c>
      <c r="Y28" s="75">
        <f t="shared" si="10"/>
        <v>-529.09589041095899</v>
      </c>
      <c r="Z28" s="75">
        <f t="shared" si="11"/>
        <v>-216.10958904109592</v>
      </c>
    </row>
    <row r="29" spans="1:26" s="67" customFormat="1">
      <c r="A29" s="70">
        <v>43742</v>
      </c>
      <c r="C29" s="67" t="s">
        <v>273</v>
      </c>
      <c r="D29" s="81">
        <v>401.78</v>
      </c>
      <c r="E29" s="81"/>
      <c r="F29" s="81"/>
      <c r="G29" s="81"/>
      <c r="H29" s="75"/>
      <c r="I29" s="75">
        <v>1850.22</v>
      </c>
      <c r="J29" s="75"/>
      <c r="K29" s="75"/>
      <c r="L29" s="75"/>
      <c r="M29" s="71"/>
      <c r="P29" s="92">
        <f t="shared" si="2"/>
        <v>271</v>
      </c>
      <c r="R29" s="81">
        <f t="shared" si="3"/>
        <v>298.30789041095886</v>
      </c>
      <c r="S29" s="81">
        <f t="shared" si="4"/>
        <v>0</v>
      </c>
      <c r="T29" s="81">
        <f t="shared" si="5"/>
        <v>0</v>
      </c>
      <c r="U29" s="81">
        <f t="shared" si="6"/>
        <v>0</v>
      </c>
      <c r="V29" s="75">
        <f t="shared" si="7"/>
        <v>0</v>
      </c>
      <c r="W29" s="75">
        <f t="shared" si="8"/>
        <v>1373.7249863013699</v>
      </c>
      <c r="X29" s="75">
        <f t="shared" si="9"/>
        <v>0</v>
      </c>
      <c r="Y29" s="75">
        <f t="shared" si="10"/>
        <v>0</v>
      </c>
      <c r="Z29" s="75">
        <f t="shared" si="11"/>
        <v>0</v>
      </c>
    </row>
    <row r="30" spans="1:26" s="67" customFormat="1">
      <c r="A30" s="70">
        <v>43742</v>
      </c>
      <c r="C30" s="91" t="s">
        <v>274</v>
      </c>
      <c r="D30" s="81">
        <f>-D29*0.15</f>
        <v>-60.266999999999996</v>
      </c>
      <c r="E30" s="81"/>
      <c r="F30" s="81"/>
      <c r="G30" s="81"/>
      <c r="H30" s="75"/>
      <c r="I30" s="75">
        <f>-I29*0.15</f>
        <v>-277.53300000000002</v>
      </c>
      <c r="J30" s="75"/>
      <c r="K30" s="75"/>
      <c r="L30" s="75"/>
      <c r="M30" s="71"/>
      <c r="P30" s="92">
        <f t="shared" si="2"/>
        <v>271</v>
      </c>
      <c r="R30" s="81">
        <f t="shared" si="3"/>
        <v>-44.746183561643832</v>
      </c>
      <c r="S30" s="81">
        <f t="shared" si="4"/>
        <v>0</v>
      </c>
      <c r="T30" s="81">
        <f t="shared" si="5"/>
        <v>0</v>
      </c>
      <c r="U30" s="81">
        <f t="shared" si="6"/>
        <v>0</v>
      </c>
      <c r="V30" s="75">
        <f t="shared" si="7"/>
        <v>0</v>
      </c>
      <c r="W30" s="75">
        <f t="shared" si="8"/>
        <v>-206.05874794520548</v>
      </c>
      <c r="X30" s="75">
        <f t="shared" si="9"/>
        <v>0</v>
      </c>
      <c r="Y30" s="75">
        <f t="shared" si="10"/>
        <v>0</v>
      </c>
      <c r="Z30" s="75">
        <f t="shared" si="11"/>
        <v>0</v>
      </c>
    </row>
    <row r="31" spans="1:26" s="67" customFormat="1">
      <c r="A31" s="70">
        <v>43753</v>
      </c>
      <c r="C31" s="91" t="s">
        <v>268</v>
      </c>
      <c r="D31" s="81"/>
      <c r="E31" s="81"/>
      <c r="F31" s="81"/>
      <c r="G31" s="81"/>
      <c r="H31" s="75"/>
      <c r="I31" s="75"/>
      <c r="J31" s="75"/>
      <c r="K31" s="75">
        <v>-2840</v>
      </c>
      <c r="L31" s="75">
        <v>-1160</v>
      </c>
      <c r="M31" s="71"/>
      <c r="P31" s="92">
        <f t="shared" si="2"/>
        <v>260</v>
      </c>
      <c r="R31" s="81">
        <f t="shared" si="3"/>
        <v>0</v>
      </c>
      <c r="S31" s="81">
        <f t="shared" si="4"/>
        <v>0</v>
      </c>
      <c r="T31" s="81">
        <f t="shared" si="5"/>
        <v>0</v>
      </c>
      <c r="U31" s="81">
        <f t="shared" si="6"/>
        <v>0</v>
      </c>
      <c r="V31" s="75">
        <f t="shared" si="7"/>
        <v>0</v>
      </c>
      <c r="W31" s="75">
        <f t="shared" si="8"/>
        <v>0</v>
      </c>
      <c r="X31" s="75">
        <f t="shared" si="9"/>
        <v>0</v>
      </c>
      <c r="Y31" s="75">
        <f t="shared" si="10"/>
        <v>-2023.0136986301368</v>
      </c>
      <c r="Z31" s="75">
        <f t="shared" si="11"/>
        <v>-826.30136986301363</v>
      </c>
    </row>
    <row r="32" spans="1:26" s="67" customFormat="1">
      <c r="A32" s="70">
        <v>43759</v>
      </c>
      <c r="C32" s="91" t="s">
        <v>268</v>
      </c>
      <c r="D32" s="81"/>
      <c r="E32" s="81"/>
      <c r="F32" s="81"/>
      <c r="G32" s="81"/>
      <c r="H32" s="75"/>
      <c r="I32" s="75"/>
      <c r="J32" s="75"/>
      <c r="K32" s="75">
        <v>-700</v>
      </c>
      <c r="L32" s="75"/>
      <c r="M32" s="71"/>
      <c r="P32" s="92">
        <f t="shared" si="2"/>
        <v>254</v>
      </c>
      <c r="R32" s="81">
        <f t="shared" si="3"/>
        <v>0</v>
      </c>
      <c r="S32" s="81">
        <f t="shared" si="4"/>
        <v>0</v>
      </c>
      <c r="T32" s="81">
        <f t="shared" si="5"/>
        <v>0</v>
      </c>
      <c r="U32" s="81">
        <f t="shared" si="6"/>
        <v>0</v>
      </c>
      <c r="V32" s="75">
        <f t="shared" si="7"/>
        <v>0</v>
      </c>
      <c r="W32" s="75">
        <f t="shared" si="8"/>
        <v>0</v>
      </c>
      <c r="X32" s="75">
        <f t="shared" si="9"/>
        <v>0</v>
      </c>
      <c r="Y32" s="75">
        <f t="shared" si="10"/>
        <v>-487.1232876712329</v>
      </c>
      <c r="Z32" s="75">
        <f t="shared" si="11"/>
        <v>0</v>
      </c>
    </row>
    <row r="33" spans="1:26" s="67" customFormat="1">
      <c r="A33" s="70">
        <v>43782</v>
      </c>
      <c r="C33" s="67" t="s">
        <v>273</v>
      </c>
      <c r="D33" s="81">
        <v>854.22</v>
      </c>
      <c r="E33" s="81"/>
      <c r="F33" s="81"/>
      <c r="G33" s="81"/>
      <c r="H33" s="75"/>
      <c r="I33" s="75">
        <v>1850.22</v>
      </c>
      <c r="J33" s="75"/>
      <c r="K33" s="75"/>
      <c r="L33" s="75"/>
      <c r="M33" s="71"/>
      <c r="P33" s="92">
        <f t="shared" si="2"/>
        <v>231</v>
      </c>
      <c r="R33" s="81">
        <f t="shared" si="3"/>
        <v>540.61594520547942</v>
      </c>
      <c r="S33" s="81">
        <f t="shared" si="4"/>
        <v>0</v>
      </c>
      <c r="T33" s="81">
        <f t="shared" si="5"/>
        <v>0</v>
      </c>
      <c r="U33" s="81">
        <f t="shared" si="6"/>
        <v>0</v>
      </c>
      <c r="V33" s="75">
        <f t="shared" si="7"/>
        <v>0</v>
      </c>
      <c r="W33" s="75">
        <f t="shared" si="8"/>
        <v>1170.9611506849315</v>
      </c>
      <c r="X33" s="75">
        <f t="shared" si="9"/>
        <v>0</v>
      </c>
      <c r="Y33" s="75">
        <f t="shared" si="10"/>
        <v>0</v>
      </c>
      <c r="Z33" s="75">
        <f t="shared" si="11"/>
        <v>0</v>
      </c>
    </row>
    <row r="34" spans="1:26" s="67" customFormat="1">
      <c r="A34" s="70">
        <v>43782</v>
      </c>
      <c r="C34" s="91" t="s">
        <v>274</v>
      </c>
      <c r="D34" s="81">
        <f>-D33*0.15</f>
        <v>-128.13300000000001</v>
      </c>
      <c r="E34" s="81"/>
      <c r="F34" s="81"/>
      <c r="G34" s="81"/>
      <c r="H34" s="75"/>
      <c r="I34" s="75">
        <f>-I33*0.15</f>
        <v>-277.53300000000002</v>
      </c>
      <c r="J34" s="75"/>
      <c r="K34" s="75"/>
      <c r="L34" s="75"/>
      <c r="M34" s="71"/>
      <c r="P34" s="92">
        <f t="shared" si="2"/>
        <v>231</v>
      </c>
      <c r="R34" s="81">
        <f t="shared" si="3"/>
        <v>-81.092391780821913</v>
      </c>
      <c r="S34" s="81">
        <f t="shared" si="4"/>
        <v>0</v>
      </c>
      <c r="T34" s="81">
        <f t="shared" si="5"/>
        <v>0</v>
      </c>
      <c r="U34" s="81">
        <f t="shared" si="6"/>
        <v>0</v>
      </c>
      <c r="V34" s="75">
        <f t="shared" si="7"/>
        <v>0</v>
      </c>
      <c r="W34" s="75">
        <f t="shared" si="8"/>
        <v>-175.64417260273973</v>
      </c>
      <c r="X34" s="75">
        <f t="shared" si="9"/>
        <v>0</v>
      </c>
      <c r="Y34" s="75">
        <f t="shared" si="10"/>
        <v>0</v>
      </c>
      <c r="Z34" s="75">
        <f t="shared" si="11"/>
        <v>0</v>
      </c>
    </row>
    <row r="35" spans="1:26" s="67" customFormat="1">
      <c r="A35" s="70">
        <v>43784</v>
      </c>
      <c r="C35" s="91" t="s">
        <v>268</v>
      </c>
      <c r="D35" s="81"/>
      <c r="E35" s="81"/>
      <c r="F35" s="81"/>
      <c r="G35" s="81"/>
      <c r="H35" s="75"/>
      <c r="I35" s="75"/>
      <c r="J35" s="75"/>
      <c r="K35" s="75">
        <v>-2840</v>
      </c>
      <c r="L35" s="75">
        <v>-1160</v>
      </c>
      <c r="M35" s="71"/>
      <c r="P35" s="92">
        <f t="shared" si="2"/>
        <v>229</v>
      </c>
      <c r="R35" s="81">
        <f t="shared" si="3"/>
        <v>0</v>
      </c>
      <c r="S35" s="81">
        <f t="shared" si="4"/>
        <v>0</v>
      </c>
      <c r="T35" s="81">
        <f t="shared" si="5"/>
        <v>0</v>
      </c>
      <c r="U35" s="81">
        <f t="shared" si="6"/>
        <v>0</v>
      </c>
      <c r="V35" s="75">
        <f t="shared" si="7"/>
        <v>0</v>
      </c>
      <c r="W35" s="75">
        <f t="shared" si="8"/>
        <v>0</v>
      </c>
      <c r="X35" s="75">
        <f t="shared" si="9"/>
        <v>0</v>
      </c>
      <c r="Y35" s="75">
        <f t="shared" si="10"/>
        <v>-1781.808219178082</v>
      </c>
      <c r="Z35" s="75">
        <f t="shared" si="11"/>
        <v>-727.78082191780823</v>
      </c>
    </row>
    <row r="36" spans="1:26" s="67" customFormat="1">
      <c r="A36" s="70">
        <v>43810</v>
      </c>
      <c r="C36" s="67" t="s">
        <v>273</v>
      </c>
      <c r="D36" s="81">
        <v>670.21</v>
      </c>
      <c r="E36" s="81"/>
      <c r="F36" s="81"/>
      <c r="G36" s="81"/>
      <c r="H36" s="75"/>
      <c r="I36" s="75">
        <v>1584.53</v>
      </c>
      <c r="J36" s="75"/>
      <c r="K36" s="75"/>
      <c r="L36" s="75"/>
      <c r="M36" s="71"/>
      <c r="P36" s="92">
        <f t="shared" si="2"/>
        <v>203</v>
      </c>
      <c r="R36" s="81">
        <f t="shared" si="3"/>
        <v>372.74693150684936</v>
      </c>
      <c r="S36" s="81">
        <f t="shared" si="4"/>
        <v>0</v>
      </c>
      <c r="T36" s="81">
        <f t="shared" si="5"/>
        <v>0</v>
      </c>
      <c r="U36" s="81">
        <f t="shared" si="6"/>
        <v>0</v>
      </c>
      <c r="V36" s="75">
        <f t="shared" si="7"/>
        <v>0</v>
      </c>
      <c r="W36" s="75">
        <f t="shared" si="8"/>
        <v>881.25915068493157</v>
      </c>
      <c r="X36" s="75">
        <f t="shared" si="9"/>
        <v>0</v>
      </c>
      <c r="Y36" s="75">
        <f t="shared" si="10"/>
        <v>0</v>
      </c>
      <c r="Z36" s="75">
        <f t="shared" si="11"/>
        <v>0</v>
      </c>
    </row>
    <row r="37" spans="1:26" s="67" customFormat="1">
      <c r="A37" s="70">
        <v>43810</v>
      </c>
      <c r="C37" s="91" t="s">
        <v>274</v>
      </c>
      <c r="D37" s="81">
        <f>-D36*0.15</f>
        <v>-100.53150000000001</v>
      </c>
      <c r="E37" s="81"/>
      <c r="F37" s="81"/>
      <c r="G37" s="81"/>
      <c r="H37" s="75"/>
      <c r="I37" s="75">
        <f>-I36*0.15</f>
        <v>-237.67949999999999</v>
      </c>
      <c r="J37" s="75"/>
      <c r="K37" s="75"/>
      <c r="L37" s="75"/>
      <c r="M37" s="71"/>
      <c r="P37" s="92">
        <f t="shared" si="2"/>
        <v>203</v>
      </c>
      <c r="R37" s="81">
        <f t="shared" si="3"/>
        <v>-55.912039726027409</v>
      </c>
      <c r="S37" s="81">
        <f t="shared" si="4"/>
        <v>0</v>
      </c>
      <c r="T37" s="81">
        <f t="shared" si="5"/>
        <v>0</v>
      </c>
      <c r="U37" s="81">
        <f t="shared" si="6"/>
        <v>0</v>
      </c>
      <c r="V37" s="75">
        <f t="shared" si="7"/>
        <v>0</v>
      </c>
      <c r="W37" s="75">
        <f t="shared" si="8"/>
        <v>-132.18887260273974</v>
      </c>
      <c r="X37" s="75">
        <f t="shared" si="9"/>
        <v>0</v>
      </c>
      <c r="Y37" s="75">
        <f t="shared" si="10"/>
        <v>0</v>
      </c>
      <c r="Z37" s="75">
        <f t="shared" si="11"/>
        <v>0</v>
      </c>
    </row>
    <row r="38" spans="1:26" s="67" customFormat="1">
      <c r="A38" s="70">
        <v>43812</v>
      </c>
      <c r="C38" s="91" t="s">
        <v>268</v>
      </c>
      <c r="D38" s="81"/>
      <c r="E38" s="81"/>
      <c r="F38" s="81"/>
      <c r="G38" s="81"/>
      <c r="H38" s="75"/>
      <c r="I38" s="75"/>
      <c r="J38" s="75"/>
      <c r="K38" s="75">
        <v>-2840</v>
      </c>
      <c r="L38" s="75">
        <v>-1160</v>
      </c>
      <c r="M38" s="71"/>
      <c r="P38" s="92">
        <f t="shared" si="2"/>
        <v>201</v>
      </c>
      <c r="R38" s="81">
        <f t="shared" si="3"/>
        <v>0</v>
      </c>
      <c r="S38" s="81">
        <f t="shared" si="4"/>
        <v>0</v>
      </c>
      <c r="T38" s="81">
        <f t="shared" si="5"/>
        <v>0</v>
      </c>
      <c r="U38" s="81">
        <f t="shared" si="6"/>
        <v>0</v>
      </c>
      <c r="V38" s="75">
        <f t="shared" si="7"/>
        <v>0</v>
      </c>
      <c r="W38" s="75">
        <f t="shared" si="8"/>
        <v>0</v>
      </c>
      <c r="X38" s="75">
        <f t="shared" si="9"/>
        <v>0</v>
      </c>
      <c r="Y38" s="75">
        <f t="shared" si="10"/>
        <v>-1563.9452054794519</v>
      </c>
      <c r="Z38" s="75">
        <f t="shared" si="11"/>
        <v>-638.79452054794513</v>
      </c>
    </row>
    <row r="39" spans="1:26" s="67" customFormat="1">
      <c r="A39" s="70">
        <v>43845</v>
      </c>
      <c r="C39" s="67" t="s">
        <v>273</v>
      </c>
      <c r="D39" s="81">
        <v>730.15</v>
      </c>
      <c r="E39" s="81"/>
      <c r="F39" s="81"/>
      <c r="G39" s="81"/>
      <c r="H39" s="75"/>
      <c r="I39" s="75">
        <v>1637.67</v>
      </c>
      <c r="J39" s="75"/>
      <c r="K39" s="75"/>
      <c r="L39" s="75"/>
      <c r="M39" s="71"/>
      <c r="P39" s="92">
        <f t="shared" si="2"/>
        <v>168</v>
      </c>
      <c r="R39" s="81">
        <f t="shared" si="3"/>
        <v>336.06904109589038</v>
      </c>
      <c r="S39" s="81">
        <f t="shared" si="4"/>
        <v>0</v>
      </c>
      <c r="T39" s="81">
        <f t="shared" si="5"/>
        <v>0</v>
      </c>
      <c r="U39" s="81">
        <f t="shared" si="6"/>
        <v>0</v>
      </c>
      <c r="V39" s="75">
        <f t="shared" si="7"/>
        <v>0</v>
      </c>
      <c r="W39" s="75">
        <f t="shared" si="8"/>
        <v>753.77687671232877</v>
      </c>
      <c r="X39" s="75">
        <f t="shared" si="9"/>
        <v>0</v>
      </c>
      <c r="Y39" s="75">
        <f t="shared" si="10"/>
        <v>0</v>
      </c>
      <c r="Z39" s="75">
        <f t="shared" si="11"/>
        <v>0</v>
      </c>
    </row>
    <row r="40" spans="1:26" s="67" customFormat="1">
      <c r="A40" s="70">
        <v>43845</v>
      </c>
      <c r="C40" s="91" t="s">
        <v>274</v>
      </c>
      <c r="D40" s="81">
        <f>-D39*0.15</f>
        <v>-109.52249999999999</v>
      </c>
      <c r="E40" s="81"/>
      <c r="F40" s="81"/>
      <c r="G40" s="81"/>
      <c r="H40" s="75"/>
      <c r="I40" s="75">
        <f>-I39*0.15</f>
        <v>-245.65049999999999</v>
      </c>
      <c r="J40" s="75"/>
      <c r="K40" s="75"/>
      <c r="L40" s="75"/>
      <c r="M40" s="71"/>
      <c r="P40" s="92">
        <f t="shared" si="2"/>
        <v>168</v>
      </c>
      <c r="R40" s="81">
        <f t="shared" si="3"/>
        <v>-50.410356164383558</v>
      </c>
      <c r="S40" s="81">
        <f t="shared" si="4"/>
        <v>0</v>
      </c>
      <c r="T40" s="81">
        <f t="shared" si="5"/>
        <v>0</v>
      </c>
      <c r="U40" s="81">
        <f t="shared" si="6"/>
        <v>0</v>
      </c>
      <c r="V40" s="75">
        <f t="shared" si="7"/>
        <v>0</v>
      </c>
      <c r="W40" s="75">
        <f t="shared" si="8"/>
        <v>-113.06653150684932</v>
      </c>
      <c r="X40" s="75">
        <f t="shared" si="9"/>
        <v>0</v>
      </c>
      <c r="Y40" s="75">
        <f t="shared" si="10"/>
        <v>0</v>
      </c>
      <c r="Z40" s="75">
        <f t="shared" si="11"/>
        <v>0</v>
      </c>
    </row>
    <row r="41" spans="1:26" s="67" customFormat="1">
      <c r="A41" s="70">
        <v>43845</v>
      </c>
      <c r="C41" s="91" t="s">
        <v>268</v>
      </c>
      <c r="D41" s="81"/>
      <c r="E41" s="81"/>
      <c r="F41" s="81"/>
      <c r="G41" s="81"/>
      <c r="H41" s="75"/>
      <c r="I41" s="75"/>
      <c r="J41" s="75"/>
      <c r="K41" s="75">
        <v>-2840</v>
      </c>
      <c r="L41" s="75">
        <v>-1160</v>
      </c>
      <c r="M41" s="71"/>
      <c r="P41" s="92">
        <f t="shared" si="2"/>
        <v>168</v>
      </c>
      <c r="R41" s="81">
        <f t="shared" si="3"/>
        <v>0</v>
      </c>
      <c r="S41" s="81">
        <f t="shared" si="4"/>
        <v>0</v>
      </c>
      <c r="T41" s="81">
        <f t="shared" si="5"/>
        <v>0</v>
      </c>
      <c r="U41" s="81">
        <f t="shared" si="6"/>
        <v>0</v>
      </c>
      <c r="V41" s="75">
        <f t="shared" si="7"/>
        <v>0</v>
      </c>
      <c r="W41" s="75">
        <f t="shared" si="8"/>
        <v>0</v>
      </c>
      <c r="X41" s="75">
        <f t="shared" si="9"/>
        <v>0</v>
      </c>
      <c r="Y41" s="75">
        <f t="shared" si="10"/>
        <v>-1307.1780821917807</v>
      </c>
      <c r="Z41" s="75">
        <f t="shared" si="11"/>
        <v>-533.91780821917803</v>
      </c>
    </row>
    <row r="42" spans="1:26" s="67" customFormat="1">
      <c r="A42" s="70">
        <v>43854</v>
      </c>
      <c r="C42" s="91" t="s">
        <v>268</v>
      </c>
      <c r="D42" s="81"/>
      <c r="E42" s="81"/>
      <c r="F42" s="81"/>
      <c r="G42" s="81"/>
      <c r="H42" s="75"/>
      <c r="I42" s="75"/>
      <c r="J42" s="75"/>
      <c r="K42" s="75">
        <v>-710</v>
      </c>
      <c r="L42" s="75">
        <v>-290</v>
      </c>
      <c r="M42" s="71"/>
      <c r="P42" s="92">
        <f t="shared" si="2"/>
        <v>159</v>
      </c>
      <c r="R42" s="81">
        <f t="shared" si="3"/>
        <v>0</v>
      </c>
      <c r="S42" s="81">
        <f t="shared" si="4"/>
        <v>0</v>
      </c>
      <c r="T42" s="81">
        <f t="shared" si="5"/>
        <v>0</v>
      </c>
      <c r="U42" s="81">
        <f t="shared" si="6"/>
        <v>0</v>
      </c>
      <c r="V42" s="75">
        <f t="shared" si="7"/>
        <v>0</v>
      </c>
      <c r="W42" s="75">
        <f t="shared" si="8"/>
        <v>0</v>
      </c>
      <c r="X42" s="75">
        <f t="shared" si="9"/>
        <v>0</v>
      </c>
      <c r="Y42" s="75">
        <f t="shared" si="10"/>
        <v>-309.28767123287668</v>
      </c>
      <c r="Z42" s="75">
        <f t="shared" si="11"/>
        <v>-126.32876712328766</v>
      </c>
    </row>
    <row r="43" spans="1:26" s="67" customFormat="1">
      <c r="A43" s="70">
        <v>43871</v>
      </c>
      <c r="C43" s="91" t="s">
        <v>268</v>
      </c>
      <c r="D43" s="81"/>
      <c r="E43" s="81"/>
      <c r="F43" s="81">
        <v>-25000</v>
      </c>
      <c r="G43" s="81"/>
      <c r="H43" s="75"/>
      <c r="I43" s="75"/>
      <c r="J43" s="75"/>
      <c r="K43" s="75"/>
      <c r="L43" s="75"/>
      <c r="M43" s="71"/>
      <c r="P43" s="92">
        <f t="shared" si="2"/>
        <v>142</v>
      </c>
      <c r="R43" s="81">
        <f t="shared" si="3"/>
        <v>0</v>
      </c>
      <c r="S43" s="81">
        <f t="shared" si="4"/>
        <v>0</v>
      </c>
      <c r="T43" s="81">
        <f t="shared" si="5"/>
        <v>-9726.0273972602736</v>
      </c>
      <c r="U43" s="81">
        <f t="shared" si="6"/>
        <v>0</v>
      </c>
      <c r="V43" s="75">
        <f t="shared" si="7"/>
        <v>0</v>
      </c>
      <c r="W43" s="75">
        <f t="shared" si="8"/>
        <v>0</v>
      </c>
      <c r="X43" s="75">
        <f t="shared" si="9"/>
        <v>0</v>
      </c>
      <c r="Y43" s="75">
        <f t="shared" si="10"/>
        <v>0</v>
      </c>
      <c r="Z43" s="75">
        <f t="shared" si="11"/>
        <v>0</v>
      </c>
    </row>
    <row r="44" spans="1:26" s="67" customFormat="1">
      <c r="A44" s="70">
        <v>43874</v>
      </c>
      <c r="C44" s="67" t="s">
        <v>272</v>
      </c>
      <c r="D44" s="81"/>
      <c r="E44" s="81"/>
      <c r="F44" s="81"/>
      <c r="G44" s="81"/>
      <c r="H44" s="75">
        <v>227.7</v>
      </c>
      <c r="I44" s="75"/>
      <c r="J44" s="75"/>
      <c r="K44" s="75"/>
      <c r="L44" s="75"/>
      <c r="M44" s="71"/>
      <c r="P44" s="92">
        <f t="shared" si="2"/>
        <v>139</v>
      </c>
      <c r="R44" s="81">
        <f t="shared" si="3"/>
        <v>0</v>
      </c>
      <c r="S44" s="81">
        <f t="shared" si="4"/>
        <v>0</v>
      </c>
      <c r="T44" s="81">
        <f t="shared" si="5"/>
        <v>0</v>
      </c>
      <c r="U44" s="81">
        <f t="shared" si="6"/>
        <v>0</v>
      </c>
      <c r="V44" s="75">
        <f t="shared" si="7"/>
        <v>86.713150684931506</v>
      </c>
      <c r="W44" s="75">
        <f t="shared" si="8"/>
        <v>0</v>
      </c>
      <c r="X44" s="75">
        <f t="shared" si="9"/>
        <v>0</v>
      </c>
      <c r="Y44" s="75">
        <f t="shared" si="10"/>
        <v>0</v>
      </c>
      <c r="Z44" s="75">
        <f t="shared" si="11"/>
        <v>0</v>
      </c>
    </row>
    <row r="45" spans="1:26" s="67" customFormat="1">
      <c r="A45" s="70">
        <v>43874</v>
      </c>
      <c r="C45" s="67" t="s">
        <v>273</v>
      </c>
      <c r="D45" s="81">
        <v>740.02</v>
      </c>
      <c r="E45" s="81"/>
      <c r="F45" s="81"/>
      <c r="G45" s="81"/>
      <c r="H45" s="75"/>
      <c r="I45" s="75">
        <v>2562.79</v>
      </c>
      <c r="J45" s="75"/>
      <c r="K45" s="75"/>
      <c r="L45" s="75"/>
      <c r="M45" s="71"/>
      <c r="P45" s="92">
        <f t="shared" si="2"/>
        <v>139</v>
      </c>
      <c r="R45" s="81">
        <f t="shared" si="3"/>
        <v>281.81583561643833</v>
      </c>
      <c r="S45" s="81">
        <f t="shared" si="4"/>
        <v>0</v>
      </c>
      <c r="T45" s="81">
        <f t="shared" si="5"/>
        <v>0</v>
      </c>
      <c r="U45" s="81">
        <f t="shared" si="6"/>
        <v>0</v>
      </c>
      <c r="V45" s="75">
        <f t="shared" si="7"/>
        <v>0</v>
      </c>
      <c r="W45" s="75">
        <f t="shared" si="8"/>
        <v>975.966602739726</v>
      </c>
      <c r="X45" s="75">
        <f t="shared" si="9"/>
        <v>0</v>
      </c>
      <c r="Y45" s="75">
        <f t="shared" si="10"/>
        <v>0</v>
      </c>
      <c r="Z45" s="75">
        <f t="shared" si="11"/>
        <v>0</v>
      </c>
    </row>
    <row r="46" spans="1:26" s="67" customFormat="1">
      <c r="A46" s="70">
        <v>43874</v>
      </c>
      <c r="C46" s="91" t="s">
        <v>274</v>
      </c>
      <c r="D46" s="81">
        <f>-D45*0.15</f>
        <v>-111.003</v>
      </c>
      <c r="E46" s="81"/>
      <c r="F46" s="81"/>
      <c r="G46" s="81"/>
      <c r="H46" s="75"/>
      <c r="I46" s="75">
        <f>-I45*0.15</f>
        <v>-384.41849999999999</v>
      </c>
      <c r="J46" s="75"/>
      <c r="K46" s="75"/>
      <c r="L46" s="75"/>
      <c r="M46" s="71"/>
      <c r="P46" s="92">
        <f t="shared" si="2"/>
        <v>139</v>
      </c>
      <c r="R46" s="81">
        <f t="shared" si="3"/>
        <v>-42.27237534246575</v>
      </c>
      <c r="S46" s="81">
        <f t="shared" si="4"/>
        <v>0</v>
      </c>
      <c r="T46" s="81">
        <f t="shared" si="5"/>
        <v>0</v>
      </c>
      <c r="U46" s="81">
        <f t="shared" si="6"/>
        <v>0</v>
      </c>
      <c r="V46" s="75">
        <f t="shared" si="7"/>
        <v>0</v>
      </c>
      <c r="W46" s="75">
        <f t="shared" si="8"/>
        <v>-146.39499041095891</v>
      </c>
      <c r="X46" s="75">
        <f t="shared" si="9"/>
        <v>0</v>
      </c>
      <c r="Y46" s="75">
        <f t="shared" si="10"/>
        <v>0</v>
      </c>
      <c r="Z46" s="75">
        <f t="shared" si="11"/>
        <v>0</v>
      </c>
    </row>
    <row r="47" spans="1:26" s="67" customFormat="1">
      <c r="A47" s="70">
        <v>43875</v>
      </c>
      <c r="C47" s="91" t="s">
        <v>268</v>
      </c>
      <c r="D47" s="81"/>
      <c r="E47" s="81"/>
      <c r="F47" s="81"/>
      <c r="G47" s="81"/>
      <c r="H47" s="75"/>
      <c r="I47" s="75"/>
      <c r="J47" s="75"/>
      <c r="K47" s="75">
        <v>-2840</v>
      </c>
      <c r="L47" s="75">
        <v>-1160</v>
      </c>
      <c r="M47" s="71"/>
      <c r="P47" s="92">
        <f t="shared" si="2"/>
        <v>138</v>
      </c>
      <c r="R47" s="81">
        <f t="shared" si="3"/>
        <v>0</v>
      </c>
      <c r="S47" s="81">
        <f t="shared" si="4"/>
        <v>0</v>
      </c>
      <c r="T47" s="81">
        <f t="shared" si="5"/>
        <v>0</v>
      </c>
      <c r="U47" s="81">
        <f t="shared" si="6"/>
        <v>0</v>
      </c>
      <c r="V47" s="75">
        <f t="shared" si="7"/>
        <v>0</v>
      </c>
      <c r="W47" s="75">
        <f t="shared" si="8"/>
        <v>0</v>
      </c>
      <c r="X47" s="75">
        <f t="shared" si="9"/>
        <v>0</v>
      </c>
      <c r="Y47" s="75">
        <f t="shared" si="10"/>
        <v>-1073.7534246575342</v>
      </c>
      <c r="Z47" s="75">
        <f t="shared" si="11"/>
        <v>-438.57534246575341</v>
      </c>
    </row>
    <row r="48" spans="1:26" s="67" customFormat="1">
      <c r="A48" s="70">
        <v>43903</v>
      </c>
      <c r="C48" s="91" t="s">
        <v>268</v>
      </c>
      <c r="D48" s="81"/>
      <c r="E48" s="81"/>
      <c r="F48" s="81"/>
      <c r="G48" s="81"/>
      <c r="H48" s="75"/>
      <c r="I48" s="75"/>
      <c r="J48" s="75"/>
      <c r="K48" s="75">
        <v>-2840</v>
      </c>
      <c r="L48" s="75">
        <v>-1160</v>
      </c>
      <c r="M48" s="71"/>
      <c r="P48" s="92">
        <f t="shared" ref="P48:P68" si="21">+($A$72-A48)+1</f>
        <v>110</v>
      </c>
      <c r="R48" s="81">
        <f t="shared" si="3"/>
        <v>0</v>
      </c>
      <c r="S48" s="81">
        <f t="shared" si="4"/>
        <v>0</v>
      </c>
      <c r="T48" s="81">
        <f t="shared" si="5"/>
        <v>0</v>
      </c>
      <c r="U48" s="81">
        <f t="shared" si="6"/>
        <v>0</v>
      </c>
      <c r="V48" s="75">
        <f t="shared" si="7"/>
        <v>0</v>
      </c>
      <c r="W48" s="75">
        <f t="shared" si="8"/>
        <v>0</v>
      </c>
      <c r="X48" s="75">
        <f t="shared" si="9"/>
        <v>0</v>
      </c>
      <c r="Y48" s="75">
        <f t="shared" si="10"/>
        <v>-855.89041095890411</v>
      </c>
      <c r="Z48" s="75">
        <f t="shared" si="11"/>
        <v>-349.58904109589037</v>
      </c>
    </row>
    <row r="49" spans="1:26" s="67" customFormat="1">
      <c r="A49" s="70">
        <v>43915</v>
      </c>
      <c r="C49" s="67" t="s">
        <v>273</v>
      </c>
      <c r="D49" s="81"/>
      <c r="E49" s="81"/>
      <c r="F49" s="81"/>
      <c r="G49" s="81"/>
      <c r="H49" s="75"/>
      <c r="I49" s="75">
        <v>1850.23</v>
      </c>
      <c r="J49" s="75"/>
      <c r="K49" s="75"/>
      <c r="L49" s="75"/>
      <c r="M49" s="71"/>
      <c r="P49" s="92">
        <f t="shared" si="21"/>
        <v>98</v>
      </c>
      <c r="R49" s="81">
        <f t="shared" si="3"/>
        <v>0</v>
      </c>
      <c r="S49" s="81">
        <f t="shared" si="4"/>
        <v>0</v>
      </c>
      <c r="T49" s="81">
        <f t="shared" si="5"/>
        <v>0</v>
      </c>
      <c r="U49" s="81">
        <f t="shared" si="6"/>
        <v>0</v>
      </c>
      <c r="V49" s="75">
        <f t="shared" si="7"/>
        <v>0</v>
      </c>
      <c r="W49" s="75">
        <f t="shared" si="8"/>
        <v>496.77408219178085</v>
      </c>
      <c r="X49" s="75">
        <f t="shared" si="9"/>
        <v>0</v>
      </c>
      <c r="Y49" s="75">
        <f t="shared" si="10"/>
        <v>0</v>
      </c>
      <c r="Z49" s="75">
        <f t="shared" si="11"/>
        <v>0</v>
      </c>
    </row>
    <row r="50" spans="1:26" s="67" customFormat="1">
      <c r="A50" s="70">
        <v>43915</v>
      </c>
      <c r="C50" s="91" t="s">
        <v>274</v>
      </c>
      <c r="D50" s="81">
        <f>-D49*0.15</f>
        <v>0</v>
      </c>
      <c r="E50" s="81"/>
      <c r="F50" s="81"/>
      <c r="G50" s="81"/>
      <c r="H50" s="75"/>
      <c r="I50" s="75">
        <f>-I49*0.15</f>
        <v>-277.53449999999998</v>
      </c>
      <c r="J50" s="75"/>
      <c r="K50" s="75"/>
      <c r="L50" s="75"/>
      <c r="M50" s="71"/>
      <c r="P50" s="92">
        <f t="shared" si="21"/>
        <v>98</v>
      </c>
      <c r="R50" s="81">
        <f t="shared" si="3"/>
        <v>0</v>
      </c>
      <c r="S50" s="81">
        <f t="shared" si="4"/>
        <v>0</v>
      </c>
      <c r="T50" s="81">
        <f t="shared" si="5"/>
        <v>0</v>
      </c>
      <c r="U50" s="81">
        <f t="shared" si="6"/>
        <v>0</v>
      </c>
      <c r="V50" s="75">
        <f t="shared" si="7"/>
        <v>0</v>
      </c>
      <c r="W50" s="75">
        <f t="shared" si="8"/>
        <v>-74.516112328767122</v>
      </c>
      <c r="X50" s="75">
        <f t="shared" si="9"/>
        <v>0</v>
      </c>
      <c r="Y50" s="75">
        <f t="shared" si="10"/>
        <v>0</v>
      </c>
      <c r="Z50" s="75">
        <f t="shared" si="11"/>
        <v>0</v>
      </c>
    </row>
    <row r="51" spans="1:26" s="67" customFormat="1">
      <c r="A51" s="70">
        <v>43924</v>
      </c>
      <c r="C51" s="91" t="s">
        <v>269</v>
      </c>
      <c r="D51" s="81"/>
      <c r="E51" s="81"/>
      <c r="F51" s="81"/>
      <c r="G51" s="81"/>
      <c r="H51" s="75"/>
      <c r="I51" s="75"/>
      <c r="J51" s="75"/>
      <c r="K51" s="75"/>
      <c r="L51" s="75">
        <v>-25000</v>
      </c>
      <c r="M51" s="71"/>
      <c r="P51" s="92">
        <f t="shared" si="21"/>
        <v>89</v>
      </c>
      <c r="R51" s="81">
        <f t="shared" si="3"/>
        <v>0</v>
      </c>
      <c r="S51" s="81">
        <f t="shared" si="4"/>
        <v>0</v>
      </c>
      <c r="T51" s="81">
        <f t="shared" si="5"/>
        <v>0</v>
      </c>
      <c r="U51" s="81">
        <f t="shared" si="6"/>
        <v>0</v>
      </c>
      <c r="V51" s="75">
        <f t="shared" si="7"/>
        <v>0</v>
      </c>
      <c r="W51" s="75">
        <f t="shared" si="8"/>
        <v>0</v>
      </c>
      <c r="X51" s="75">
        <f t="shared" si="9"/>
        <v>0</v>
      </c>
      <c r="Y51" s="75">
        <f t="shared" si="10"/>
        <v>0</v>
      </c>
      <c r="Z51" s="75">
        <f t="shared" si="11"/>
        <v>-6095.8904109589039</v>
      </c>
    </row>
    <row r="52" spans="1:26" s="67" customFormat="1">
      <c r="A52" s="70">
        <v>43927</v>
      </c>
      <c r="B52" s="68"/>
      <c r="C52" s="67" t="s">
        <v>272</v>
      </c>
      <c r="D52" s="81"/>
      <c r="E52" s="81"/>
      <c r="F52" s="81"/>
      <c r="G52" s="83"/>
      <c r="H52" s="73">
        <v>1000</v>
      </c>
      <c r="I52" s="76"/>
      <c r="J52" s="76"/>
      <c r="K52" s="76"/>
      <c r="L52" s="76"/>
      <c r="M52" s="71"/>
      <c r="P52" s="92">
        <f t="shared" si="21"/>
        <v>86</v>
      </c>
      <c r="R52" s="81">
        <f t="shared" si="3"/>
        <v>0</v>
      </c>
      <c r="S52" s="81">
        <f t="shared" si="4"/>
        <v>0</v>
      </c>
      <c r="T52" s="81">
        <f t="shared" si="5"/>
        <v>0</v>
      </c>
      <c r="U52" s="81">
        <f t="shared" si="6"/>
        <v>0</v>
      </c>
      <c r="V52" s="75">
        <f t="shared" si="7"/>
        <v>235.61643835616439</v>
      </c>
      <c r="W52" s="75">
        <f t="shared" si="8"/>
        <v>0</v>
      </c>
      <c r="X52" s="75">
        <f t="shared" si="9"/>
        <v>0</v>
      </c>
      <c r="Y52" s="75">
        <f t="shared" si="10"/>
        <v>0</v>
      </c>
      <c r="Z52" s="75">
        <f t="shared" si="11"/>
        <v>0</v>
      </c>
    </row>
    <row r="53" spans="1:26" s="67" customFormat="1">
      <c r="A53" s="70">
        <v>43927</v>
      </c>
      <c r="B53" s="68"/>
      <c r="C53" s="91" t="s">
        <v>269</v>
      </c>
      <c r="D53" s="81"/>
      <c r="E53" s="81"/>
      <c r="F53" s="81"/>
      <c r="G53" s="83"/>
      <c r="H53" s="73"/>
      <c r="I53" s="76"/>
      <c r="J53" s="76"/>
      <c r="K53" s="76"/>
      <c r="L53" s="73">
        <v>-10800</v>
      </c>
      <c r="M53" s="71"/>
      <c r="P53" s="92">
        <f t="shared" si="21"/>
        <v>86</v>
      </c>
      <c r="R53" s="81">
        <f t="shared" si="3"/>
        <v>0</v>
      </c>
      <c r="S53" s="81">
        <f t="shared" si="4"/>
        <v>0</v>
      </c>
      <c r="T53" s="81">
        <f t="shared" si="5"/>
        <v>0</v>
      </c>
      <c r="U53" s="81">
        <f t="shared" si="6"/>
        <v>0</v>
      </c>
      <c r="V53" s="75">
        <f t="shared" si="7"/>
        <v>0</v>
      </c>
      <c r="W53" s="75">
        <f t="shared" si="8"/>
        <v>0</v>
      </c>
      <c r="X53" s="75">
        <f t="shared" si="9"/>
        <v>0</v>
      </c>
      <c r="Y53" s="75">
        <f t="shared" si="10"/>
        <v>0</v>
      </c>
      <c r="Z53" s="75">
        <f t="shared" si="11"/>
        <v>-2544.6575342465753</v>
      </c>
    </row>
    <row r="54" spans="1:26" s="67" customFormat="1">
      <c r="A54" s="70">
        <v>43936</v>
      </c>
      <c r="B54" s="68"/>
      <c r="C54" s="91" t="s">
        <v>269</v>
      </c>
      <c r="D54" s="81"/>
      <c r="E54" s="81"/>
      <c r="F54" s="81"/>
      <c r="G54" s="83"/>
      <c r="H54" s="73"/>
      <c r="I54" s="76"/>
      <c r="J54" s="76"/>
      <c r="K54" s="76"/>
      <c r="L54" s="73">
        <v>-4000</v>
      </c>
      <c r="M54" s="71"/>
      <c r="P54" s="92">
        <f t="shared" si="21"/>
        <v>77</v>
      </c>
      <c r="R54" s="81">
        <f t="shared" si="3"/>
        <v>0</v>
      </c>
      <c r="S54" s="81">
        <f t="shared" si="4"/>
        <v>0</v>
      </c>
      <c r="T54" s="81">
        <f t="shared" si="5"/>
        <v>0</v>
      </c>
      <c r="U54" s="81">
        <f t="shared" si="6"/>
        <v>0</v>
      </c>
      <c r="V54" s="75">
        <f t="shared" si="7"/>
        <v>0</v>
      </c>
      <c r="W54" s="75">
        <f t="shared" si="8"/>
        <v>0</v>
      </c>
      <c r="X54" s="75">
        <f t="shared" si="9"/>
        <v>0</v>
      </c>
      <c r="Y54" s="75">
        <f t="shared" si="10"/>
        <v>0</v>
      </c>
      <c r="Z54" s="75">
        <f t="shared" si="11"/>
        <v>-843.83561643835617</v>
      </c>
    </row>
    <row r="55" spans="1:26" s="67" customFormat="1">
      <c r="A55" s="70">
        <v>43943</v>
      </c>
      <c r="C55" s="67" t="s">
        <v>273</v>
      </c>
      <c r="D55" s="81">
        <v>783.83</v>
      </c>
      <c r="E55" s="81"/>
      <c r="F55" s="81"/>
      <c r="G55" s="81"/>
      <c r="H55" s="75"/>
      <c r="I55" s="75">
        <v>1850.23</v>
      </c>
      <c r="J55" s="75"/>
      <c r="K55" s="75"/>
      <c r="L55" s="75"/>
      <c r="M55" s="71"/>
      <c r="P55" s="92">
        <f t="shared" si="21"/>
        <v>70</v>
      </c>
      <c r="R55" s="81">
        <f t="shared" si="3"/>
        <v>150.3235616438356</v>
      </c>
      <c r="S55" s="81">
        <f t="shared" si="4"/>
        <v>0</v>
      </c>
      <c r="T55" s="81">
        <f t="shared" si="5"/>
        <v>0</v>
      </c>
      <c r="U55" s="81">
        <f t="shared" si="6"/>
        <v>0</v>
      </c>
      <c r="V55" s="75">
        <f t="shared" si="7"/>
        <v>0</v>
      </c>
      <c r="W55" s="75">
        <f t="shared" si="8"/>
        <v>354.8386301369863</v>
      </c>
      <c r="X55" s="75">
        <f t="shared" si="9"/>
        <v>0</v>
      </c>
      <c r="Y55" s="75">
        <f t="shared" si="10"/>
        <v>0</v>
      </c>
      <c r="Z55" s="75">
        <f t="shared" si="11"/>
        <v>0</v>
      </c>
    </row>
    <row r="56" spans="1:26" s="67" customFormat="1">
      <c r="A56" s="70">
        <v>43943</v>
      </c>
      <c r="C56" s="91" t="s">
        <v>274</v>
      </c>
      <c r="D56" s="81">
        <f>-D55*0.15</f>
        <v>-117.5745</v>
      </c>
      <c r="E56" s="81"/>
      <c r="F56" s="81"/>
      <c r="G56" s="81"/>
      <c r="H56" s="75"/>
      <c r="I56" s="75">
        <f>-I55*0.15</f>
        <v>-277.53449999999998</v>
      </c>
      <c r="J56" s="75"/>
      <c r="K56" s="75"/>
      <c r="L56" s="75"/>
      <c r="M56" s="71"/>
      <c r="P56" s="92">
        <f t="shared" si="21"/>
        <v>70</v>
      </c>
      <c r="R56" s="81">
        <f t="shared" si="3"/>
        <v>-22.54853424657534</v>
      </c>
      <c r="S56" s="81">
        <f t="shared" si="4"/>
        <v>0</v>
      </c>
      <c r="T56" s="81">
        <f t="shared" si="5"/>
        <v>0</v>
      </c>
      <c r="U56" s="81">
        <f t="shared" si="6"/>
        <v>0</v>
      </c>
      <c r="V56" s="75">
        <f t="shared" si="7"/>
        <v>0</v>
      </c>
      <c r="W56" s="75">
        <f t="shared" si="8"/>
        <v>-53.225794520547936</v>
      </c>
      <c r="X56" s="75">
        <f t="shared" si="9"/>
        <v>0</v>
      </c>
      <c r="Y56" s="75">
        <f t="shared" si="10"/>
        <v>0</v>
      </c>
      <c r="Z56" s="75">
        <f t="shared" si="11"/>
        <v>0</v>
      </c>
    </row>
    <row r="57" spans="1:26" s="67" customFormat="1">
      <c r="A57" s="70">
        <v>43966</v>
      </c>
      <c r="C57" s="91" t="s">
        <v>269</v>
      </c>
      <c r="D57" s="81"/>
      <c r="E57" s="81"/>
      <c r="F57" s="81"/>
      <c r="G57" s="81"/>
      <c r="H57" s="75"/>
      <c r="I57" s="75"/>
      <c r="J57" s="75"/>
      <c r="K57" s="75"/>
      <c r="L57" s="75">
        <v>-4000</v>
      </c>
      <c r="M57" s="71"/>
      <c r="P57" s="92">
        <f t="shared" si="21"/>
        <v>47</v>
      </c>
      <c r="R57" s="81">
        <f t="shared" si="3"/>
        <v>0</v>
      </c>
      <c r="S57" s="81">
        <f t="shared" si="4"/>
        <v>0</v>
      </c>
      <c r="T57" s="81">
        <f t="shared" si="5"/>
        <v>0</v>
      </c>
      <c r="U57" s="81">
        <f t="shared" si="6"/>
        <v>0</v>
      </c>
      <c r="V57" s="75">
        <f t="shared" si="7"/>
        <v>0</v>
      </c>
      <c r="W57" s="75">
        <f t="shared" si="8"/>
        <v>0</v>
      </c>
      <c r="X57" s="75">
        <f t="shared" si="9"/>
        <v>0</v>
      </c>
      <c r="Y57" s="75">
        <f t="shared" si="10"/>
        <v>0</v>
      </c>
      <c r="Z57" s="75">
        <f t="shared" si="11"/>
        <v>-515.06849315068496</v>
      </c>
    </row>
    <row r="58" spans="1:26" s="67" customFormat="1">
      <c r="A58" s="70">
        <v>43970</v>
      </c>
      <c r="C58" s="67" t="s">
        <v>273</v>
      </c>
      <c r="D58" s="81">
        <v>617.96</v>
      </c>
      <c r="E58" s="81"/>
      <c r="F58" s="81"/>
      <c r="G58" s="81"/>
      <c r="H58" s="75"/>
      <c r="I58" s="75">
        <v>2112.16</v>
      </c>
      <c r="J58" s="75"/>
      <c r="K58" s="75"/>
      <c r="L58" s="75"/>
      <c r="M58" s="71"/>
      <c r="P58" s="92">
        <f t="shared" si="21"/>
        <v>43</v>
      </c>
      <c r="R58" s="81">
        <f t="shared" si="3"/>
        <v>72.80076712328767</v>
      </c>
      <c r="S58" s="81">
        <f t="shared" si="4"/>
        <v>0</v>
      </c>
      <c r="T58" s="81">
        <f t="shared" si="5"/>
        <v>0</v>
      </c>
      <c r="U58" s="81">
        <f t="shared" si="6"/>
        <v>0</v>
      </c>
      <c r="V58" s="75">
        <f t="shared" si="7"/>
        <v>0</v>
      </c>
      <c r="W58" s="75">
        <f t="shared" si="8"/>
        <v>248.82980821917806</v>
      </c>
      <c r="X58" s="75">
        <f t="shared" si="9"/>
        <v>0</v>
      </c>
      <c r="Y58" s="75">
        <f t="shared" si="10"/>
        <v>0</v>
      </c>
      <c r="Z58" s="75">
        <f t="shared" si="11"/>
        <v>0</v>
      </c>
    </row>
    <row r="59" spans="1:26" s="67" customFormat="1">
      <c r="A59" s="70">
        <v>43970</v>
      </c>
      <c r="C59" s="91" t="s">
        <v>274</v>
      </c>
      <c r="D59" s="81">
        <f>-D58*0.15</f>
        <v>-92.694000000000003</v>
      </c>
      <c r="E59" s="81"/>
      <c r="F59" s="81"/>
      <c r="G59" s="81"/>
      <c r="H59" s="75"/>
      <c r="I59" s="75">
        <f>-I58*0.15</f>
        <v>-316.82399999999996</v>
      </c>
      <c r="J59" s="75"/>
      <c r="K59" s="75"/>
      <c r="L59" s="75"/>
      <c r="M59" s="71"/>
      <c r="P59" s="92">
        <f t="shared" si="21"/>
        <v>43</v>
      </c>
      <c r="R59" s="81">
        <f t="shared" si="3"/>
        <v>-10.920115068493152</v>
      </c>
      <c r="S59" s="81">
        <f t="shared" si="4"/>
        <v>0</v>
      </c>
      <c r="T59" s="81">
        <f t="shared" si="5"/>
        <v>0</v>
      </c>
      <c r="U59" s="81">
        <f t="shared" si="6"/>
        <v>0</v>
      </c>
      <c r="V59" s="75">
        <f t="shared" si="7"/>
        <v>0</v>
      </c>
      <c r="W59" s="75">
        <f t="shared" si="8"/>
        <v>-37.324471232876711</v>
      </c>
      <c r="X59" s="75">
        <f t="shared" si="9"/>
        <v>0</v>
      </c>
      <c r="Y59" s="75">
        <f t="shared" si="10"/>
        <v>0</v>
      </c>
      <c r="Z59" s="75">
        <f t="shared" si="11"/>
        <v>0</v>
      </c>
    </row>
    <row r="60" spans="1:26" s="67" customFormat="1">
      <c r="A60" s="70">
        <v>43987</v>
      </c>
      <c r="C60" s="67" t="s">
        <v>272</v>
      </c>
      <c r="D60" s="81">
        <v>100000</v>
      </c>
      <c r="E60" s="81"/>
      <c r="F60" s="81"/>
      <c r="G60" s="81"/>
      <c r="H60" s="75"/>
      <c r="I60" s="75"/>
      <c r="J60" s="75"/>
      <c r="K60" s="75"/>
      <c r="L60" s="75"/>
      <c r="M60" s="71"/>
      <c r="P60" s="92">
        <f t="shared" si="21"/>
        <v>26</v>
      </c>
      <c r="R60" s="81">
        <f t="shared" si="3"/>
        <v>7123.2876712328762</v>
      </c>
      <c r="S60" s="81">
        <f t="shared" si="4"/>
        <v>0</v>
      </c>
      <c r="T60" s="81">
        <f t="shared" si="5"/>
        <v>0</v>
      </c>
      <c r="U60" s="81">
        <f t="shared" si="6"/>
        <v>0</v>
      </c>
      <c r="V60" s="75">
        <f t="shared" si="7"/>
        <v>0</v>
      </c>
      <c r="W60" s="75">
        <f t="shared" si="8"/>
        <v>0</v>
      </c>
      <c r="X60" s="75">
        <f t="shared" si="9"/>
        <v>0</v>
      </c>
      <c r="Y60" s="75">
        <f t="shared" si="10"/>
        <v>0</v>
      </c>
      <c r="Z60" s="75">
        <f t="shared" si="11"/>
        <v>0</v>
      </c>
    </row>
    <row r="61" spans="1:26" s="67" customFormat="1">
      <c r="A61" s="70">
        <v>43987</v>
      </c>
      <c r="C61" s="91" t="s">
        <v>268</v>
      </c>
      <c r="D61" s="81"/>
      <c r="E61" s="81"/>
      <c r="F61" s="81">
        <v>-11530</v>
      </c>
      <c r="G61" s="81">
        <v>-3590</v>
      </c>
      <c r="H61" s="75"/>
      <c r="I61" s="75"/>
      <c r="J61" s="75"/>
      <c r="K61" s="75"/>
      <c r="L61" s="75"/>
      <c r="M61" s="71"/>
      <c r="P61" s="92">
        <f t="shared" si="21"/>
        <v>26</v>
      </c>
      <c r="R61" s="81">
        <f t="shared" ref="R61:Z61" si="22">+D61*($P61/365)</f>
        <v>0</v>
      </c>
      <c r="S61" s="81">
        <f t="shared" si="22"/>
        <v>0</v>
      </c>
      <c r="T61" s="81">
        <f t="shared" si="22"/>
        <v>-821.31506849315065</v>
      </c>
      <c r="U61" s="81">
        <f t="shared" si="22"/>
        <v>-255.72602739726028</v>
      </c>
      <c r="V61" s="75">
        <f t="shared" si="22"/>
        <v>0</v>
      </c>
      <c r="W61" s="75">
        <f t="shared" si="22"/>
        <v>0</v>
      </c>
      <c r="X61" s="75">
        <f t="shared" si="22"/>
        <v>0</v>
      </c>
      <c r="Y61" s="75">
        <f t="shared" si="22"/>
        <v>0</v>
      </c>
      <c r="Z61" s="75">
        <f t="shared" si="22"/>
        <v>0</v>
      </c>
    </row>
    <row r="62" spans="1:26" s="67" customFormat="1">
      <c r="A62" s="70">
        <v>43994</v>
      </c>
      <c r="C62" s="67" t="s">
        <v>273</v>
      </c>
      <c r="D62" s="81"/>
      <c r="E62" s="81"/>
      <c r="F62" s="81"/>
      <c r="G62" s="81"/>
      <c r="H62" s="75"/>
      <c r="I62" s="75">
        <v>2612.16</v>
      </c>
      <c r="J62" s="75"/>
      <c r="K62" s="75"/>
      <c r="L62" s="75"/>
      <c r="M62" s="71"/>
      <c r="P62" s="92">
        <f t="shared" si="21"/>
        <v>19</v>
      </c>
      <c r="R62" s="81">
        <f t="shared" ref="R62:R68" si="23">+D62*($P62/365)</f>
        <v>0</v>
      </c>
      <c r="S62" s="81">
        <f t="shared" ref="S62:S68" si="24">+E62*($P62/365)</f>
        <v>0</v>
      </c>
      <c r="T62" s="81">
        <f t="shared" ref="T62:T68" si="25">+F62*($P62/365)</f>
        <v>0</v>
      </c>
      <c r="U62" s="81">
        <f t="shared" ref="U62:U68" si="26">+G62*($P62/365)</f>
        <v>0</v>
      </c>
      <c r="V62" s="75">
        <f t="shared" ref="V62:V68" si="27">+H62*($P62/365)</f>
        <v>0</v>
      </c>
      <c r="W62" s="75">
        <f t="shared" ref="W62:W68" si="28">+I62*($P62/365)</f>
        <v>135.97545205479452</v>
      </c>
      <c r="X62" s="75">
        <f t="shared" ref="X62:X68" si="29">+J62*($P62/365)</f>
        <v>0</v>
      </c>
      <c r="Y62" s="75">
        <f t="shared" ref="Y62:Y68" si="30">+K62*($P62/365)</f>
        <v>0</v>
      </c>
      <c r="Z62" s="75">
        <f t="shared" ref="Z62:Z68" si="31">+L62*($P62/365)</f>
        <v>0</v>
      </c>
    </row>
    <row r="63" spans="1:26" s="67" customFormat="1">
      <c r="A63" s="70">
        <v>43994</v>
      </c>
      <c r="C63" s="91" t="s">
        <v>274</v>
      </c>
      <c r="D63" s="81">
        <f>-D62*0.15</f>
        <v>0</v>
      </c>
      <c r="E63" s="81"/>
      <c r="F63" s="81"/>
      <c r="G63" s="81"/>
      <c r="H63" s="75"/>
      <c r="I63" s="75">
        <f>-I62*0.15</f>
        <v>-391.82399999999996</v>
      </c>
      <c r="J63" s="75"/>
      <c r="K63" s="75"/>
      <c r="L63" s="75"/>
      <c r="M63" s="71"/>
      <c r="P63" s="92">
        <f t="shared" si="21"/>
        <v>19</v>
      </c>
      <c r="R63" s="81">
        <f t="shared" si="23"/>
        <v>0</v>
      </c>
      <c r="S63" s="81">
        <f t="shared" si="24"/>
        <v>0</v>
      </c>
      <c r="T63" s="81">
        <f t="shared" si="25"/>
        <v>0</v>
      </c>
      <c r="U63" s="81">
        <f t="shared" si="26"/>
        <v>0</v>
      </c>
      <c r="V63" s="75">
        <f t="shared" si="27"/>
        <v>0</v>
      </c>
      <c r="W63" s="75">
        <f t="shared" si="28"/>
        <v>-20.396317808219177</v>
      </c>
      <c r="X63" s="75">
        <f t="shared" si="29"/>
        <v>0</v>
      </c>
      <c r="Y63" s="75">
        <f t="shared" si="30"/>
        <v>0</v>
      </c>
      <c r="Z63" s="75">
        <f t="shared" si="31"/>
        <v>0</v>
      </c>
    </row>
    <row r="64" spans="1:26" s="67" customFormat="1">
      <c r="A64" s="70">
        <v>43997</v>
      </c>
      <c r="C64" s="91" t="s">
        <v>269</v>
      </c>
      <c r="D64" s="81"/>
      <c r="E64" s="81"/>
      <c r="F64" s="81"/>
      <c r="G64" s="81"/>
      <c r="H64" s="75"/>
      <c r="I64" s="75"/>
      <c r="J64" s="75"/>
      <c r="K64" s="75"/>
      <c r="L64" s="75">
        <v>-4000</v>
      </c>
      <c r="M64" s="71"/>
      <c r="P64" s="92">
        <f t="shared" si="21"/>
        <v>16</v>
      </c>
      <c r="R64" s="81">
        <f t="shared" si="23"/>
        <v>0</v>
      </c>
      <c r="S64" s="81">
        <f t="shared" si="24"/>
        <v>0</v>
      </c>
      <c r="T64" s="81">
        <f t="shared" si="25"/>
        <v>0</v>
      </c>
      <c r="U64" s="81">
        <f t="shared" si="26"/>
        <v>0</v>
      </c>
      <c r="V64" s="75">
        <f t="shared" si="27"/>
        <v>0</v>
      </c>
      <c r="W64" s="75">
        <f t="shared" si="28"/>
        <v>0</v>
      </c>
      <c r="X64" s="75">
        <f t="shared" si="29"/>
        <v>0</v>
      </c>
      <c r="Y64" s="75">
        <f t="shared" si="30"/>
        <v>0</v>
      </c>
      <c r="Z64" s="75">
        <f t="shared" si="31"/>
        <v>-175.34246575342465</v>
      </c>
    </row>
    <row r="65" spans="1:27" s="67" customFormat="1">
      <c r="A65" s="70">
        <v>44011</v>
      </c>
      <c r="B65" s="68"/>
      <c r="C65" s="67" t="s">
        <v>273</v>
      </c>
      <c r="D65" s="81"/>
      <c r="E65" s="81"/>
      <c r="F65" s="81"/>
      <c r="G65" s="81"/>
      <c r="H65" s="75">
        <v>25000</v>
      </c>
      <c r="I65" s="75"/>
      <c r="J65" s="75"/>
      <c r="K65" s="75"/>
      <c r="L65" s="75"/>
      <c r="M65" s="71"/>
      <c r="P65" s="92">
        <f t="shared" si="21"/>
        <v>2</v>
      </c>
      <c r="R65" s="81">
        <f t="shared" si="23"/>
        <v>0</v>
      </c>
      <c r="S65" s="81">
        <f t="shared" si="24"/>
        <v>0</v>
      </c>
      <c r="T65" s="81">
        <f t="shared" si="25"/>
        <v>0</v>
      </c>
      <c r="U65" s="81">
        <f t="shared" si="26"/>
        <v>0</v>
      </c>
      <c r="V65" s="75">
        <f t="shared" si="27"/>
        <v>136.98630136986301</v>
      </c>
      <c r="W65" s="75">
        <f t="shared" si="28"/>
        <v>0</v>
      </c>
      <c r="X65" s="75">
        <f t="shared" si="29"/>
        <v>0</v>
      </c>
      <c r="Y65" s="75">
        <f t="shared" si="30"/>
        <v>0</v>
      </c>
      <c r="Z65" s="75">
        <f t="shared" si="31"/>
        <v>0</v>
      </c>
    </row>
    <row r="66" spans="1:27" s="67" customFormat="1">
      <c r="A66" s="70">
        <v>44011</v>
      </c>
      <c r="B66" s="68"/>
      <c r="C66" s="91" t="s">
        <v>274</v>
      </c>
      <c r="D66" s="81"/>
      <c r="E66" s="81"/>
      <c r="F66" s="81"/>
      <c r="G66" s="81"/>
      <c r="H66" s="75">
        <f>-H65*0.15</f>
        <v>-3750</v>
      </c>
      <c r="I66" s="75"/>
      <c r="J66" s="75"/>
      <c r="K66" s="75"/>
      <c r="L66" s="75"/>
      <c r="M66" s="71"/>
      <c r="P66" s="92">
        <f t="shared" si="21"/>
        <v>2</v>
      </c>
      <c r="R66" s="81">
        <f t="shared" si="23"/>
        <v>0</v>
      </c>
      <c r="S66" s="81">
        <f t="shared" si="24"/>
        <v>0</v>
      </c>
      <c r="T66" s="81">
        <f t="shared" si="25"/>
        <v>0</v>
      </c>
      <c r="U66" s="81">
        <f t="shared" si="26"/>
        <v>0</v>
      </c>
      <c r="V66" s="75">
        <f t="shared" si="27"/>
        <v>-20.547945205479451</v>
      </c>
      <c r="W66" s="75">
        <f t="shared" si="28"/>
        <v>0</v>
      </c>
      <c r="X66" s="75">
        <f t="shared" si="29"/>
        <v>0</v>
      </c>
      <c r="Y66" s="75">
        <f t="shared" si="30"/>
        <v>0</v>
      </c>
      <c r="Z66" s="75">
        <f t="shared" si="31"/>
        <v>0</v>
      </c>
    </row>
    <row r="67" spans="1:27" s="67" customFormat="1">
      <c r="A67" s="70">
        <v>44012</v>
      </c>
      <c r="C67" s="67" t="s">
        <v>273</v>
      </c>
      <c r="D67" s="81">
        <f>13000+5000</f>
        <v>18000</v>
      </c>
      <c r="E67" s="81"/>
      <c r="F67" s="81"/>
      <c r="G67" s="81"/>
      <c r="H67" s="75"/>
      <c r="I67" s="75"/>
      <c r="J67" s="75"/>
      <c r="K67" s="75"/>
      <c r="L67" s="75"/>
      <c r="M67" s="71"/>
      <c r="P67" s="92">
        <f t="shared" si="21"/>
        <v>1</v>
      </c>
      <c r="R67" s="81">
        <f t="shared" si="23"/>
        <v>49.315068493150683</v>
      </c>
      <c r="S67" s="81">
        <f t="shared" si="24"/>
        <v>0</v>
      </c>
      <c r="T67" s="81">
        <f t="shared" si="25"/>
        <v>0</v>
      </c>
      <c r="U67" s="81">
        <f t="shared" si="26"/>
        <v>0</v>
      </c>
      <c r="V67" s="75">
        <f t="shared" si="27"/>
        <v>0</v>
      </c>
      <c r="W67" s="75">
        <f t="shared" si="28"/>
        <v>0</v>
      </c>
      <c r="X67" s="75">
        <f t="shared" si="29"/>
        <v>0</v>
      </c>
      <c r="Y67" s="75">
        <f t="shared" si="30"/>
        <v>0</v>
      </c>
      <c r="Z67" s="75">
        <f t="shared" si="31"/>
        <v>0</v>
      </c>
    </row>
    <row r="68" spans="1:27" s="67" customFormat="1">
      <c r="A68" s="70">
        <v>44012</v>
      </c>
      <c r="C68" s="91" t="s">
        <v>274</v>
      </c>
      <c r="D68" s="81">
        <f>-D67*0.15</f>
        <v>-2700</v>
      </c>
      <c r="E68" s="81"/>
      <c r="F68" s="81"/>
      <c r="G68" s="81"/>
      <c r="H68" s="75"/>
      <c r="I68" s="75"/>
      <c r="J68" s="75"/>
      <c r="K68" s="75"/>
      <c r="L68" s="75"/>
      <c r="M68" s="71"/>
      <c r="P68" s="92">
        <f t="shared" si="21"/>
        <v>1</v>
      </c>
      <c r="R68" s="81">
        <f t="shared" si="23"/>
        <v>-7.397260273972603</v>
      </c>
      <c r="S68" s="81">
        <f t="shared" si="24"/>
        <v>0</v>
      </c>
      <c r="T68" s="81">
        <f t="shared" si="25"/>
        <v>0</v>
      </c>
      <c r="U68" s="81">
        <f t="shared" si="26"/>
        <v>0</v>
      </c>
      <c r="V68" s="75">
        <f t="shared" si="27"/>
        <v>0</v>
      </c>
      <c r="W68" s="75">
        <f t="shared" si="28"/>
        <v>0</v>
      </c>
      <c r="X68" s="75">
        <f t="shared" si="29"/>
        <v>0</v>
      </c>
      <c r="Y68" s="75">
        <f t="shared" si="30"/>
        <v>0</v>
      </c>
      <c r="Z68" s="75">
        <f t="shared" si="31"/>
        <v>0</v>
      </c>
    </row>
    <row r="69" spans="1:27" s="67" customFormat="1">
      <c r="D69" s="81"/>
      <c r="E69" s="81"/>
      <c r="F69" s="81"/>
      <c r="G69" s="83"/>
      <c r="H69" s="76"/>
      <c r="I69" s="76"/>
      <c r="J69" s="76"/>
      <c r="K69" s="76"/>
      <c r="L69" s="76"/>
      <c r="M69" s="71"/>
      <c r="P69" s="92">
        <f>+($A$72-A70)+1</f>
        <v>1</v>
      </c>
      <c r="R69" s="85"/>
      <c r="S69" s="85"/>
      <c r="T69" s="85"/>
      <c r="U69" s="85"/>
      <c r="V69" s="77"/>
      <c r="W69" s="77"/>
      <c r="X69" s="77"/>
      <c r="Y69" s="77"/>
      <c r="Z69" s="77"/>
    </row>
    <row r="70" spans="1:27" s="67" customFormat="1">
      <c r="A70" s="70">
        <v>44012</v>
      </c>
      <c r="B70" s="68"/>
      <c r="C70" s="91" t="s">
        <v>271</v>
      </c>
      <c r="D70" s="81">
        <f>D77*R72</f>
        <v>-194.76923828529598</v>
      </c>
      <c r="E70" s="81"/>
      <c r="F70" s="81">
        <f>D77*T72</f>
        <v>-27249.274146481661</v>
      </c>
      <c r="G70" s="81">
        <f>D77*U72</f>
        <v>-2691.8866152330361</v>
      </c>
      <c r="H70" s="75">
        <f>H77*V72</f>
        <v>-1144.1690911273768</v>
      </c>
      <c r="I70" s="75">
        <f>H77*W72</f>
        <v>-93.013293321087431</v>
      </c>
      <c r="J70" s="75"/>
      <c r="K70" s="75">
        <f>H77*Y72</f>
        <v>-6758.3872236300122</v>
      </c>
      <c r="L70" s="75">
        <f>H77*Z72</f>
        <v>-2669.6803919215135</v>
      </c>
      <c r="M70" s="71"/>
      <c r="R70" s="97">
        <f>SUM(R15:R68)</f>
        <v>10369.918747945207</v>
      </c>
      <c r="S70" s="97">
        <f t="shared" ref="S70:Z70" si="32">SUM(S15:S69)</f>
        <v>0</v>
      </c>
      <c r="T70" s="97">
        <f t="shared" si="32"/>
        <v>1450807.9475342464</v>
      </c>
      <c r="U70" s="97">
        <f t="shared" si="32"/>
        <v>143321.63397260272</v>
      </c>
      <c r="V70" s="98">
        <f t="shared" si="32"/>
        <v>128079.78794520548</v>
      </c>
      <c r="W70" s="98">
        <f t="shared" si="32"/>
        <v>10412.029984931505</v>
      </c>
      <c r="X70" s="98">
        <f t="shared" si="32"/>
        <v>0</v>
      </c>
      <c r="Y70" s="98">
        <f t="shared" si="32"/>
        <v>756542.72534246591</v>
      </c>
      <c r="Z70" s="98">
        <f t="shared" si="32"/>
        <v>298847.52273972606</v>
      </c>
      <c r="AA70" s="67" t="s">
        <v>276</v>
      </c>
    </row>
    <row r="71" spans="1:27" s="67" customFormat="1">
      <c r="A71" s="70">
        <v>44012</v>
      </c>
      <c r="C71" s="91" t="s">
        <v>312</v>
      </c>
      <c r="D71" s="81">
        <f>D84*R72</f>
        <v>90.619205436162332</v>
      </c>
      <c r="E71" s="81"/>
      <c r="F71" s="81">
        <f>D84*T72</f>
        <v>12678.118955567881</v>
      </c>
      <c r="G71" s="81">
        <f>D84*U72</f>
        <v>1252.4391856959583</v>
      </c>
      <c r="H71" s="75">
        <f>H84*V72</f>
        <v>682.99725689661852</v>
      </c>
      <c r="I71" s="75">
        <f>H84*W72</f>
        <v>55.523108154082209</v>
      </c>
      <c r="J71" s="75"/>
      <c r="K71" s="75">
        <f>H84*Y72</f>
        <v>4034.3337104450507</v>
      </c>
      <c r="L71" s="75">
        <f>H84*Z72</f>
        <v>1593.6319191042464</v>
      </c>
      <c r="M71" s="71"/>
      <c r="R71" s="85"/>
      <c r="S71" s="85"/>
      <c r="T71" s="85"/>
      <c r="U71" s="94">
        <f>SUM(R70:U70)</f>
        <v>1604499.5002547943</v>
      </c>
      <c r="V71" s="77"/>
      <c r="W71" s="77"/>
      <c r="X71" s="77"/>
      <c r="Y71" s="77"/>
      <c r="Z71" s="96">
        <f>SUM(V70:Z70)</f>
        <v>1193882.066012329</v>
      </c>
      <c r="AA71" s="67" t="s">
        <v>283</v>
      </c>
    </row>
    <row r="72" spans="1:27" s="67" customFormat="1" ht="15.75" thickBot="1">
      <c r="A72" s="70">
        <v>44012</v>
      </c>
      <c r="C72" s="67" t="s">
        <v>277</v>
      </c>
      <c r="D72" s="99">
        <f t="shared" ref="D72:K72" si="33">SUM(D15:D71)</f>
        <v>121051.82296715086</v>
      </c>
      <c r="E72" s="99">
        <f t="shared" si="33"/>
        <v>0</v>
      </c>
      <c r="F72" s="99">
        <f t="shared" si="33"/>
        <v>1410254.1348090861</v>
      </c>
      <c r="G72" s="99">
        <f t="shared" si="33"/>
        <v>138547.91257046291</v>
      </c>
      <c r="H72" s="100">
        <f t="shared" si="33"/>
        <v>149657.54816576923</v>
      </c>
      <c r="I72" s="100">
        <f t="shared" si="33"/>
        <v>20690.592814832991</v>
      </c>
      <c r="J72" s="100">
        <f t="shared" si="33"/>
        <v>0</v>
      </c>
      <c r="K72" s="100">
        <f t="shared" si="33"/>
        <v>743099.09648681513</v>
      </c>
      <c r="L72" s="100">
        <f>SUM(L15:L71)</f>
        <v>255911.87152718278</v>
      </c>
      <c r="M72" s="19"/>
      <c r="R72" s="108">
        <f>+R70/U71</f>
        <v>6.463023981184454E-3</v>
      </c>
      <c r="S72" s="108"/>
      <c r="T72" s="108">
        <f>+T70/U71</f>
        <v>0.90421215295103441</v>
      </c>
      <c r="U72" s="108">
        <f>+U70/U71</f>
        <v>8.9324823067781112E-2</v>
      </c>
      <c r="V72" s="109">
        <f>+V70/Z71</f>
        <v>0.10728010043153025</v>
      </c>
      <c r="W72" s="109">
        <f>+W70/Z71</f>
        <v>8.7211545271875975E-3</v>
      </c>
      <c r="X72" s="109"/>
      <c r="Y72" s="109">
        <f>+Y70/Z71</f>
        <v>0.63368296323386875</v>
      </c>
      <c r="Z72" s="109">
        <f>+Z70/Z71</f>
        <v>0.25031578180741343</v>
      </c>
      <c r="AA72" s="67" t="s">
        <v>282</v>
      </c>
    </row>
    <row r="73" spans="1:27" s="67" customFormat="1">
      <c r="D73" s="85"/>
      <c r="E73" s="85"/>
      <c r="F73" s="85"/>
      <c r="G73" s="93"/>
      <c r="H73" s="78"/>
      <c r="I73" s="78"/>
      <c r="J73" s="78"/>
      <c r="K73" s="78"/>
      <c r="L73" s="78"/>
      <c r="M73" s="19"/>
      <c r="R73" s="85"/>
      <c r="S73" s="85"/>
      <c r="T73" s="85"/>
      <c r="U73" s="85"/>
      <c r="V73" s="77"/>
      <c r="W73" s="77"/>
      <c r="X73" s="77"/>
      <c r="Y73" s="77"/>
      <c r="Z73" s="77"/>
    </row>
    <row r="74" spans="1:27" s="67" customFormat="1">
      <c r="D74" s="85"/>
      <c r="E74" s="85"/>
      <c r="F74" s="85"/>
      <c r="G74" s="93"/>
      <c r="H74" s="78"/>
      <c r="I74" s="78"/>
      <c r="J74" s="78"/>
      <c r="K74" s="78"/>
      <c r="L74" s="78"/>
      <c r="M74" s="19"/>
      <c r="R74" s="85"/>
      <c r="S74" s="85"/>
      <c r="T74" s="85"/>
      <c r="U74" s="85"/>
      <c r="V74" s="77"/>
      <c r="W74" s="77"/>
      <c r="X74" s="77"/>
      <c r="Y74" s="77"/>
      <c r="Z74" s="77"/>
    </row>
    <row r="75" spans="1:27" s="67" customFormat="1">
      <c r="D75" s="85"/>
      <c r="E75" s="85"/>
      <c r="F75" s="85"/>
      <c r="G75" s="84"/>
      <c r="H75" s="78"/>
      <c r="I75" s="78"/>
      <c r="J75" s="78"/>
      <c r="K75" s="78"/>
      <c r="L75" s="78"/>
      <c r="M75" s="19"/>
      <c r="R75" s="85"/>
      <c r="S75" s="85"/>
      <c r="T75" s="85"/>
      <c r="U75" s="85"/>
      <c r="V75" s="77"/>
      <c r="W75" s="77"/>
      <c r="X75" s="77"/>
      <c r="Y75" s="77"/>
      <c r="Z75" s="77"/>
    </row>
    <row r="76" spans="1:27" s="67" customFormat="1">
      <c r="C76" s="67" t="s">
        <v>308</v>
      </c>
      <c r="D76" s="85"/>
      <c r="E76" s="85"/>
      <c r="F76" s="85"/>
      <c r="G76" s="84"/>
      <c r="H76" s="78"/>
      <c r="I76" s="78"/>
      <c r="J76" s="78"/>
      <c r="K76" s="78"/>
      <c r="L76" s="78"/>
      <c r="M76" s="19"/>
    </row>
    <row r="77" spans="1:27" s="67" customFormat="1">
      <c r="C77" s="67" t="s">
        <v>306</v>
      </c>
      <c r="D77" s="121">
        <f>+'Op Stmt'!H16+'Op Stmt'!H44-'Op Stmt'!H34</f>
        <v>-30135.929999999993</v>
      </c>
      <c r="E77" s="85"/>
      <c r="F77" s="85"/>
      <c r="G77" s="84"/>
      <c r="H77" s="124">
        <f>+'Op Stmt'!F16+'Op Stmt'!F44-'Op Stmt'!F34</f>
        <v>-10665.249999999989</v>
      </c>
      <c r="I77" s="77"/>
      <c r="J77" s="77"/>
      <c r="K77" s="77"/>
      <c r="L77" s="77"/>
    </row>
    <row r="78" spans="1:27" s="67" customFormat="1">
      <c r="C78" s="67" t="s">
        <v>307</v>
      </c>
      <c r="D78" s="85"/>
      <c r="E78" s="85"/>
      <c r="F78" s="85"/>
      <c r="G78" s="84"/>
      <c r="H78" s="77"/>
      <c r="I78" s="77"/>
      <c r="J78" s="77"/>
      <c r="K78" s="77"/>
      <c r="L78" s="77"/>
    </row>
    <row r="79" spans="1:27" s="67" customFormat="1">
      <c r="C79" s="91" t="s">
        <v>25</v>
      </c>
      <c r="D79" s="121">
        <f>+'Op Stmt'!H23</f>
        <v>124889.38</v>
      </c>
      <c r="E79" s="85"/>
      <c r="F79" s="85"/>
      <c r="G79" s="84"/>
      <c r="H79" s="124">
        <f>+'Op Stmt'!F23+'Op Stmt'!G23</f>
        <v>50613.68</v>
      </c>
      <c r="I79" s="77"/>
      <c r="J79" s="77"/>
      <c r="K79" s="77"/>
      <c r="L79" s="77"/>
    </row>
    <row r="80" spans="1:27">
      <c r="C80" s="91" t="s">
        <v>309</v>
      </c>
      <c r="D80" s="123">
        <f>-'Op Stmt'!H39-'Op Stmt'!I39</f>
        <v>-40120</v>
      </c>
      <c r="E80" s="59"/>
      <c r="F80" s="59"/>
      <c r="G80" s="90"/>
      <c r="H80" s="126">
        <f>-'Op Stmt'!F39</f>
        <v>-93000</v>
      </c>
      <c r="I80" s="48"/>
      <c r="J80" s="48"/>
      <c r="K80" s="48"/>
      <c r="L80" s="48"/>
    </row>
    <row r="81" spans="3:12">
      <c r="D81" s="122">
        <f>SUM(D77:D80)</f>
        <v>54633.450000000012</v>
      </c>
      <c r="E81" s="59"/>
      <c r="F81" s="59"/>
      <c r="G81" s="90"/>
      <c r="H81" s="125">
        <f>SUM(H77:H80)</f>
        <v>-53051.569999999992</v>
      </c>
      <c r="I81" s="48"/>
      <c r="J81" s="125">
        <f>+D81+H81</f>
        <v>1581.8800000000192</v>
      </c>
      <c r="K81" s="48"/>
      <c r="L81" s="48"/>
    </row>
    <row r="82" spans="3:12" s="111" customFormat="1">
      <c r="D82" s="122"/>
      <c r="E82" s="59"/>
      <c r="F82" s="59"/>
      <c r="G82" s="90"/>
      <c r="H82" s="48"/>
      <c r="I82" s="48"/>
      <c r="J82" s="48"/>
      <c r="K82" s="48"/>
      <c r="L82" s="48"/>
    </row>
    <row r="83" spans="3:12" s="111" customFormat="1">
      <c r="C83" s="111" t="s">
        <v>310</v>
      </c>
      <c r="D83" s="122">
        <f>-('Op Stmt'!H20+'Op Stmt'!H21)*0.15</f>
        <v>-3733.4070000000002</v>
      </c>
      <c r="E83" s="59"/>
      <c r="F83" s="59"/>
      <c r="G83" s="90"/>
      <c r="H83" s="106">
        <f>-('Op Stmt'!F20+'Op Stmt'!G21)*0.15</f>
        <v>-7407.896999999999</v>
      </c>
      <c r="I83" s="125"/>
      <c r="J83" s="48"/>
      <c r="K83" s="48"/>
      <c r="L83" s="48"/>
    </row>
    <row r="84" spans="3:12" s="111" customFormat="1">
      <c r="C84" s="111" t="s">
        <v>311</v>
      </c>
      <c r="D84" s="123">
        <f>+D85-D83</f>
        <v>14021.177346700002</v>
      </c>
      <c r="E84" s="59"/>
      <c r="F84" s="59"/>
      <c r="G84" s="90"/>
      <c r="H84" s="126">
        <f>+H85-H83</f>
        <v>6366.4859945999979</v>
      </c>
      <c r="I84" s="125"/>
      <c r="J84" s="48"/>
      <c r="K84" s="48"/>
      <c r="L84" s="48"/>
    </row>
    <row r="85" spans="3:12" s="111" customFormat="1">
      <c r="D85" s="122">
        <f>-'Op Stmt'!H47</f>
        <v>10287.770346700001</v>
      </c>
      <c r="E85" s="59"/>
      <c r="F85" s="59"/>
      <c r="G85" s="90"/>
      <c r="H85" s="125">
        <f>-'Op Stmt'!F47</f>
        <v>-1041.4110054000009</v>
      </c>
      <c r="I85" s="125"/>
      <c r="J85" s="125">
        <f>+D85+H85</f>
        <v>9246.3593412999999</v>
      </c>
      <c r="K85" s="48"/>
      <c r="L85" s="48"/>
    </row>
    <row r="86" spans="3:12" s="111" customFormat="1">
      <c r="D86" s="122"/>
      <c r="E86" s="59"/>
      <c r="F86" s="59"/>
      <c r="G86" s="90"/>
      <c r="H86" s="48"/>
      <c r="I86" s="48"/>
      <c r="J86" s="48"/>
      <c r="K86" s="48"/>
      <c r="L86" s="48"/>
    </row>
    <row r="87" spans="3:12">
      <c r="D87" s="59"/>
      <c r="E87" s="59"/>
      <c r="F87" s="59"/>
      <c r="G87" s="90"/>
      <c r="H87" s="48"/>
      <c r="I87" s="48"/>
      <c r="J87" s="48"/>
      <c r="K87" s="48"/>
      <c r="L87" s="48"/>
    </row>
  </sheetData>
  <mergeCells count="2">
    <mergeCell ref="B7:E7"/>
    <mergeCell ref="H7:J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Balance Sheet</vt:lpstr>
      <vt:lpstr>Invest Summary Recon</vt:lpstr>
      <vt:lpstr>Op Stmt</vt:lpstr>
      <vt:lpstr>Income Tax</vt:lpstr>
      <vt:lpstr>Member 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2020-06-03T01:53:07Z</dcterms:created>
  <dcterms:modified xsi:type="dcterms:W3CDTF">2021-03-11T04:12:00Z</dcterms:modified>
</cp:coreProperties>
</file>