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412"/>
  <workbookPr defaultThemeVersion="166925"/>
  <mc:AlternateContent xmlns:mc="http://schemas.openxmlformats.org/markup-compatibility/2006">
    <mc:Choice Requires="x15">
      <x15ac:absPath xmlns:x15ac="http://schemas.microsoft.com/office/spreadsheetml/2010/11/ac" url="https://hfbgroup.sharepoint.com/sites/HFBAccounting/HFB Super/HFB.SuperClients/L/LEVL/2022/Workpapers/"/>
    </mc:Choice>
  </mc:AlternateContent>
  <xr:revisionPtr revIDLastSave="1210" documentId="8_{7DABB9F9-DAC7-48AF-95BF-A766060AAE59}" xr6:coauthVersionLast="47" xr6:coauthVersionMax="47" xr10:uidLastSave="{E3AAF4F9-E21B-4160-9929-637BDA33DBC6}"/>
  <bookViews>
    <workbookView xWindow="-28920" yWindow="-2070" windowWidth="29040" windowHeight="15720" tabRatio="823" firstSheet="3" activeTab="2" xr2:uid="{306213DB-740E-49D0-A494-BE82EF870239}"/>
  </bookViews>
  <sheets>
    <sheet name="Index" sheetId="2" r:id="rId1"/>
    <sheet name="Min Pension" sheetId="3" state="hidden" r:id="rId2"/>
    <sheet name="PAYG &amp; GST Instal" sheetId="4" r:id="rId3"/>
    <sheet name="GST Rec" sheetId="10" r:id="rId4"/>
    <sheet name="Bank Balance" sheetId="17" r:id="rId5"/>
    <sheet name="Investment Recon - BT" sheetId="8" state="hidden" r:id="rId6"/>
    <sheet name="Investment Recon - Other" sheetId="16" r:id="rId7"/>
    <sheet name="North Wrap - Disposals" sheetId="21" r:id="rId8"/>
    <sheet name="Related UT " sheetId="14" state="hidden" r:id="rId9"/>
    <sheet name="Property Valn" sheetId="12" r:id="rId10"/>
    <sheet name="Debtors" sheetId="13" r:id="rId11"/>
    <sheet name="Creditors" sheetId="11" r:id="rId12"/>
    <sheet name="Distbn Income " sheetId="7" state="hidden" r:id="rId13"/>
    <sheet name="Distbn Income - NORTH" sheetId="19" r:id="rId14"/>
    <sheet name="Dividend Income" sheetId="18" state="hidden" r:id="rId15"/>
    <sheet name="Foreign Div" sheetId="9" state="hidden" r:id="rId16"/>
    <sheet name="Rental Income" sheetId="15" r:id="rId17"/>
    <sheet name="Acc fees" sheetId="6" r:id="rId18"/>
    <sheet name="Advisor Fees" sheetId="5" r:id="rId19"/>
    <sheet name="Insurance" sheetId="20" r:id="rId2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10" l="1"/>
  <c r="I22" i="10" s="1"/>
  <c r="C20" i="10"/>
  <c r="K27" i="16"/>
  <c r="K29" i="16"/>
  <c r="F8" i="21"/>
  <c r="G71" i="21"/>
  <c r="F18" i="21" s="1"/>
  <c r="F19" i="21" s="1"/>
  <c r="F71" i="21"/>
  <c r="R69" i="21"/>
  <c r="Q69" i="21"/>
  <c r="N69" i="21"/>
  <c r="M69" i="21"/>
  <c r="I69" i="21"/>
  <c r="P69" i="21" s="1"/>
  <c r="H69" i="21"/>
  <c r="D69" i="21"/>
  <c r="R68" i="21"/>
  <c r="Q68" i="21"/>
  <c r="N68" i="21"/>
  <c r="I68" i="21"/>
  <c r="H68" i="21"/>
  <c r="M68" i="21" s="1"/>
  <c r="D68" i="21"/>
  <c r="R67" i="21"/>
  <c r="Q67" i="21"/>
  <c r="P67" i="21"/>
  <c r="M67" i="21"/>
  <c r="T67" i="21" s="1"/>
  <c r="H67" i="21"/>
  <c r="N67" i="21" s="1"/>
  <c r="D67" i="21"/>
  <c r="I67" i="21" s="1"/>
  <c r="O67" i="21" s="1"/>
  <c r="R66" i="21"/>
  <c r="P66" i="21"/>
  <c r="O66" i="21"/>
  <c r="J66" i="21"/>
  <c r="Q66" i="21" s="1"/>
  <c r="H66" i="21"/>
  <c r="N66" i="21" s="1"/>
  <c r="D66" i="21"/>
  <c r="Q65" i="21"/>
  <c r="P65" i="21"/>
  <c r="O65" i="21"/>
  <c r="N65" i="21"/>
  <c r="H65" i="21"/>
  <c r="M65" i="21" s="1"/>
  <c r="D65" i="21"/>
  <c r="J65" i="21" s="1"/>
  <c r="R65" i="21" s="1"/>
  <c r="U65" i="21" s="1"/>
  <c r="P64" i="21"/>
  <c r="O64" i="21"/>
  <c r="N64" i="21"/>
  <c r="M64" i="21"/>
  <c r="H64" i="21"/>
  <c r="D64" i="21"/>
  <c r="J64" i="21" s="1"/>
  <c r="P63" i="21"/>
  <c r="O63" i="21"/>
  <c r="N63" i="21"/>
  <c r="M63" i="21"/>
  <c r="T63" i="21" s="1"/>
  <c r="J63" i="21"/>
  <c r="Q63" i="21" s="1"/>
  <c r="H63" i="21"/>
  <c r="D63" i="21"/>
  <c r="P62" i="21"/>
  <c r="O62" i="21"/>
  <c r="N62" i="21"/>
  <c r="U62" i="21" s="1"/>
  <c r="M62" i="21"/>
  <c r="J62" i="21"/>
  <c r="R62" i="21" s="1"/>
  <c r="H62" i="21"/>
  <c r="D62" i="21"/>
  <c r="R61" i="21"/>
  <c r="Q61" i="21"/>
  <c r="H61" i="21"/>
  <c r="N61" i="21" s="1"/>
  <c r="D61" i="21"/>
  <c r="I61" i="21" s="1"/>
  <c r="R60" i="21"/>
  <c r="Q60" i="21"/>
  <c r="I60" i="21"/>
  <c r="P60" i="21" s="1"/>
  <c r="H60" i="21"/>
  <c r="D60" i="21"/>
  <c r="R59" i="21"/>
  <c r="Q59" i="21"/>
  <c r="P59" i="21"/>
  <c r="O59" i="21"/>
  <c r="N59" i="21"/>
  <c r="U59" i="21" s="1"/>
  <c r="H59" i="21"/>
  <c r="M59" i="21" s="1"/>
  <c r="D59" i="21"/>
  <c r="I59" i="21" s="1"/>
  <c r="R58" i="21"/>
  <c r="Q58" i="21"/>
  <c r="N58" i="21"/>
  <c r="U58" i="21" s="1"/>
  <c r="M58" i="21"/>
  <c r="H58" i="21"/>
  <c r="D58" i="21"/>
  <c r="I58" i="21" s="1"/>
  <c r="P58" i="21" s="1"/>
  <c r="O57" i="21"/>
  <c r="N57" i="21"/>
  <c r="M57" i="21"/>
  <c r="T57" i="21" s="1"/>
  <c r="J57" i="21"/>
  <c r="Q57" i="21" s="1"/>
  <c r="H57" i="21"/>
  <c r="D57" i="21"/>
  <c r="I57" i="21" s="1"/>
  <c r="P57" i="21" s="1"/>
  <c r="R56" i="21"/>
  <c r="Q56" i="21"/>
  <c r="N56" i="21"/>
  <c r="M56" i="21"/>
  <c r="I56" i="21"/>
  <c r="P56" i="21" s="1"/>
  <c r="U56" i="21" s="1"/>
  <c r="H56" i="21"/>
  <c r="D56" i="21"/>
  <c r="R55" i="21"/>
  <c r="Q55" i="21"/>
  <c r="N55" i="21"/>
  <c r="M55" i="21"/>
  <c r="J55" i="21"/>
  <c r="I55" i="21"/>
  <c r="H55" i="21"/>
  <c r="D55" i="21"/>
  <c r="R54" i="21"/>
  <c r="Q54" i="21"/>
  <c r="N54" i="21"/>
  <c r="M54" i="21"/>
  <c r="I54" i="21"/>
  <c r="H54" i="21"/>
  <c r="D54" i="21"/>
  <c r="R53" i="21"/>
  <c r="Q53" i="21"/>
  <c r="J53" i="21"/>
  <c r="I53" i="21"/>
  <c r="O53" i="21" s="1"/>
  <c r="H53" i="21"/>
  <c r="N53" i="21" s="1"/>
  <c r="D53" i="21"/>
  <c r="R52" i="21"/>
  <c r="Q52" i="21"/>
  <c r="N52" i="21"/>
  <c r="M52" i="21"/>
  <c r="H52" i="21"/>
  <c r="D52" i="21"/>
  <c r="I52" i="21" s="1"/>
  <c r="R51" i="21"/>
  <c r="Q51" i="21"/>
  <c r="M51" i="21"/>
  <c r="I51" i="21"/>
  <c r="P51" i="21" s="1"/>
  <c r="H51" i="21"/>
  <c r="N51" i="21" s="1"/>
  <c r="D51" i="21"/>
  <c r="H50" i="21"/>
  <c r="M50" i="21" s="1"/>
  <c r="D50" i="21"/>
  <c r="J50" i="21" s="1"/>
  <c r="O49" i="21"/>
  <c r="N49" i="21"/>
  <c r="U49" i="21" s="1"/>
  <c r="J49" i="21"/>
  <c r="R49" i="21" s="1"/>
  <c r="I49" i="21"/>
  <c r="P49" i="21" s="1"/>
  <c r="H49" i="21"/>
  <c r="M49" i="21" s="1"/>
  <c r="D49" i="21"/>
  <c r="R48" i="21"/>
  <c r="J48" i="21"/>
  <c r="Q48" i="21" s="1"/>
  <c r="I48" i="21"/>
  <c r="P48" i="21" s="1"/>
  <c r="H48" i="21"/>
  <c r="M48" i="21" s="1"/>
  <c r="D48" i="21"/>
  <c r="H47" i="21"/>
  <c r="M47" i="21" s="1"/>
  <c r="D47" i="21"/>
  <c r="J47" i="21" s="1"/>
  <c r="H46" i="21"/>
  <c r="M46" i="21" s="1"/>
  <c r="D46" i="21"/>
  <c r="I46" i="21" s="1"/>
  <c r="P46" i="21" s="1"/>
  <c r="R45" i="21"/>
  <c r="Q45" i="21"/>
  <c r="H45" i="21"/>
  <c r="M45" i="21" s="1"/>
  <c r="D45" i="21"/>
  <c r="I45" i="21" s="1"/>
  <c r="N44" i="21"/>
  <c r="H44" i="21"/>
  <c r="M44" i="21" s="1"/>
  <c r="D44" i="21"/>
  <c r="J44" i="21" s="1"/>
  <c r="R44" i="21" s="1"/>
  <c r="N43" i="21"/>
  <c r="H43" i="21"/>
  <c r="M43" i="21" s="1"/>
  <c r="D43" i="21"/>
  <c r="J43" i="21" s="1"/>
  <c r="R43" i="21" s="1"/>
  <c r="H42" i="21"/>
  <c r="M42" i="21" s="1"/>
  <c r="D42" i="21"/>
  <c r="J42" i="21" s="1"/>
  <c r="R42" i="21" s="1"/>
  <c r="N41" i="21"/>
  <c r="I41" i="21"/>
  <c r="P41" i="21" s="1"/>
  <c r="U41" i="21" s="1"/>
  <c r="H41" i="21"/>
  <c r="M41" i="21" s="1"/>
  <c r="D41" i="21"/>
  <c r="J41" i="21" s="1"/>
  <c r="R41" i="21" s="1"/>
  <c r="N40" i="21"/>
  <c r="H40" i="21"/>
  <c r="M40" i="21" s="1"/>
  <c r="D40" i="21"/>
  <c r="J40" i="21" s="1"/>
  <c r="R40" i="21" s="1"/>
  <c r="N39" i="21"/>
  <c r="H39" i="21"/>
  <c r="M39" i="21" s="1"/>
  <c r="D39" i="21"/>
  <c r="J39" i="21" s="1"/>
  <c r="R39" i="21" s="1"/>
  <c r="I38" i="21"/>
  <c r="P38" i="21" s="1"/>
  <c r="H38" i="21"/>
  <c r="N38" i="21" s="1"/>
  <c r="D38" i="21"/>
  <c r="J38" i="21" s="1"/>
  <c r="R38" i="21" s="1"/>
  <c r="N37" i="21"/>
  <c r="H37" i="21"/>
  <c r="M37" i="21" s="1"/>
  <c r="D37" i="21"/>
  <c r="J37" i="21" s="1"/>
  <c r="R37" i="21" s="1"/>
  <c r="H36" i="21"/>
  <c r="M36" i="21" s="1"/>
  <c r="D36" i="21"/>
  <c r="J36" i="21" s="1"/>
  <c r="R36" i="21" s="1"/>
  <c r="R35" i="21"/>
  <c r="Q35" i="21"/>
  <c r="H35" i="21"/>
  <c r="N35" i="21" s="1"/>
  <c r="U35" i="21" s="1"/>
  <c r="D35" i="21"/>
  <c r="I35" i="21" s="1"/>
  <c r="P35" i="21" s="1"/>
  <c r="N34" i="21"/>
  <c r="H34" i="21"/>
  <c r="M34" i="21" s="1"/>
  <c r="D34" i="21"/>
  <c r="I34" i="21" s="1"/>
  <c r="O34" i="21" s="1"/>
  <c r="R33" i="21"/>
  <c r="Q33" i="21"/>
  <c r="M33" i="21"/>
  <c r="H33" i="21"/>
  <c r="N33" i="21" s="1"/>
  <c r="D33" i="21"/>
  <c r="R32" i="21"/>
  <c r="Q32" i="21"/>
  <c r="H32" i="21"/>
  <c r="N32" i="21" s="1"/>
  <c r="D32" i="21"/>
  <c r="P32" i="21" s="1"/>
  <c r="H31" i="21"/>
  <c r="N31" i="21" s="1"/>
  <c r="D31" i="21"/>
  <c r="J31" i="21" s="1"/>
  <c r="J30" i="21"/>
  <c r="R30" i="21" s="1"/>
  <c r="O30" i="21"/>
  <c r="H30" i="21"/>
  <c r="M30" i="21" s="1"/>
  <c r="D30" i="21"/>
  <c r="H29" i="21"/>
  <c r="N29" i="21" s="1"/>
  <c r="D29" i="21"/>
  <c r="N28" i="21"/>
  <c r="M28" i="21"/>
  <c r="H28" i="21"/>
  <c r="D28" i="21"/>
  <c r="J28" i="21" s="1"/>
  <c r="R28" i="21" s="1"/>
  <c r="N27" i="21"/>
  <c r="H27" i="21"/>
  <c r="M27" i="21" s="1"/>
  <c r="D27" i="21"/>
  <c r="J27" i="21" s="1"/>
  <c r="G12" i="21"/>
  <c r="G11" i="21"/>
  <c r="M29" i="21" l="1"/>
  <c r="N30" i="21"/>
  <c r="M35" i="21"/>
  <c r="N36" i="21"/>
  <c r="U38" i="21"/>
  <c r="N46" i="21"/>
  <c r="U46" i="21" s="1"/>
  <c r="M38" i="21"/>
  <c r="N42" i="21"/>
  <c r="R31" i="21"/>
  <c r="Q31" i="21"/>
  <c r="O29" i="21"/>
  <c r="P29" i="21"/>
  <c r="U30" i="21"/>
  <c r="U32" i="21"/>
  <c r="J29" i="21"/>
  <c r="Q30" i="21"/>
  <c r="T30" i="21" s="1"/>
  <c r="J46" i="21"/>
  <c r="R46" i="21" s="1"/>
  <c r="I36" i="21"/>
  <c r="P36" i="21" s="1"/>
  <c r="U36" i="21" s="1"/>
  <c r="I39" i="21"/>
  <c r="P39" i="21" s="1"/>
  <c r="I42" i="21"/>
  <c r="P42" i="21" s="1"/>
  <c r="U42" i="21" s="1"/>
  <c r="O27" i="21"/>
  <c r="P30" i="21"/>
  <c r="I43" i="21"/>
  <c r="P43" i="21" s="1"/>
  <c r="U43" i="21" s="1"/>
  <c r="T62" i="21"/>
  <c r="U53" i="21"/>
  <c r="U63" i="21"/>
  <c r="P33" i="21"/>
  <c r="U33" i="21" s="1"/>
  <c r="O33" i="21"/>
  <c r="T33" i="21" s="1"/>
  <c r="U39" i="21"/>
  <c r="R47" i="21"/>
  <c r="Q47" i="21"/>
  <c r="U52" i="21"/>
  <c r="R50" i="21"/>
  <c r="Q50" i="21"/>
  <c r="O61" i="21"/>
  <c r="P61" i="21"/>
  <c r="T52" i="21"/>
  <c r="T55" i="21"/>
  <c r="O45" i="21"/>
  <c r="T45" i="21" s="1"/>
  <c r="P45" i="21"/>
  <c r="O52" i="21"/>
  <c r="P52" i="21"/>
  <c r="T58" i="21"/>
  <c r="T64" i="21"/>
  <c r="O35" i="21"/>
  <c r="U51" i="21"/>
  <c r="P53" i="21"/>
  <c r="P54" i="21"/>
  <c r="U54" i="21" s="1"/>
  <c r="O54" i="21"/>
  <c r="T54" i="21" s="1"/>
  <c r="R64" i="21"/>
  <c r="U64" i="21" s="1"/>
  <c r="Q64" i="21"/>
  <c r="P68" i="21"/>
  <c r="U68" i="21" s="1"/>
  <c r="O68" i="21"/>
  <c r="M32" i="21"/>
  <c r="P34" i="21"/>
  <c r="Q37" i="21"/>
  <c r="Q40" i="21"/>
  <c r="Q43" i="21"/>
  <c r="P27" i="21"/>
  <c r="Q28" i="21"/>
  <c r="M31" i="21"/>
  <c r="O32" i="21"/>
  <c r="J34" i="21"/>
  <c r="I37" i="21"/>
  <c r="I40" i="21"/>
  <c r="H71" i="21"/>
  <c r="Q27" i="21"/>
  <c r="Q36" i="21"/>
  <c r="O38" i="21"/>
  <c r="Q39" i="21"/>
  <c r="O41" i="21"/>
  <c r="Q42" i="21"/>
  <c r="N60" i="21"/>
  <c r="U60" i="21" s="1"/>
  <c r="M60" i="21"/>
  <c r="T60" i="21" s="1"/>
  <c r="R27" i="21"/>
  <c r="O46" i="21"/>
  <c r="U61" i="21"/>
  <c r="Q38" i="21"/>
  <c r="Q41" i="21"/>
  <c r="Q44" i="21"/>
  <c r="N45" i="21"/>
  <c r="I47" i="21"/>
  <c r="N48" i="21"/>
  <c r="U48" i="21" s="1"/>
  <c r="I50" i="21"/>
  <c r="O51" i="21"/>
  <c r="T51" i="21" s="1"/>
  <c r="P55" i="21"/>
  <c r="U55" i="21" s="1"/>
  <c r="O55" i="21"/>
  <c r="R57" i="21"/>
  <c r="U57" i="21" s="1"/>
  <c r="O60" i="21"/>
  <c r="R63" i="21"/>
  <c r="T65" i="21"/>
  <c r="U69" i="21"/>
  <c r="I44" i="21"/>
  <c r="Q46" i="21"/>
  <c r="T46" i="21" s="1"/>
  <c r="O48" i="21"/>
  <c r="T48" i="21" s="1"/>
  <c r="Q49" i="21"/>
  <c r="T49" i="21" s="1"/>
  <c r="M53" i="21"/>
  <c r="T53" i="21" s="1"/>
  <c r="O56" i="21"/>
  <c r="T56" i="21" s="1"/>
  <c r="O58" i="21"/>
  <c r="M61" i="21"/>
  <c r="Q62" i="21"/>
  <c r="U66" i="21"/>
  <c r="U67" i="21"/>
  <c r="O69" i="21"/>
  <c r="T69" i="21" s="1"/>
  <c r="N47" i="21"/>
  <c r="N50" i="21"/>
  <c r="T59" i="21"/>
  <c r="T68" i="21"/>
  <c r="M66" i="21"/>
  <c r="T66" i="21" s="1"/>
  <c r="O43" i="21" l="1"/>
  <c r="T43" i="21" s="1"/>
  <c r="O39" i="21"/>
  <c r="T39" i="21" s="1"/>
  <c r="T35" i="21"/>
  <c r="O31" i="21"/>
  <c r="P31" i="21"/>
  <c r="U31" i="21" s="1"/>
  <c r="O36" i="21"/>
  <c r="T36" i="21" s="1"/>
  <c r="O28" i="21"/>
  <c r="T28" i="21" s="1"/>
  <c r="P28" i="21"/>
  <c r="U28" i="21" s="1"/>
  <c r="T38" i="21"/>
  <c r="O42" i="21"/>
  <c r="T42" i="21" s="1"/>
  <c r="T31" i="21"/>
  <c r="R29" i="21"/>
  <c r="U29" i="21" s="1"/>
  <c r="Q29" i="21"/>
  <c r="T29" i="21" s="1"/>
  <c r="U34" i="21"/>
  <c r="P47" i="21"/>
  <c r="O47" i="21"/>
  <c r="T47" i="21" s="1"/>
  <c r="Q34" i="21"/>
  <c r="T34" i="21" s="1"/>
  <c r="R34" i="21"/>
  <c r="M71" i="21"/>
  <c r="P44" i="21"/>
  <c r="U44" i="21" s="1"/>
  <c r="O44" i="21"/>
  <c r="T44" i="21" s="1"/>
  <c r="U45" i="21"/>
  <c r="T32" i="21"/>
  <c r="T27" i="21"/>
  <c r="U50" i="21"/>
  <c r="U47" i="21"/>
  <c r="T61" i="21"/>
  <c r="P50" i="21"/>
  <c r="O50" i="21"/>
  <c r="T50" i="21" s="1"/>
  <c r="R71" i="21"/>
  <c r="G16" i="21" s="1"/>
  <c r="T41" i="21"/>
  <c r="O40" i="21"/>
  <c r="T40" i="21" s="1"/>
  <c r="P40" i="21"/>
  <c r="U40" i="21" s="1"/>
  <c r="U27" i="21"/>
  <c r="I71" i="21"/>
  <c r="O37" i="21"/>
  <c r="T37" i="21" s="1"/>
  <c r="P37" i="21"/>
  <c r="U37" i="21" s="1"/>
  <c r="N71" i="21"/>
  <c r="G15" i="21" s="1"/>
  <c r="J71" i="21"/>
  <c r="Q71" i="21" l="1"/>
  <c r="F9" i="21" s="1"/>
  <c r="F12" i="21" s="1"/>
  <c r="F13" i="21" s="1"/>
  <c r="O71" i="21"/>
  <c r="F10" i="21" s="1"/>
  <c r="P71" i="21"/>
  <c r="G17" i="21" s="1"/>
  <c r="G19" i="21" s="1"/>
  <c r="F20" i="21" s="1"/>
  <c r="K17" i="16" l="1"/>
  <c r="E20" i="20"/>
  <c r="D20" i="20"/>
  <c r="F13" i="20"/>
  <c r="E13" i="20"/>
  <c r="D13" i="20"/>
  <c r="I3" i="20"/>
  <c r="H3" i="20"/>
  <c r="C3" i="20"/>
  <c r="I2" i="20"/>
  <c r="H2" i="20"/>
  <c r="C2" i="20"/>
  <c r="C1" i="20"/>
  <c r="F13" i="11"/>
  <c r="F44" i="15"/>
  <c r="E43" i="15"/>
  <c r="D43" i="15"/>
  <c r="E42" i="15"/>
  <c r="D42" i="15"/>
  <c r="E41" i="15"/>
  <c r="D41" i="15" s="1"/>
  <c r="E40" i="15"/>
  <c r="E44" i="15" s="1"/>
  <c r="F39" i="15"/>
  <c r="E38" i="15"/>
  <c r="D38" i="15" s="1"/>
  <c r="E37" i="15"/>
  <c r="D37" i="15" s="1"/>
  <c r="E36" i="15"/>
  <c r="D36" i="15" s="1"/>
  <c r="F35" i="15"/>
  <c r="E34" i="15"/>
  <c r="D34" i="15" s="1"/>
  <c r="E33" i="15"/>
  <c r="D33" i="15"/>
  <c r="F28" i="15"/>
  <c r="E28" i="15"/>
  <c r="D28" i="15" s="1"/>
  <c r="F27" i="15"/>
  <c r="F30" i="15" s="1"/>
  <c r="E27" i="15"/>
  <c r="D27" i="15" s="1"/>
  <c r="F24" i="15"/>
  <c r="D24" i="15"/>
  <c r="F23" i="15"/>
  <c r="D23" i="15"/>
  <c r="F22" i="15"/>
  <c r="D22" i="15"/>
  <c r="F21" i="15"/>
  <c r="D21" i="15"/>
  <c r="D19" i="15"/>
  <c r="E19" i="15" s="1"/>
  <c r="D18" i="15"/>
  <c r="E18" i="15" s="1"/>
  <c r="D17" i="15"/>
  <c r="E17" i="15" s="1"/>
  <c r="D40" i="15" l="1"/>
  <c r="D44" i="15" s="1"/>
  <c r="D30" i="15"/>
  <c r="E30" i="15"/>
  <c r="D35" i="15"/>
  <c r="F45" i="15"/>
  <c r="F20" i="20"/>
  <c r="D39" i="15"/>
  <c r="D45" i="15" s="1"/>
  <c r="E35" i="15"/>
  <c r="E39" i="15"/>
  <c r="E45" i="15" l="1"/>
  <c r="G28" i="6"/>
  <c r="I28" i="6" s="1"/>
  <c r="G27" i="6"/>
  <c r="F23" i="6"/>
  <c r="I23" i="6" s="1"/>
  <c r="E23" i="6"/>
  <c r="G23" i="6" s="1"/>
  <c r="E22" i="6"/>
  <c r="F21" i="6"/>
  <c r="I21" i="6" s="1"/>
  <c r="E21" i="6"/>
  <c r="E24" i="6" s="1"/>
  <c r="I20" i="6"/>
  <c r="F20" i="6"/>
  <c r="G20" i="6" s="1"/>
  <c r="G16" i="6"/>
  <c r="N15" i="6"/>
  <c r="N18" i="6" s="1"/>
  <c r="N17" i="6" s="1"/>
  <c r="I15" i="6"/>
  <c r="G15" i="6"/>
  <c r="G14" i="6"/>
  <c r="I13" i="6"/>
  <c r="I16" i="6" s="1"/>
  <c r="G12" i="6"/>
  <c r="G29" i="6" l="1"/>
  <c r="I24" i="6"/>
  <c r="G22" i="6"/>
  <c r="G21" i="6"/>
  <c r="G24" i="6" s="1"/>
  <c r="F22" i="6"/>
  <c r="I22" i="6" s="1"/>
  <c r="F24" i="6"/>
  <c r="G30" i="6" s="1"/>
  <c r="I30" i="6" l="1"/>
  <c r="I31" i="6" s="1"/>
  <c r="G31" i="6"/>
  <c r="G15" i="5" l="1"/>
  <c r="G14" i="5"/>
  <c r="K24" i="16"/>
  <c r="E24" i="16"/>
  <c r="D23" i="16"/>
  <c r="K26" i="16" s="1"/>
  <c r="E32" i="16"/>
  <c r="K23" i="16"/>
  <c r="K25" i="16" s="1"/>
  <c r="E22" i="16"/>
  <c r="E17" i="16"/>
  <c r="L93" i="19"/>
  <c r="L91" i="19"/>
  <c r="G99" i="19"/>
  <c r="F92" i="19"/>
  <c r="E91" i="19"/>
  <c r="E90" i="19"/>
  <c r="E88" i="19"/>
  <c r="H88" i="19" s="1"/>
  <c r="G81" i="19"/>
  <c r="F81" i="19"/>
  <c r="E81" i="19"/>
  <c r="G57" i="19"/>
  <c r="G49" i="19"/>
  <c r="G29" i="19"/>
  <c r="G30" i="19"/>
  <c r="G32" i="19"/>
  <c r="G34" i="19"/>
  <c r="G38" i="19"/>
  <c r="G24" i="19"/>
  <c r="E57" i="19"/>
  <c r="E49" i="19"/>
  <c r="E24" i="19"/>
  <c r="I3" i="19"/>
  <c r="H3" i="19"/>
  <c r="C3" i="19"/>
  <c r="I2" i="19"/>
  <c r="H2" i="19"/>
  <c r="C2" i="19"/>
  <c r="C1" i="19"/>
  <c r="H98" i="19"/>
  <c r="H97" i="19"/>
  <c r="F96" i="19"/>
  <c r="F99" i="19" s="1"/>
  <c r="H95" i="19"/>
  <c r="H94" i="19"/>
  <c r="L94" i="19" s="1"/>
  <c r="H93" i="19"/>
  <c r="H92" i="19"/>
  <c r="H91" i="19"/>
  <c r="H90" i="19"/>
  <c r="H89" i="19"/>
  <c r="H87" i="19"/>
  <c r="E79" i="19"/>
  <c r="G79" i="19" s="1"/>
  <c r="E77" i="19"/>
  <c r="G77" i="19" s="1"/>
  <c r="E75" i="19"/>
  <c r="G75" i="19" s="1"/>
  <c r="E71" i="19"/>
  <c r="G71" i="19" s="1"/>
  <c r="E69" i="19"/>
  <c r="G69" i="19" s="1"/>
  <c r="E53" i="19"/>
  <c r="G53" i="19" s="1"/>
  <c r="E38" i="19"/>
  <c r="E34" i="19"/>
  <c r="E32" i="19"/>
  <c r="E30" i="19"/>
  <c r="E29" i="19"/>
  <c r="F26" i="13"/>
  <c r="D25" i="16" l="1"/>
  <c r="K18" i="16"/>
  <c r="E29" i="16"/>
  <c r="D29" i="16"/>
  <c r="E99" i="19"/>
  <c r="H96" i="19"/>
  <c r="H99" i="19" s="1"/>
  <c r="H101" i="19" s="1"/>
  <c r="I15" i="8" l="1"/>
  <c r="H13" i="18" l="1"/>
  <c r="I3" i="18"/>
  <c r="H3" i="18"/>
  <c r="C3" i="18"/>
  <c r="I2" i="18"/>
  <c r="H2" i="18"/>
  <c r="C2" i="18"/>
  <c r="C1" i="18"/>
  <c r="G13" i="18"/>
  <c r="F13" i="18"/>
  <c r="E13" i="18"/>
  <c r="D13" i="18"/>
  <c r="G13" i="17" l="1"/>
  <c r="G12" i="17"/>
  <c r="I3" i="17"/>
  <c r="H3" i="17"/>
  <c r="C3" i="17"/>
  <c r="I2" i="17"/>
  <c r="H2" i="17"/>
  <c r="C2" i="17"/>
  <c r="C1" i="17"/>
  <c r="I3" i="16"/>
  <c r="H3" i="16"/>
  <c r="C3" i="16"/>
  <c r="I2" i="16"/>
  <c r="H2" i="16"/>
  <c r="C2" i="16"/>
  <c r="C1" i="16"/>
  <c r="H13" i="9"/>
  <c r="D37" i="3"/>
  <c r="D36" i="3"/>
  <c r="D35" i="3"/>
  <c r="D34" i="3"/>
  <c r="D33" i="3"/>
  <c r="D32" i="3"/>
  <c r="D31" i="3"/>
  <c r="K26" i="3"/>
  <c r="J26" i="3"/>
  <c r="I26" i="3"/>
  <c r="F26" i="3"/>
  <c r="E26" i="3"/>
  <c r="D26" i="3"/>
  <c r="I20" i="3"/>
  <c r="I22" i="3" s="1"/>
  <c r="I11" i="3"/>
  <c r="D11" i="3"/>
  <c r="D20" i="3" s="1"/>
  <c r="D23" i="3" s="1"/>
  <c r="D24" i="3" s="1"/>
  <c r="K10" i="3"/>
  <c r="K11" i="3" s="1"/>
  <c r="K20" i="3" s="1"/>
  <c r="J10" i="3"/>
  <c r="J11" i="3" s="1"/>
  <c r="J20" i="3" s="1"/>
  <c r="F10" i="3"/>
  <c r="F11" i="3" s="1"/>
  <c r="F20" i="3" s="1"/>
  <c r="E10" i="3"/>
  <c r="E11" i="3" s="1"/>
  <c r="E20" i="3" s="1"/>
  <c r="I3" i="15"/>
  <c r="H3" i="15"/>
  <c r="C3" i="15"/>
  <c r="C2" i="15"/>
  <c r="C1" i="15"/>
  <c r="E22" i="3" l="1"/>
  <c r="E23" i="3"/>
  <c r="E24" i="3" s="1"/>
  <c r="J22" i="3"/>
  <c r="J23" i="3"/>
  <c r="J24" i="3" s="1"/>
  <c r="F22" i="3"/>
  <c r="F23" i="3"/>
  <c r="F24" i="3" s="1"/>
  <c r="K22" i="3"/>
  <c r="K23" i="3"/>
  <c r="K24" i="3" s="1"/>
  <c r="I23" i="3"/>
  <c r="I24" i="3" s="1"/>
  <c r="D22" i="3"/>
  <c r="G24" i="3" l="1"/>
  <c r="L24" i="3"/>
  <c r="I3" i="11"/>
  <c r="H3" i="11"/>
  <c r="C3" i="11"/>
  <c r="I2" i="11"/>
  <c r="H2" i="11"/>
  <c r="C2" i="11"/>
  <c r="C1" i="11"/>
  <c r="I3" i="14"/>
  <c r="H3" i="14"/>
  <c r="C3" i="14"/>
  <c r="I2" i="14"/>
  <c r="H2" i="14"/>
  <c r="C2" i="14"/>
  <c r="C1" i="14"/>
  <c r="I3" i="8"/>
  <c r="H3" i="8"/>
  <c r="C3" i="8"/>
  <c r="I2" i="8"/>
  <c r="H2" i="8"/>
  <c r="C2" i="8"/>
  <c r="C1" i="8"/>
  <c r="I3" i="12"/>
  <c r="H3" i="12"/>
  <c r="C3" i="12"/>
  <c r="I2" i="12"/>
  <c r="H2" i="12"/>
  <c r="C2" i="12"/>
  <c r="C1" i="12"/>
  <c r="I3" i="13"/>
  <c r="H3" i="13"/>
  <c r="C3" i="13"/>
  <c r="I2" i="13"/>
  <c r="H2" i="13"/>
  <c r="C2" i="13"/>
  <c r="C1" i="13"/>
  <c r="I3" i="6"/>
  <c r="H3" i="6"/>
  <c r="C3" i="6"/>
  <c r="C2" i="6"/>
  <c r="C1" i="6"/>
  <c r="I3" i="5"/>
  <c r="H3" i="5"/>
  <c r="C3" i="5"/>
  <c r="I2" i="5"/>
  <c r="H2" i="5"/>
  <c r="C2" i="5"/>
  <c r="C1" i="5"/>
  <c r="I3" i="9"/>
  <c r="H3" i="9"/>
  <c r="C3" i="9"/>
  <c r="I2" i="9"/>
  <c r="H2" i="9"/>
  <c r="C2" i="9"/>
  <c r="C1" i="9"/>
  <c r="I3" i="7"/>
  <c r="H3" i="7"/>
  <c r="C3" i="7"/>
  <c r="I2" i="7"/>
  <c r="H2" i="7"/>
  <c r="C2" i="7"/>
  <c r="C1" i="7"/>
  <c r="I3" i="10"/>
  <c r="H3" i="10"/>
  <c r="B3" i="10"/>
  <c r="I2" i="10"/>
  <c r="H2" i="10"/>
  <c r="B2" i="10"/>
  <c r="B1" i="10"/>
  <c r="I3" i="4"/>
  <c r="H3" i="4"/>
  <c r="C3" i="4"/>
  <c r="I2" i="4"/>
  <c r="H2" i="4"/>
  <c r="C2" i="4"/>
  <c r="C1" i="4"/>
  <c r="I3" i="3"/>
  <c r="I2" i="3"/>
  <c r="H3" i="3"/>
  <c r="H2" i="3"/>
  <c r="C3" i="3"/>
  <c r="C2" i="3"/>
  <c r="C1" i="3"/>
  <c r="N24" i="3" l="1"/>
  <c r="G32" i="14"/>
  <c r="G31" i="14"/>
  <c r="G30" i="14"/>
  <c r="G29" i="14"/>
  <c r="G28" i="14"/>
  <c r="G27" i="14"/>
  <c r="G26" i="14"/>
  <c r="G25" i="14"/>
  <c r="G24" i="14"/>
  <c r="G23" i="14"/>
  <c r="G22" i="14"/>
  <c r="G20" i="14"/>
  <c r="G18" i="14"/>
  <c r="G19" i="14" s="1"/>
  <c r="G17" i="14"/>
  <c r="G16" i="14"/>
  <c r="G15" i="14"/>
  <c r="G13" i="14"/>
  <c r="G11" i="14"/>
  <c r="G10" i="14"/>
  <c r="G9" i="14"/>
  <c r="G14" i="14" l="1"/>
  <c r="G21" i="14" s="1"/>
  <c r="D25" i="14" s="1"/>
  <c r="D28" i="14"/>
  <c r="D29" i="14" l="1"/>
  <c r="H13" i="12" l="1"/>
  <c r="E13" i="12" s="1"/>
  <c r="F13" i="12" l="1"/>
  <c r="F17" i="11" l="1"/>
  <c r="H40" i="10"/>
  <c r="H38" i="10"/>
  <c r="H37" i="10"/>
  <c r="H36" i="10"/>
  <c r="H35" i="10"/>
  <c r="H34" i="10"/>
  <c r="H33" i="10"/>
  <c r="H32" i="10"/>
  <c r="H31" i="10"/>
  <c r="H30" i="10"/>
  <c r="H29" i="10"/>
  <c r="H28" i="10"/>
  <c r="H27" i="10"/>
  <c r="H20" i="10"/>
  <c r="G20" i="10"/>
  <c r="F20" i="10"/>
  <c r="E20" i="10"/>
  <c r="D20" i="10"/>
  <c r="I19" i="10"/>
  <c r="I18" i="10"/>
  <c r="I17" i="10"/>
  <c r="I16" i="10"/>
  <c r="H13" i="10"/>
  <c r="G13" i="10"/>
  <c r="F13" i="10"/>
  <c r="E13" i="10"/>
  <c r="D13" i="10"/>
  <c r="C13" i="10"/>
  <c r="I12" i="10"/>
  <c r="I11" i="10"/>
  <c r="I10" i="10"/>
  <c r="I9" i="10"/>
  <c r="C22" i="10" l="1"/>
  <c r="H22" i="10"/>
  <c r="E22" i="10"/>
  <c r="F22" i="10"/>
  <c r="D22" i="10"/>
  <c r="G22" i="10"/>
  <c r="H39" i="10"/>
  <c r="I13" i="10"/>
  <c r="C42" i="10" s="1"/>
  <c r="C43" i="10"/>
  <c r="C44" i="10" s="1"/>
  <c r="C47" i="10" s="1"/>
  <c r="H41" i="10" l="1"/>
  <c r="I21" i="9"/>
  <c r="H21" i="9"/>
  <c r="F21" i="9"/>
  <c r="J21" i="9" s="1"/>
  <c r="I20" i="9"/>
  <c r="H20" i="9"/>
  <c r="F20" i="9"/>
  <c r="J20" i="9" s="1"/>
  <c r="I19" i="9"/>
  <c r="H19" i="9"/>
  <c r="F19" i="9"/>
  <c r="J19" i="9" s="1"/>
  <c r="I18" i="9"/>
  <c r="H18" i="9"/>
  <c r="F18" i="9"/>
  <c r="J18" i="9" s="1"/>
  <c r="I14" i="9"/>
  <c r="H14" i="9"/>
  <c r="F14" i="9"/>
  <c r="J14" i="9" s="1"/>
  <c r="I13" i="9"/>
  <c r="F13" i="9"/>
  <c r="J13" i="9" s="1"/>
  <c r="J22" i="9" l="1"/>
  <c r="I22" i="9"/>
  <c r="I15" i="9"/>
  <c r="H15" i="9"/>
  <c r="J15" i="9"/>
  <c r="H22" i="9"/>
  <c r="F45" i="8"/>
  <c r="E45" i="8"/>
  <c r="G44" i="8"/>
  <c r="G43" i="8"/>
  <c r="G42" i="8"/>
  <c r="G41" i="8"/>
  <c r="G40" i="8"/>
  <c r="G39" i="8"/>
  <c r="G38" i="8"/>
  <c r="G37" i="8"/>
  <c r="G36" i="8"/>
  <c r="G35" i="8"/>
  <c r="G34" i="8"/>
  <c r="G33" i="8"/>
  <c r="G32" i="8"/>
  <c r="G31" i="8"/>
  <c r="G30" i="8"/>
  <c r="G29" i="8"/>
  <c r="G28" i="8"/>
  <c r="G27" i="8"/>
  <c r="G26" i="8"/>
  <c r="G25" i="8"/>
  <c r="G24" i="8"/>
  <c r="G23" i="8"/>
  <c r="F13" i="8"/>
  <c r="G45" i="8" l="1"/>
  <c r="F14" i="8" s="1"/>
  <c r="I13" i="8"/>
  <c r="D32" i="7" l="1"/>
  <c r="D43" i="7" s="1"/>
  <c r="G43" i="7"/>
  <c r="F43" i="7"/>
  <c r="G40" i="7"/>
  <c r="F40" i="7"/>
  <c r="D40" i="7"/>
  <c r="H38" i="7"/>
  <c r="K26" i="7" s="1"/>
  <c r="M26" i="7" s="1"/>
  <c r="H37" i="7"/>
  <c r="E36" i="7"/>
  <c r="H36" i="7" s="1"/>
  <c r="H35" i="7"/>
  <c r="E33" i="7"/>
  <c r="H33" i="7" s="1"/>
  <c r="K27" i="7" s="1"/>
  <c r="M27" i="7" s="1"/>
  <c r="H31" i="7"/>
  <c r="H30" i="7"/>
  <c r="L29" i="7"/>
  <c r="H29" i="7"/>
  <c r="H28" i="7"/>
  <c r="H27" i="7"/>
  <c r="K18" i="7" s="1"/>
  <c r="M18" i="7" s="1"/>
  <c r="H26" i="7"/>
  <c r="K15" i="7" s="1"/>
  <c r="M15" i="7" s="1"/>
  <c r="M25" i="7"/>
  <c r="H25" i="7"/>
  <c r="M24" i="7"/>
  <c r="H24" i="7"/>
  <c r="H23" i="7"/>
  <c r="H22" i="7"/>
  <c r="H21" i="7"/>
  <c r="H20" i="7"/>
  <c r="H19" i="7"/>
  <c r="H18" i="7"/>
  <c r="H17" i="7"/>
  <c r="H16" i="7"/>
  <c r="H15" i="7"/>
  <c r="H14" i="7"/>
  <c r="H40" i="7" l="1"/>
  <c r="K14" i="7" s="1"/>
  <c r="M14" i="7" s="1"/>
  <c r="K21" i="7"/>
  <c r="M21" i="7" s="1"/>
  <c r="G44" i="7"/>
  <c r="K17" i="7"/>
  <c r="M17" i="7" s="1"/>
  <c r="F44" i="7"/>
  <c r="E43" i="7"/>
  <c r="E44" i="7" s="1"/>
  <c r="K23" i="7"/>
  <c r="M23" i="7" s="1"/>
  <c r="K22" i="7"/>
  <c r="M22" i="7" s="1"/>
  <c r="H32" i="7"/>
  <c r="K16" i="7"/>
  <c r="M16" i="7" s="1"/>
  <c r="K20" i="7"/>
  <c r="M20" i="7" s="1"/>
  <c r="K19" i="7"/>
  <c r="M19" i="7" s="1"/>
  <c r="D44" i="7"/>
  <c r="K29" i="7" l="1"/>
  <c r="M29" i="7" s="1"/>
  <c r="F29" i="4" l="1"/>
  <c r="G26" i="4"/>
  <c r="G29" i="4" s="1"/>
  <c r="G19" i="4"/>
  <c r="G34" i="4" s="1"/>
  <c r="F19" i="4"/>
  <c r="G17" i="4"/>
  <c r="F17" i="4"/>
  <c r="H15" i="4"/>
  <c r="H14" i="4"/>
  <c r="H13" i="4"/>
  <c r="F30" i="4" l="1"/>
  <c r="F35" i="4" s="1"/>
  <c r="H17" i="4"/>
  <c r="G30" i="4"/>
  <c r="G35" i="4" s="1"/>
  <c r="F33" i="4"/>
  <c r="G33" i="4"/>
  <c r="F34" i="4"/>
  <c r="H34" i="4" s="1"/>
  <c r="H35" i="4" l="1"/>
  <c r="H33" i="4"/>
  <c r="F36" i="4"/>
  <c r="G36" i="4"/>
  <c r="G38" i="4" s="1"/>
  <c r="H36" i="4" l="1"/>
  <c r="H38" i="4" s="1"/>
  <c r="F3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BOS Tip</author>
  </authors>
  <commentList>
    <comment ref="I15" authorId="0" shapeId="0" xr:uid="{43567FF4-609E-46E3-BA25-3D8A68A0A5E1}">
      <text>
        <r>
          <rPr>
            <b/>
            <sz val="8"/>
            <color indexed="81"/>
            <rFont val="Tahoma"/>
            <family val="2"/>
          </rPr>
          <t>BOS Tip:</t>
        </r>
        <r>
          <rPr>
            <sz val="8"/>
            <color indexed="81"/>
            <rFont val="Tahoma"/>
            <family val="2"/>
          </rPr>
          <t xml:space="preserve">
Column for Luxury Car Tax (LCT) or Wine Equalisation Tax (WET) if applicable. Insert the appropriate acronym if applicable, or leave blank.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kerriem</author>
  </authors>
  <commentList>
    <comment ref="C8" authorId="0" shapeId="0" xr:uid="{A2409185-5FF4-4244-BC4D-56F4A9BF7211}">
      <text>
        <r>
          <rPr>
            <b/>
            <sz val="8"/>
            <color indexed="81"/>
            <rFont val="Tahoma"/>
            <family val="2"/>
          </rPr>
          <t>From Net Capital Gain - Schedule D - Original Cost and Non-Assessable Amounts from Distributions Columns
Review each sale for type of capital gain (loss, discount gain or other).  Total the Original Cost for each type of gain and reduce by Non-Assessable Distributions.</t>
        </r>
      </text>
    </comment>
    <comment ref="E8" authorId="0" shapeId="0" xr:uid="{CFB5CAD8-6153-4C8C-B1EF-25778431FAF8}">
      <text>
        <r>
          <rPr>
            <b/>
            <sz val="8"/>
            <color indexed="81"/>
            <rFont val="Tahoma"/>
            <family val="2"/>
          </rPr>
          <t>Note: When Setting up BT Wrap account, create two accounts - one is the main one.
The second is for disposals only.</t>
        </r>
      </text>
    </comment>
    <comment ref="E9" authorId="0" shapeId="0" xr:uid="{955A1728-B36D-47B1-9FF4-A807F68DC172}">
      <text>
        <r>
          <rPr>
            <b/>
            <sz val="8"/>
            <color indexed="81"/>
            <rFont val="Tahoma"/>
            <family val="2"/>
          </rPr>
          <t>Note: When Setting up BT Wrap account, create two accounts - one is the main one.
The second is for disposals only.</t>
        </r>
      </text>
    </comment>
    <comment ref="E10" authorId="0" shapeId="0" xr:uid="{B4FF5083-EDC3-480E-8BE6-BB97ECF359FE}">
      <text>
        <r>
          <rPr>
            <b/>
            <sz val="8"/>
            <color indexed="81"/>
            <rFont val="Tahoma"/>
            <family val="2"/>
          </rPr>
          <t>Note: When Setting up BT Wrap account, create two accounts - one is the main one.
The second is for disposals only.</t>
        </r>
      </text>
    </comment>
    <comment ref="C15" authorId="0" shapeId="0" xr:uid="{C437374D-6F6F-4059-9B81-C11BDBDEA5BB}">
      <text>
        <r>
          <rPr>
            <b/>
            <sz val="8"/>
            <color indexed="81"/>
            <rFont val="Tahoma"/>
            <family val="2"/>
          </rPr>
          <t>From Net Capital Gains - Schedule D - Proceeds Column.
Review each sale for type of capital gain (loss, discount gain or other).  Total the proceeds for each type of gain.
Ensure that Capital Gain agrees to Schedule D when processing disposals.</t>
        </r>
      </text>
    </comment>
    <comment ref="C18" authorId="0" shapeId="0" xr:uid="{03CEBF80-58FA-45BA-98E1-819ED4C692ED}">
      <text>
        <r>
          <rPr>
            <b/>
            <sz val="8"/>
            <color indexed="81"/>
            <rFont val="Tahoma"/>
            <family val="2"/>
          </rPr>
          <t>Review Working Cash Account for:
 - Expenses paid
 - Income Tax paid
 - Transfers to other bank account
 - Pension Payments/ETPs</t>
        </r>
      </text>
    </comment>
  </commentList>
</comments>
</file>

<file path=xl/sharedStrings.xml><?xml version="1.0" encoding="utf-8"?>
<sst xmlns="http://schemas.openxmlformats.org/spreadsheetml/2006/main" count="816" uniqueCount="463">
  <si>
    <t>Client</t>
  </si>
  <si>
    <t>The LM &amp; SM Lever Super Fund</t>
  </si>
  <si>
    <t>Initials</t>
  </si>
  <si>
    <t>Date</t>
  </si>
  <si>
    <t>Client Code</t>
  </si>
  <si>
    <t>LEVL</t>
  </si>
  <si>
    <t xml:space="preserve">Prep by: </t>
  </si>
  <si>
    <t>CM</t>
  </si>
  <si>
    <t>As at:</t>
  </si>
  <si>
    <t xml:space="preserve">Rev by: </t>
  </si>
  <si>
    <t>DB</t>
  </si>
  <si>
    <t>WORKPAPER INDEX</t>
  </si>
  <si>
    <t>Ref.</t>
  </si>
  <si>
    <t>Links</t>
  </si>
  <si>
    <t>Applies</t>
  </si>
  <si>
    <t>Comments or Notes</t>
  </si>
  <si>
    <t>1. Financial Statements &amp; Other Fund Reports</t>
  </si>
  <si>
    <t>ü</t>
  </si>
  <si>
    <t>Financial Statements</t>
  </si>
  <si>
    <t>Members Statements</t>
  </si>
  <si>
    <t>SMSF Annual Return</t>
  </si>
  <si>
    <t>Final Trial Balance &amp; General Ledger</t>
  </si>
  <si>
    <t>Investment Strategy &amp; Comparison</t>
  </si>
  <si>
    <t>Trustee Minutes</t>
  </si>
  <si>
    <t>Complying Fund Notification</t>
  </si>
  <si>
    <t>Corporate Trustee - Now Infinity Report</t>
  </si>
  <si>
    <t>Financial Statements Supporting Workpapers</t>
  </si>
  <si>
    <t>Income tax &amp; GST</t>
  </si>
  <si>
    <t>Statement of Taxable Income</t>
  </si>
  <si>
    <t>Actuarial, ECPI &amp; ECPE reports</t>
  </si>
  <si>
    <t>ATO reports</t>
  </si>
  <si>
    <t>GST Reconciliation</t>
  </si>
  <si>
    <t>link</t>
  </si>
  <si>
    <t>Cash</t>
  </si>
  <si>
    <t>Bank Statements</t>
  </si>
  <si>
    <t>Receivables / Sundry Debtors</t>
  </si>
  <si>
    <t>Contributions Receivable</t>
  </si>
  <si>
    <t>Distributions Receivable</t>
  </si>
  <si>
    <t>Dividends Receivable</t>
  </si>
  <si>
    <t>Rent Receivable</t>
  </si>
  <si>
    <t>Sundry Debtors</t>
  </si>
  <si>
    <t>Investments</t>
  </si>
  <si>
    <t>Fixed Interest Securities</t>
  </si>
  <si>
    <t>Listed Shares</t>
  </si>
  <si>
    <t>Unlisted Shares</t>
  </si>
  <si>
    <t>Managed Funds &amp; UT's - Public</t>
  </si>
  <si>
    <t>Managed Funds &amp; UT's - Unlisted</t>
  </si>
  <si>
    <t xml:space="preserve">Other   </t>
  </si>
  <si>
    <t>Property</t>
  </si>
  <si>
    <t>Members Balances</t>
  </si>
  <si>
    <t>Contributions Received</t>
  </si>
  <si>
    <t>Div 293 or Excess CC Payments</t>
  </si>
  <si>
    <t>Life Insurance Premiums</t>
  </si>
  <si>
    <t>Lump Sum Payments</t>
  </si>
  <si>
    <t>Rollovers</t>
  </si>
  <si>
    <t>Pension Payments</t>
  </si>
  <si>
    <t>Liabilities</t>
  </si>
  <si>
    <t>Sundry Creditors</t>
  </si>
  <si>
    <t>LRBA</t>
  </si>
  <si>
    <t xml:space="preserve">Income </t>
  </si>
  <si>
    <t>Disposals</t>
  </si>
  <si>
    <t>Distributions</t>
  </si>
  <si>
    <t>Australian Dividends</t>
  </si>
  <si>
    <t>Foreign Dividends</t>
  </si>
  <si>
    <t>Rent</t>
  </si>
  <si>
    <t>Interest</t>
  </si>
  <si>
    <t>Other</t>
  </si>
  <si>
    <t>Income &amp; Income Comparison Reports</t>
  </si>
  <si>
    <t>Expenses</t>
  </si>
  <si>
    <t>General - Accounting</t>
  </si>
  <si>
    <t>General - ASIC</t>
  </si>
  <si>
    <t>General - Other</t>
  </si>
  <si>
    <t>Matters for the Auditors Attention</t>
  </si>
  <si>
    <t>General</t>
  </si>
  <si>
    <t>There have been no changes to the Fund's permanent records during the year</t>
  </si>
  <si>
    <t>End of year workpapers</t>
  </si>
  <si>
    <t>Minimum Pension Calc</t>
  </si>
  <si>
    <t>PAYG &amp; Instalment Calculator</t>
  </si>
  <si>
    <t>MINIMUM PENSION CALCULATION 2022/23 FINANCIAL YEAR</t>
  </si>
  <si>
    <t>Member Name:</t>
  </si>
  <si>
    <t>Member 1</t>
  </si>
  <si>
    <t>Member 2</t>
  </si>
  <si>
    <t>Fund Total Min Pension</t>
  </si>
  <si>
    <t>Date of Birth:</t>
  </si>
  <si>
    <t>Total</t>
  </si>
  <si>
    <t>Age as at 01/07/2022:</t>
  </si>
  <si>
    <t>Pension Date:</t>
  </si>
  <si>
    <t>Penion A/c No:</t>
  </si>
  <si>
    <t>Pension A/c Type:</t>
  </si>
  <si>
    <t>ABP</t>
  </si>
  <si>
    <t>TRIS</t>
  </si>
  <si>
    <t>Member Balance:</t>
  </si>
  <si>
    <t>Percentage Factor:</t>
  </si>
  <si>
    <t>Minimum Pension:</t>
  </si>
  <si>
    <t>50% Covid Reduction</t>
  </si>
  <si>
    <t>Rounded to nearest $10</t>
  </si>
  <si>
    <t>Maximum Pension:</t>
  </si>
  <si>
    <t>Age Min</t>
  </si>
  <si>
    <t>Age Max</t>
  </si>
  <si>
    <t>Percentage</t>
  </si>
  <si>
    <t>Half</t>
  </si>
  <si>
    <t>PAYG AND GST INSTALMENT CALC</t>
  </si>
  <si>
    <t>Ledger
A/c No.</t>
  </si>
  <si>
    <t>Detail</t>
  </si>
  <si>
    <t>$</t>
  </si>
  <si>
    <t xml:space="preserve">Instalments Raised by the ATO for the 2023FY to date: </t>
  </si>
  <si>
    <t>GST</t>
  </si>
  <si>
    <t>PAYG</t>
  </si>
  <si>
    <t>Enter amts from ATO or activity stmts - also look for ATO letter 'your PAYGI have changed'</t>
  </si>
  <si>
    <t xml:space="preserve">If the Fund wont' be lodging it's tax return until May 2023, use the 3 instalments calculator and enter in </t>
  </si>
  <si>
    <t>estimated instalments</t>
  </si>
  <si>
    <t>For new funds est in the 2022FY, enter in nil for Sept and Dec</t>
  </si>
  <si>
    <t>Number of instalments raised by the ATO for the 2023FY</t>
  </si>
  <si>
    <t>Net GST payable (1A - 1B)</t>
  </si>
  <si>
    <t>This is the net GST payable per the 2022 annual GST Return (ignoring the instalments)</t>
  </si>
  <si>
    <t>Income tax payable on taxable income</t>
  </si>
  <si>
    <t>These are from the 2022FY stmt of taxable income</t>
  </si>
  <si>
    <t>Less: Franking Credits</t>
  </si>
  <si>
    <t>Less: FTC</t>
  </si>
  <si>
    <t>Estimated tax for 2023FY</t>
  </si>
  <si>
    <t>Estimated quarterly instalments</t>
  </si>
  <si>
    <t>Shortfall/catchup amt</t>
  </si>
  <si>
    <t>Estimated Instalments for the remainder of the 2023FY:</t>
  </si>
  <si>
    <t>GST RECONCILIATION</t>
  </si>
  <si>
    <t>ON BAS</t>
  </si>
  <si>
    <t>GST Collected</t>
  </si>
  <si>
    <t>GST Paid</t>
  </si>
  <si>
    <t>PAYG W</t>
  </si>
  <si>
    <t>PAYG I</t>
  </si>
  <si>
    <t>FBT</t>
  </si>
  <si>
    <t>Deferred Instalments</t>
  </si>
  <si>
    <t>Net</t>
  </si>
  <si>
    <t>SEPTEMBER QUARTER</t>
  </si>
  <si>
    <t>DECEMBER QUARTER</t>
  </si>
  <si>
    <t>MARCH QUARTER</t>
  </si>
  <si>
    <t>JUNE QUARTER</t>
  </si>
  <si>
    <t>Totals</t>
  </si>
  <si>
    <t>IN ACCOUNTS</t>
  </si>
  <si>
    <t>JUNE QUARTER - ANNUAL AMTS</t>
  </si>
  <si>
    <t>VARIANCE = Reported minus paid</t>
  </si>
  <si>
    <t>Reconciliation</t>
  </si>
  <si>
    <t>Per Client</t>
  </si>
  <si>
    <t>Per Accounts</t>
  </si>
  <si>
    <t>Difference</t>
  </si>
  <si>
    <t>Transaction/Explaination</t>
  </si>
  <si>
    <t>Check:</t>
  </si>
  <si>
    <t>GST Instalments 2022</t>
  </si>
  <si>
    <t>Annual GST Report 2022</t>
  </si>
  <si>
    <t>840 Balance</t>
  </si>
  <si>
    <t>Check</t>
  </si>
  <si>
    <t>Rounding</t>
  </si>
  <si>
    <t>Bank Balance Confirm</t>
  </si>
  <si>
    <t>Notes or Comments</t>
  </si>
  <si>
    <t>Bank Accounts</t>
  </si>
  <si>
    <t>PER BGL</t>
  </si>
  <si>
    <t>PER SUPPORT DOC</t>
  </si>
  <si>
    <t>VARIANCE</t>
  </si>
  <si>
    <t>BBL186344271</t>
  </si>
  <si>
    <t>Bendigo Bank A/c</t>
  </si>
  <si>
    <t>INVESTMENT RECONCILIATION - BT</t>
  </si>
  <si>
    <t>Market value per BT Portfolio Valuation report</t>
  </si>
  <si>
    <t>This is the managed funds total - not the full protfolio val'n total</t>
  </si>
  <si>
    <t>Market value per accounts</t>
  </si>
  <si>
    <t xml:space="preserve">Variance </t>
  </si>
  <si>
    <t>Variance % =</t>
  </si>
  <si>
    <r>
      <t>Add back</t>
    </r>
    <r>
      <rPr>
        <sz val="11"/>
        <color theme="1"/>
        <rFont val="Calibri"/>
        <family val="2"/>
        <scheme val="minor"/>
      </rPr>
      <t xml:space="preserve"> WHT Variance</t>
    </r>
  </si>
  <si>
    <t>Variance - not material</t>
  </si>
  <si>
    <t>Total Variance % =</t>
  </si>
  <si>
    <t xml:space="preserve">immaterial </t>
  </si>
  <si>
    <t>This variation is mainly due to a variance in the unit price for investment WHT8435AU.  The market value in BGL is lower than</t>
  </si>
  <si>
    <t>the price reported by BT.  We are unable to explain this variance as the managed fund hasn't paid any distributions, so there</t>
  </si>
  <si>
    <t xml:space="preserve">shouldn't be much of a buy/sell spread.  </t>
  </si>
  <si>
    <t>Investment variance</t>
  </si>
  <si>
    <t>BGL - Market Value</t>
  </si>
  <si>
    <t>BT - Market Value</t>
  </si>
  <si>
    <t>Variance</t>
  </si>
  <si>
    <t>AMP0557 - AMP Cap</t>
  </si>
  <si>
    <t>BFL0002 - Bennelong</t>
  </si>
  <si>
    <t>BNT0101 - Hyperion Sm Growth</t>
  </si>
  <si>
    <t>CRM0008 - Cromwell Phoenix</t>
  </si>
  <si>
    <t>CRM0018 - Cromwell Direct Prop</t>
  </si>
  <si>
    <t>ETL0018 - PIMCO</t>
  </si>
  <si>
    <t>ETL0060 - Allan Gray</t>
  </si>
  <si>
    <t>FID0008 - Fidelity Aust</t>
  </si>
  <si>
    <t>FID0015 - Fidelity India</t>
  </si>
  <si>
    <t>IML0004 - Inv Mutal Industrial</t>
  </si>
  <si>
    <t>IOF0046 - Janus Henderson</t>
  </si>
  <si>
    <t>MGE0001 - Magellan Global</t>
  </si>
  <si>
    <t>MGE0002 - Magellan Infrastructure</t>
  </si>
  <si>
    <t>MIA0001 - MFS Global Equity</t>
  </si>
  <si>
    <t>OPS0002 - OC Premium Small</t>
  </si>
  <si>
    <t>PER0116 - Perpetual Wsale Ethical</t>
  </si>
  <si>
    <t>PER0260 - Perpetual Wsale Diversified</t>
  </si>
  <si>
    <t>PLA0001 - Platinum European</t>
  </si>
  <si>
    <t>PLA0002 - Platinum International</t>
  </si>
  <si>
    <t>SCH0028 - Schroder</t>
  </si>
  <si>
    <t>VAN0004 - Vanguard Aust Prop Sec</t>
  </si>
  <si>
    <t>WHT8435 - Hyperion Global</t>
  </si>
  <si>
    <t>INVESTMENT RECONCILIATION</t>
  </si>
  <si>
    <t>Opening account value</t>
  </si>
  <si>
    <t>------&gt;</t>
  </si>
  <si>
    <t>This is made up of:</t>
  </si>
  <si>
    <t>Distbns Rec</t>
  </si>
  <si>
    <t>Taken from CB 2021 WP</t>
  </si>
  <si>
    <t>Mgd Fund</t>
  </si>
  <si>
    <t>Income</t>
  </si>
  <si>
    <t>Fees and expenses</t>
  </si>
  <si>
    <t>Market mvt</t>
  </si>
  <si>
    <t>Closing account value</t>
  </si>
  <si>
    <t>Journal entry</t>
  </si>
  <si>
    <t>A/c</t>
  </si>
  <si>
    <t>Dr</t>
  </si>
  <si>
    <t>Cr</t>
  </si>
  <si>
    <t>Distributions Rec 2021</t>
  </si>
  <si>
    <t>Distributions Rec 2022</t>
  </si>
  <si>
    <t>Cash income</t>
  </si>
  <si>
    <t>Distribution income</t>
  </si>
  <si>
    <t>2021 rec</t>
  </si>
  <si>
    <t>North invest</t>
  </si>
  <si>
    <t>2022 rec</t>
  </si>
  <si>
    <t>Adviser fees</t>
  </si>
  <si>
    <t>less mgt fee rebate</t>
  </si>
  <si>
    <t>North wrap - disposals</t>
  </si>
  <si>
    <t>(take up 1 unit, date does not matter as there is a loss)</t>
  </si>
  <si>
    <t>(This entry takes up the sold assets at their cost)</t>
  </si>
  <si>
    <t>(sell 1 unit)</t>
  </si>
  <si>
    <t xml:space="preserve">(This entry takes up the investment switch and should result </t>
  </si>
  <si>
    <t>in a net CL of $)</t>
  </si>
  <si>
    <t>No sales throughout the financial year - only CGT from distributions</t>
  </si>
  <si>
    <t>Client:</t>
  </si>
  <si>
    <t>W/P:</t>
  </si>
  <si>
    <t>JOURNAL - North Portfolio</t>
  </si>
  <si>
    <t xml:space="preserve">Page: </t>
  </si>
  <si>
    <t>DATE</t>
  </si>
  <si>
    <t>JNL #</t>
  </si>
  <si>
    <t>DETAILS/NARRATION
underline to record on BGL</t>
  </si>
  <si>
    <t>Cash(C) or NON CASH(NC)</t>
  </si>
  <si>
    <t>ACCOUNT CODE</t>
  </si>
  <si>
    <t>DEBIT</t>
  </si>
  <si>
    <t>CREDIT</t>
  </si>
  <si>
    <t>North Wrap A/c - Disposals - Losses</t>
  </si>
  <si>
    <t>NC</t>
  </si>
  <si>
    <t xml:space="preserve">CGT date </t>
  </si>
  <si>
    <t>leave as 30/6/2021</t>
  </si>
  <si>
    <t>North Wrap A/c - Disposals - Discount</t>
  </si>
  <si>
    <t>North Wrap A/c - Disposals - Other</t>
  </si>
  <si>
    <t>North Wrap A/c</t>
  </si>
  <si>
    <t>(Take up cost base of investments sold during the year)</t>
  </si>
  <si>
    <t>Sale Proceeds - Losses</t>
  </si>
  <si>
    <t>Sale Proceeds - Discount</t>
  </si>
  <si>
    <t>Sale Proceeds - Other</t>
  </si>
  <si>
    <t>Sale Proceeds Clearing</t>
  </si>
  <si>
    <t>(Take up realised disposals)</t>
  </si>
  <si>
    <t xml:space="preserve">Realised Gains and Losses </t>
  </si>
  <si>
    <t>(enter data into yellow fields only)</t>
  </si>
  <si>
    <t>Capital Gain/(Loss)</t>
  </si>
  <si>
    <t>Cap Losses</t>
  </si>
  <si>
    <t>Other CG</t>
  </si>
  <si>
    <t>Disc CG</t>
  </si>
  <si>
    <t>Purchase</t>
  </si>
  <si>
    <t>Sale</t>
  </si>
  <si>
    <t>Days held</t>
  </si>
  <si>
    <t>Security</t>
  </si>
  <si>
    <t>Cost Base</t>
  </si>
  <si>
    <t>Proceeds</t>
  </si>
  <si>
    <t>Loss</t>
  </si>
  <si>
    <t>Other Gain</t>
  </si>
  <si>
    <t>Discount Gain</t>
  </si>
  <si>
    <t>check</t>
  </si>
  <si>
    <t>Matches NCG Report</t>
  </si>
  <si>
    <t>SEE PRIOR YEAR WORKPAPER TO HELP COMPLETE THIS</t>
  </si>
  <si>
    <t>Name of Investment</t>
  </si>
  <si>
    <t>No of Units EOY</t>
  </si>
  <si>
    <t>Market Value $ / Unit</t>
  </si>
  <si>
    <t>Total Value EOY</t>
  </si>
  <si>
    <t>Assets</t>
  </si>
  <si>
    <t>Total Assets</t>
  </si>
  <si>
    <t>Total Liabilities</t>
  </si>
  <si>
    <t>Net Assets</t>
  </si>
  <si>
    <t>Unit Price</t>
  </si>
  <si>
    <t>Units Issued</t>
  </si>
  <si>
    <t>Price</t>
  </si>
  <si>
    <t>Asset Allocation</t>
  </si>
  <si>
    <t>PROPERTY VALUATION</t>
  </si>
  <si>
    <t>Fixtures &amp; Fittings</t>
  </si>
  <si>
    <t>Real Estate Property</t>
  </si>
  <si>
    <t>Median Valuation</t>
  </si>
  <si>
    <t>Valuation
Minimum</t>
  </si>
  <si>
    <t>Valuation
Maximum</t>
  </si>
  <si>
    <t>Valuation
Date</t>
  </si>
  <si>
    <t>77250/LEVL-21</t>
  </si>
  <si>
    <t>9/175 Ocean Drive, Twin Waters</t>
  </si>
  <si>
    <t>RECEIVABLES &amp; DEBTORS</t>
  </si>
  <si>
    <t>North Wrap account:</t>
  </si>
  <si>
    <t>Ardrea Real Outcome</t>
  </si>
  <si>
    <t>abrdn Emerging Opportunities Fund</t>
  </si>
  <si>
    <t>Aspect Diversified Futures Fund</t>
  </si>
  <si>
    <t>Ausbil Australian Emerging Leaders Fund</t>
  </si>
  <si>
    <t>ClearBridge RARE - Infrastructure Value Fun</t>
  </si>
  <si>
    <t>Macquarie Cash</t>
  </si>
  <si>
    <t>Macquarie International Infrastructure</t>
  </si>
  <si>
    <t>Martin Currie Property Securities Fund</t>
  </si>
  <si>
    <t>Merlon Australian Share Income Fund</t>
  </si>
  <si>
    <t>Perpetual Concentrated equity</t>
  </si>
  <si>
    <t>Perpetual Industrial Share</t>
  </si>
  <si>
    <t>Schroder Global</t>
  </si>
  <si>
    <t>Zurich Investments</t>
  </si>
  <si>
    <t>CREDITORS</t>
  </si>
  <si>
    <t>Qtr 3 BAS paid twice</t>
  </si>
  <si>
    <t>Qtr 4 BAS Issued</t>
  </si>
  <si>
    <t>paid 23/8/22</t>
  </si>
  <si>
    <t>DISTRIBUTION INCOME</t>
  </si>
  <si>
    <t>BT Panorama</t>
  </si>
  <si>
    <t>External Hold</t>
  </si>
  <si>
    <t>Related UT</t>
  </si>
  <si>
    <t>BNT0101 adj</t>
  </si>
  <si>
    <t>CRM00018</t>
  </si>
  <si>
    <t>Per calc</t>
  </si>
  <si>
    <t>Per BGL</t>
  </si>
  <si>
    <t>variance</t>
  </si>
  <si>
    <t>Total distribution</t>
  </si>
  <si>
    <t>Total payment</t>
  </si>
  <si>
    <t>Interest - Aust</t>
  </si>
  <si>
    <t>Franked</t>
  </si>
  <si>
    <t>Other CGs</t>
  </si>
  <si>
    <t>Unfranked</t>
  </si>
  <si>
    <t>- TARP</t>
  </si>
  <si>
    <t>Interest/other</t>
  </si>
  <si>
    <t>- NTARP</t>
  </si>
  <si>
    <t>Franking credits</t>
  </si>
  <si>
    <t>Disc CG's</t>
  </si>
  <si>
    <t>CGT concession</t>
  </si>
  <si>
    <t>Foreign income</t>
  </si>
  <si>
    <t>Net foreign inc</t>
  </si>
  <si>
    <t>Australian dividends</t>
  </si>
  <si>
    <t>FTC</t>
  </si>
  <si>
    <t>- unfranked</t>
  </si>
  <si>
    <t>Tax exempt</t>
  </si>
  <si>
    <t>- unfranked CFI</t>
  </si>
  <si>
    <t>Tax free</t>
  </si>
  <si>
    <t>- franked</t>
  </si>
  <si>
    <t>TD/AMIT</t>
  </si>
  <si>
    <t>- franking credits</t>
  </si>
  <si>
    <t>Other Aust income</t>
  </si>
  <si>
    <t>Tax deferred</t>
  </si>
  <si>
    <t>FTC - CG</t>
  </si>
  <si>
    <t>Non cash attributions</t>
  </si>
  <si>
    <t>AMIT cost base adj</t>
  </si>
  <si>
    <t>Total cash distribution</t>
  </si>
  <si>
    <t>CHECK</t>
  </si>
  <si>
    <t>ACCOUNTING FEES</t>
  </si>
  <si>
    <t xml:space="preserve"> Cash distbn </t>
  </si>
  <si>
    <t xml:space="preserve"> Tax distbn </t>
  </si>
  <si>
    <t>Cash account</t>
  </si>
  <si>
    <t>Ardea Real Outcome Fund</t>
  </si>
  <si>
    <t>Aberdeen Emerg Opp</t>
  </si>
  <si>
    <t>Aspect Diversified</t>
  </si>
  <si>
    <t>Ausbil</t>
  </si>
  <si>
    <t>ClearBridge RARE</t>
  </si>
  <si>
    <t>Macquarie International</t>
  </si>
  <si>
    <t>Martin Currie</t>
  </si>
  <si>
    <t>Merlon Australian Share</t>
  </si>
  <si>
    <t>Perpetual Concentrated</t>
  </si>
  <si>
    <t>Perpetual industrial</t>
  </si>
  <si>
    <t>Schroder</t>
  </si>
  <si>
    <t>Zurich</t>
  </si>
  <si>
    <t>Total (cash) distribution income</t>
  </si>
  <si>
    <t>Distributed</t>
  </si>
  <si>
    <t xml:space="preserve"> Gross up Disc CG </t>
  </si>
  <si>
    <t>Adjustments</t>
  </si>
  <si>
    <t>Tax component</t>
  </si>
  <si>
    <t>Franked div</t>
  </si>
  <si>
    <t>Unfranked + Conduit</t>
  </si>
  <si>
    <t>Disc CG (net)</t>
  </si>
  <si>
    <t>Gross disc CG</t>
  </si>
  <si>
    <t>CGT conc</t>
  </si>
  <si>
    <t>Indexed CG</t>
  </si>
  <si>
    <t>Non-assessable amounts</t>
  </si>
  <si>
    <t>AMIT</t>
  </si>
  <si>
    <t>Variance - assumed non-cash disbn</t>
  </si>
  <si>
    <t>Foreign tax credits</t>
  </si>
  <si>
    <t>DIVIDEND RECONCILIATION</t>
  </si>
  <si>
    <t>FC</t>
  </si>
  <si>
    <t>Foreign Income</t>
  </si>
  <si>
    <t>FITO</t>
  </si>
  <si>
    <t>Portfolio - Dividend Income</t>
  </si>
  <si>
    <t>BGL</t>
  </si>
  <si>
    <t>*download dividend reconciliation report from BGL to obtain this information</t>
  </si>
  <si>
    <t>FOREIGN DIVIDENDS - CALC OF WHT</t>
  </si>
  <si>
    <t>Foreign Code</t>
  </si>
  <si>
    <t>Payment Date</t>
  </si>
  <si>
    <t>$FOREIGN</t>
  </si>
  <si>
    <t>FX Rate</t>
  </si>
  <si>
    <t>$AUD</t>
  </si>
  <si>
    <t xml:space="preserve">Total div </t>
  </si>
  <si>
    <t>WHT</t>
  </si>
  <si>
    <t>Net div</t>
  </si>
  <si>
    <t>RENTAL INCOME</t>
  </si>
  <si>
    <t>Gross</t>
  </si>
  <si>
    <t>Lease to Ronnie Pearl Pty Ltd (related party)</t>
  </si>
  <si>
    <t xml:space="preserve">Original lease term: </t>
  </si>
  <si>
    <t>01/09/2013 to 31/08/2018</t>
  </si>
  <si>
    <t>Rent:</t>
  </si>
  <si>
    <t>$26,250 per annum plus GST</t>
  </si>
  <si>
    <t xml:space="preserve">Option to renew: </t>
  </si>
  <si>
    <t>2 x 5 years</t>
  </si>
  <si>
    <t xml:space="preserve">Market review dates: </t>
  </si>
  <si>
    <t>01/09/2018 and 01/09/2023</t>
  </si>
  <si>
    <t xml:space="preserve">General rent increase: </t>
  </si>
  <si>
    <t>3%</t>
  </si>
  <si>
    <t>Rent appraisal 9/5/2019</t>
  </si>
  <si>
    <t>Annual - Net</t>
  </si>
  <si>
    <t>Monthly - Net</t>
  </si>
  <si>
    <t>Monthly inc GST</t>
  </si>
  <si>
    <t xml:space="preserve">Lower rent $285m2 x 105m2 </t>
  </si>
  <si>
    <t xml:space="preserve">Median rent $295m2 x 105m2 </t>
  </si>
  <si>
    <t xml:space="preserve">Upper rent $305m2 x 105m2 </t>
  </si>
  <si>
    <t>Rent amt from 01/09/2018</t>
  </si>
  <si>
    <t>Rent increase from 01/09/2019</t>
  </si>
  <si>
    <t>Rent increase from 01/09/2020</t>
  </si>
  <si>
    <t>Rent increase from 01/09/2021</t>
  </si>
  <si>
    <t>Rental Income</t>
  </si>
  <si>
    <t>July 2021 - August 2021</t>
  </si>
  <si>
    <t>$2,690.36/mth ex GST</t>
  </si>
  <si>
    <t>Sept 2021 - June 2022</t>
  </si>
  <si>
    <t>$2,771.07/mth ex GST</t>
  </si>
  <si>
    <t>Total Rental Income</t>
  </si>
  <si>
    <t>Outgoings</t>
  </si>
  <si>
    <t>Council rates</t>
  </si>
  <si>
    <t>Total - council rates</t>
  </si>
  <si>
    <t>Strata levy</t>
  </si>
  <si>
    <t>Total - strata levy</t>
  </si>
  <si>
    <t>Water rates</t>
  </si>
  <si>
    <t>Total - water rates</t>
  </si>
  <si>
    <t>Total Outgoings</t>
  </si>
  <si>
    <t>2021FY FINAL FEE BREAKDOWN</t>
  </si>
  <si>
    <t>GST claimable</t>
  </si>
  <si>
    <t>Audit - no GST claim</t>
  </si>
  <si>
    <t>Admin fees - GST claim</t>
  </si>
  <si>
    <t>Accouting fees - no GST claim</t>
  </si>
  <si>
    <t>Accouting fees - GST claim</t>
  </si>
  <si>
    <t>RITC % for 2022FY</t>
  </si>
  <si>
    <t>Qtrly fee</t>
  </si>
  <si>
    <t>Acc - no GST</t>
  </si>
  <si>
    <t>Acc - GST</t>
  </si>
  <si>
    <t>Amounts reported in accounts</t>
  </si>
  <si>
    <t>GST claimed</t>
  </si>
  <si>
    <t>Adjustment entry:</t>
  </si>
  <si>
    <t>Audit</t>
  </si>
  <si>
    <t>Admin</t>
  </si>
  <si>
    <t>ADVISOR FEE RECONCILIATION</t>
  </si>
  <si>
    <t>Adviser Fees</t>
  </si>
  <si>
    <t>North invest - management charge</t>
  </si>
  <si>
    <t>North inves - client advice fee</t>
  </si>
  <si>
    <t>Less: RITC</t>
  </si>
  <si>
    <t>Adviser fees per accounts</t>
  </si>
  <si>
    <t>&lt;matches BGL&gt;</t>
  </si>
  <si>
    <t>INSURANCE</t>
  </si>
  <si>
    <t>Sophie</t>
  </si>
  <si>
    <t>Per Stm</t>
  </si>
  <si>
    <t>Fund Paid</t>
  </si>
  <si>
    <t>Statement Total</t>
  </si>
  <si>
    <t>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</si>
</sst>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quot;$&quot;#,##0.00;[Red]\-&quot;$&quot;#,##0.00"/>
    <numFmt numFmtId="165" formatCode="_-&quot;$&quot;* #,##0.00_-;\-&quot;$&quot;* #,##0.00_-;_-&quot;$&quot;* &quot;-&quot;??_-;_-@_-"/>
    <numFmt numFmtId="166" formatCode="_-* #,##0.00_-;\-* #,##0.00_-;_-* &quot;-&quot;??_-;_-@_-"/>
    <numFmt numFmtId="167" formatCode="d\-mmm\-yyyy"/>
    <numFmt numFmtId="168" formatCode="_-* #,##0_-;\-* #,##0_-;_-* &quot;-&quot;??_-;_-@_-"/>
    <numFmt numFmtId="169" formatCode="0.0000%"/>
    <numFmt numFmtId="170" formatCode="_-* #,##0.0000_-;\-* #,##0.0000_-;_-* &quot;-&quot;??_-;_-@_-"/>
    <numFmt numFmtId="171" formatCode="_-&quot;$&quot;* #,##0.00000_-;\-&quot;$&quot;* #,##0.00000_-;_-&quot;$&quot;* &quot;-&quot;??_-;_-@_-"/>
    <numFmt numFmtId="172" formatCode="_([$$-409]* #,##0.00_);_([$$-409]* \(#,##0.00\);_([$$-409]* &quot;-&quot;??_);_(@_)"/>
  </numFmts>
  <fonts count="43">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0"/>
      <name val="Calibri"/>
      <family val="2"/>
      <scheme val="minor"/>
    </font>
    <font>
      <b/>
      <sz val="14"/>
      <name val="Calibri"/>
      <family val="2"/>
      <scheme val="minor"/>
    </font>
    <font>
      <sz val="10"/>
      <name val="Calibri"/>
      <family val="2"/>
      <scheme val="minor"/>
    </font>
    <font>
      <b/>
      <sz val="12"/>
      <name val="Calibri"/>
      <family val="2"/>
      <scheme val="minor"/>
    </font>
    <font>
      <b/>
      <sz val="11"/>
      <name val="Calibri"/>
      <family val="2"/>
      <scheme val="minor"/>
    </font>
    <font>
      <sz val="10"/>
      <name val="Arial"/>
      <family val="2"/>
    </font>
    <font>
      <sz val="14"/>
      <name val="Wingdings"/>
      <charset val="2"/>
    </font>
    <font>
      <sz val="8"/>
      <name val="Calibri"/>
      <family val="2"/>
      <scheme val="minor"/>
    </font>
    <font>
      <b/>
      <sz val="9"/>
      <name val="Calibri"/>
      <family val="2"/>
      <scheme val="minor"/>
    </font>
    <font>
      <sz val="14"/>
      <name val="Calibri"/>
      <family val="2"/>
      <scheme val="minor"/>
    </font>
    <font>
      <b/>
      <sz val="9"/>
      <name val="Arial"/>
      <family val="2"/>
    </font>
    <font>
      <sz val="9"/>
      <name val="Calibri"/>
      <family val="2"/>
      <scheme val="minor"/>
    </font>
    <font>
      <sz val="9"/>
      <name val="Arial"/>
      <family val="2"/>
    </font>
    <font>
      <i/>
      <sz val="6"/>
      <name val="Arial"/>
      <family val="2"/>
    </font>
    <font>
      <sz val="11"/>
      <color rgb="FF0070C0"/>
      <name val="Calibri"/>
      <family val="2"/>
      <scheme val="minor"/>
    </font>
    <font>
      <sz val="11"/>
      <color theme="4" tint="-0.249977111117893"/>
      <name val="Calibri"/>
      <family val="2"/>
      <scheme val="minor"/>
    </font>
    <font>
      <u/>
      <sz val="11"/>
      <color theme="10"/>
      <name val="Calibri"/>
      <family val="2"/>
      <scheme val="minor"/>
    </font>
    <font>
      <b/>
      <sz val="14"/>
      <name val="Arial"/>
      <family val="2"/>
    </font>
    <font>
      <b/>
      <sz val="10"/>
      <name val="Arial"/>
      <family val="2"/>
    </font>
    <font>
      <sz val="12"/>
      <name val="Arial"/>
      <family val="2"/>
    </font>
    <font>
      <b/>
      <sz val="12"/>
      <name val="Arial"/>
      <family val="2"/>
    </font>
    <font>
      <sz val="13"/>
      <name val="Times New Roman"/>
      <family val="1"/>
    </font>
    <font>
      <sz val="13"/>
      <name val="Arial"/>
      <family val="2"/>
    </font>
    <font>
      <b/>
      <sz val="8"/>
      <color indexed="81"/>
      <name val="Tahoma"/>
      <family val="2"/>
    </font>
    <font>
      <sz val="8"/>
      <color indexed="81"/>
      <name val="Tahoma"/>
      <family val="2"/>
    </font>
    <font>
      <sz val="11"/>
      <name val="Calibri"/>
      <family val="2"/>
      <scheme val="minor"/>
    </font>
    <font>
      <i/>
      <sz val="11"/>
      <name val="Calibri"/>
      <family val="2"/>
      <scheme val="minor"/>
    </font>
    <font>
      <sz val="8"/>
      <name val="Calibri Light"/>
      <family val="2"/>
      <scheme val="major"/>
    </font>
    <font>
      <u/>
      <sz val="8"/>
      <color theme="10"/>
      <name val="Calibri Light"/>
      <family val="2"/>
      <scheme val="major"/>
    </font>
    <font>
      <b/>
      <sz val="11"/>
      <color rgb="FFFF0000"/>
      <name val="Calibri"/>
      <family val="2"/>
      <scheme val="minor"/>
    </font>
    <font>
      <u/>
      <sz val="8"/>
      <color theme="10"/>
      <name val="Calibri"/>
      <family val="2"/>
      <scheme val="minor"/>
    </font>
    <font>
      <i/>
      <sz val="11"/>
      <color theme="1"/>
      <name val="Calibri"/>
      <family val="2"/>
      <scheme val="minor"/>
    </font>
    <font>
      <b/>
      <sz val="12"/>
      <color rgb="FFFF0000"/>
      <name val="Arial"/>
      <family val="2"/>
    </font>
    <font>
      <sz val="12"/>
      <color theme="1"/>
      <name val="Calibri"/>
      <family val="2"/>
      <scheme val="minor"/>
    </font>
    <font>
      <sz val="10"/>
      <color theme="1"/>
      <name val="Arial"/>
    </font>
    <font>
      <sz val="10"/>
      <name val="Arial"/>
    </font>
    <font>
      <u/>
      <sz val="10"/>
      <color indexed="12"/>
      <name val="Arial"/>
      <family val="2"/>
    </font>
    <font>
      <b/>
      <sz val="10"/>
      <color indexed="10"/>
      <name val="Arial"/>
      <family val="2"/>
    </font>
    <font>
      <b/>
      <sz val="8"/>
      <name val="Arial"/>
      <family val="2"/>
    </font>
  </fonts>
  <fills count="17">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theme="7" tint="0.79998168889431442"/>
        <bgColor indexed="64"/>
      </patternFill>
    </fill>
    <fill>
      <patternFill patternType="solid">
        <fgColor rgb="FFFFF2CC"/>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FFC000"/>
        <bgColor indexed="64"/>
      </patternFill>
    </fill>
    <fill>
      <patternFill patternType="solid">
        <fgColor indexed="42"/>
        <bgColor indexed="64"/>
      </patternFill>
    </fill>
    <fill>
      <patternFill patternType="solid">
        <fgColor theme="6"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000000"/>
      </left>
      <right/>
      <top/>
      <bottom/>
      <diagonal/>
    </border>
    <border>
      <left style="medium">
        <color rgb="FF000000"/>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thin">
        <color indexed="64"/>
      </top>
      <bottom/>
      <diagonal/>
    </border>
    <border>
      <left style="thin">
        <color indexed="64"/>
      </left>
      <right/>
      <top style="thin">
        <color indexed="64"/>
      </top>
      <bottom/>
      <diagonal/>
    </border>
    <border>
      <left/>
      <right style="medium">
        <color rgb="FF000000"/>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double">
        <color indexed="64"/>
      </bottom>
      <diagonal/>
    </border>
    <border>
      <left/>
      <right/>
      <top style="thin">
        <color rgb="FF000000"/>
      </top>
      <bottom style="double">
        <color rgb="FF000000"/>
      </bottom>
      <diagonal/>
    </border>
    <border>
      <left/>
      <right/>
      <top style="thin">
        <color indexed="64"/>
      </top>
      <bottom style="medium">
        <color indexed="64"/>
      </bottom>
      <diagonal/>
    </border>
    <border>
      <left/>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rgb="FF000000"/>
      </left>
      <right style="thin">
        <color indexed="64"/>
      </right>
      <top/>
      <bottom style="thin">
        <color rgb="FF000000"/>
      </bottom>
      <diagonal/>
    </border>
    <border>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rgb="FF000000"/>
      </right>
      <top style="thin">
        <color indexed="64"/>
      </top>
      <bottom style="thin">
        <color rgb="FF000000"/>
      </bottom>
      <diagonal/>
    </border>
    <border>
      <left style="thin">
        <color indexed="64"/>
      </left>
      <right/>
      <top/>
      <bottom style="thin">
        <color rgb="FF000000"/>
      </bottom>
      <diagonal/>
    </border>
  </borders>
  <cellStyleXfs count="12">
    <xf numFmtId="0" fontId="0" fillId="0" borderId="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0" fontId="20" fillId="0" borderId="0" applyNumberForma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0" fontId="25" fillId="0" borderId="0"/>
    <xf numFmtId="43" fontId="9" fillId="0" borderId="0" applyFont="0" applyFill="0" applyBorder="0" applyAlignment="0" applyProtection="0"/>
    <xf numFmtId="0" fontId="9" fillId="0" borderId="0"/>
    <xf numFmtId="0" fontId="1" fillId="0" borderId="0"/>
  </cellStyleXfs>
  <cellXfs count="446">
    <xf numFmtId="0" fontId="0" fillId="0" borderId="0" xfId="0"/>
    <xf numFmtId="0" fontId="5" fillId="0" borderId="0" xfId="0" applyFont="1"/>
    <xf numFmtId="0" fontId="6" fillId="0" borderId="0" xfId="0" applyFont="1"/>
    <xf numFmtId="0" fontId="6" fillId="0" borderId="0" xfId="0" applyFont="1" applyAlignment="1">
      <alignment horizontal="left"/>
    </xf>
    <xf numFmtId="0" fontId="4" fillId="0" borderId="0" xfId="0" applyFont="1"/>
    <xf numFmtId="0" fontId="8" fillId="0" borderId="3" xfId="0" applyFont="1" applyBorder="1" applyAlignment="1">
      <alignment horizontal="center" vertical="center"/>
    </xf>
    <xf numFmtId="0" fontId="6" fillId="0" borderId="4" xfId="0" applyFont="1" applyBorder="1" applyAlignment="1">
      <alignment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textRotation="90" wrapText="1"/>
    </xf>
    <xf numFmtId="0" fontId="9" fillId="0" borderId="0" xfId="0" applyFont="1"/>
    <xf numFmtId="0" fontId="10" fillId="0" borderId="1" xfId="0" applyFont="1" applyBorder="1" applyAlignment="1">
      <alignment horizontal="center" vertical="center"/>
    </xf>
    <xf numFmtId="0" fontId="12" fillId="0" borderId="14" xfId="0" applyFont="1" applyBorder="1" applyAlignment="1">
      <alignment horizontal="center" vertical="center"/>
    </xf>
    <xf numFmtId="0" fontId="6" fillId="0" borderId="15" xfId="0" applyFont="1" applyBorder="1" applyAlignment="1">
      <alignment horizontal="left" vertical="center"/>
    </xf>
    <xf numFmtId="0" fontId="6" fillId="0" borderId="16" xfId="0" applyFont="1" applyBorder="1" applyAlignment="1">
      <alignment vertical="center" wrapText="1"/>
    </xf>
    <xf numFmtId="0" fontId="6" fillId="0" borderId="1" xfId="0" applyFont="1" applyBorder="1" applyAlignment="1">
      <alignment vertical="center" wrapText="1"/>
    </xf>
    <xf numFmtId="0" fontId="12" fillId="0" borderId="17" xfId="0" applyFont="1" applyBorder="1" applyAlignment="1">
      <alignment horizontal="center" vertical="center"/>
    </xf>
    <xf numFmtId="0" fontId="6" fillId="0" borderId="1" xfId="0" applyFont="1" applyBorder="1" applyAlignment="1">
      <alignment horizontal="left" vertical="center"/>
    </xf>
    <xf numFmtId="0" fontId="13" fillId="0" borderId="1" xfId="0" applyFont="1" applyBorder="1" applyAlignment="1">
      <alignment horizontal="center" vertical="center"/>
    </xf>
    <xf numFmtId="0" fontId="14" fillId="0" borderId="0" xfId="0" applyFont="1" applyAlignment="1">
      <alignment vertical="center" wrapText="1"/>
    </xf>
    <xf numFmtId="0" fontId="12" fillId="0" borderId="18" xfId="0" applyFont="1" applyBorder="1" applyAlignment="1">
      <alignment horizontal="left" vertical="center"/>
    </xf>
    <xf numFmtId="0" fontId="4" fillId="3" borderId="20" xfId="0" applyFont="1" applyFill="1" applyBorder="1" applyAlignment="1">
      <alignment horizontal="left" vertical="center"/>
    </xf>
    <xf numFmtId="0" fontId="6" fillId="3" borderId="19" xfId="0" applyFont="1" applyFill="1" applyBorder="1" applyAlignment="1">
      <alignment vertical="center" wrapText="1"/>
    </xf>
    <xf numFmtId="0" fontId="12" fillId="0" borderId="17" xfId="0" applyFont="1" applyBorder="1" applyAlignment="1">
      <alignment horizontal="left" vertical="center"/>
    </xf>
    <xf numFmtId="0" fontId="6" fillId="0" borderId="21" xfId="0" applyFont="1" applyBorder="1" applyAlignment="1">
      <alignment horizontal="center" vertical="center"/>
    </xf>
    <xf numFmtId="0" fontId="6" fillId="0" borderId="19" xfId="0" applyFont="1" applyBorder="1" applyAlignment="1">
      <alignment vertical="center" wrapText="1"/>
    </xf>
    <xf numFmtId="0" fontId="6" fillId="0" borderId="15" xfId="0" applyFont="1" applyBorder="1" applyAlignment="1">
      <alignment horizontal="center" vertical="center"/>
    </xf>
    <xf numFmtId="0" fontId="6" fillId="0" borderId="19" xfId="0" applyFont="1" applyBorder="1" applyAlignment="1">
      <alignment horizontal="center" vertical="center"/>
    </xf>
    <xf numFmtId="0" fontId="4" fillId="3" borderId="16" xfId="0" applyFont="1" applyFill="1" applyBorder="1" applyAlignment="1">
      <alignment horizontal="left" vertical="center"/>
    </xf>
    <xf numFmtId="0" fontId="6" fillId="0" borderId="1" xfId="0" applyFont="1" applyBorder="1" applyAlignment="1">
      <alignment horizontal="center" vertical="center"/>
    </xf>
    <xf numFmtId="0" fontId="12" fillId="0" borderId="12" xfId="0" applyFont="1" applyBorder="1" applyAlignment="1">
      <alignment horizontal="center" vertical="center"/>
    </xf>
    <xf numFmtId="0" fontId="15" fillId="0" borderId="19" xfId="0" applyFont="1" applyBorder="1" applyAlignment="1">
      <alignment horizontal="center" vertical="center"/>
    </xf>
    <xf numFmtId="0" fontId="12" fillId="0" borderId="22" xfId="0" applyFont="1" applyBorder="1" applyAlignment="1">
      <alignment horizontal="center" vertical="center"/>
    </xf>
    <xf numFmtId="0" fontId="16" fillId="0" borderId="0" xfId="0" applyFont="1" applyAlignment="1">
      <alignment horizontal="center" vertical="center"/>
    </xf>
    <xf numFmtId="0" fontId="9" fillId="0" borderId="0" xfId="0" applyFont="1" applyAlignment="1">
      <alignment wrapText="1"/>
    </xf>
    <xf numFmtId="0" fontId="16" fillId="0" borderId="25" xfId="0" applyFont="1" applyBorder="1" applyAlignment="1">
      <alignment horizontal="center" vertical="center"/>
    </xf>
    <xf numFmtId="0" fontId="9" fillId="0" borderId="26" xfId="0" applyFont="1" applyBorder="1" applyAlignment="1">
      <alignment wrapText="1"/>
    </xf>
    <xf numFmtId="0" fontId="16" fillId="0" borderId="27" xfId="0" applyFont="1" applyBorder="1" applyAlignment="1">
      <alignment horizontal="center" vertical="center"/>
    </xf>
    <xf numFmtId="0" fontId="9" fillId="0" borderId="12" xfId="0" applyFont="1" applyBorder="1" applyAlignment="1">
      <alignment wrapText="1"/>
    </xf>
    <xf numFmtId="0" fontId="17" fillId="0" borderId="0" xfId="0" applyFont="1" applyAlignment="1">
      <alignment horizontal="right"/>
    </xf>
    <xf numFmtId="0" fontId="9" fillId="0" borderId="0" xfId="0" applyFont="1" applyAlignment="1">
      <alignment horizontal="center" vertical="center"/>
    </xf>
    <xf numFmtId="0" fontId="9" fillId="0" borderId="0" xfId="0" applyFont="1" applyAlignment="1">
      <alignment vertical="center" wrapText="1"/>
    </xf>
    <xf numFmtId="0" fontId="9" fillId="0" borderId="0" xfId="0" applyFont="1" applyAlignment="1">
      <alignment vertical="center"/>
    </xf>
    <xf numFmtId="0" fontId="2" fillId="0" borderId="0" xfId="0" applyFont="1"/>
    <xf numFmtId="165" fontId="2" fillId="0" borderId="0" xfId="0" applyNumberFormat="1" applyFont="1"/>
    <xf numFmtId="0" fontId="18" fillId="0" borderId="0" xfId="0" applyFont="1"/>
    <xf numFmtId="9" fontId="0" fillId="0" borderId="0" xfId="3" applyFont="1" applyFill="1"/>
    <xf numFmtId="165" fontId="18" fillId="0" borderId="28" xfId="0" applyNumberFormat="1" applyFont="1" applyBorder="1"/>
    <xf numFmtId="0" fontId="3" fillId="0" borderId="0" xfId="0" applyFont="1" applyAlignment="1">
      <alignment horizontal="center"/>
    </xf>
    <xf numFmtId="10" fontId="0" fillId="0" borderId="0" xfId="3" applyNumberFormat="1" applyFont="1"/>
    <xf numFmtId="0" fontId="3" fillId="0" borderId="26" xfId="0" applyFont="1" applyBorder="1" applyAlignment="1">
      <alignment horizontal="center"/>
    </xf>
    <xf numFmtId="10" fontId="0" fillId="0" borderId="0" xfId="3" applyNumberFormat="1" applyFont="1" applyFill="1"/>
    <xf numFmtId="165" fontId="19" fillId="0" borderId="0" xfId="0" applyNumberFormat="1" applyFont="1"/>
    <xf numFmtId="165" fontId="18" fillId="0" borderId="29" xfId="0" applyNumberFormat="1" applyFont="1" applyBorder="1"/>
    <xf numFmtId="0" fontId="21" fillId="0" borderId="0" xfId="0" applyFont="1"/>
    <xf numFmtId="165" fontId="0" fillId="0" borderId="0" xfId="2" applyFont="1" applyFill="1" applyAlignment="1"/>
    <xf numFmtId="165" fontId="21" fillId="0" borderId="0" xfId="2" applyFont="1"/>
    <xf numFmtId="0" fontId="22" fillId="0" borderId="1" xfId="0" applyFont="1" applyBorder="1" applyAlignment="1">
      <alignment horizontal="center" vertical="center"/>
    </xf>
    <xf numFmtId="167" fontId="23" fillId="0" borderId="0" xfId="0" applyNumberFormat="1" applyFont="1" applyAlignment="1">
      <alignment horizontal="left"/>
    </xf>
    <xf numFmtId="165" fontId="0" fillId="0" borderId="0" xfId="2" applyFont="1"/>
    <xf numFmtId="0" fontId="22" fillId="0" borderId="2" xfId="0" applyFont="1" applyBorder="1" applyAlignment="1">
      <alignment horizontal="right" vertical="center"/>
    </xf>
    <xf numFmtId="0" fontId="22" fillId="0" borderId="1" xfId="0" applyFont="1" applyBorder="1"/>
    <xf numFmtId="15" fontId="0" fillId="0" borderId="1" xfId="0" applyNumberFormat="1" applyBorder="1"/>
    <xf numFmtId="0" fontId="24" fillId="0" borderId="0" xfId="0" applyFont="1"/>
    <xf numFmtId="15" fontId="24" fillId="0" borderId="0" xfId="0" applyNumberFormat="1" applyFont="1" applyAlignment="1">
      <alignment horizontal="left"/>
    </xf>
    <xf numFmtId="165" fontId="21" fillId="0" borderId="0" xfId="2" applyFont="1" applyFill="1"/>
    <xf numFmtId="0" fontId="22" fillId="0" borderId="0" xfId="0" applyFont="1"/>
    <xf numFmtId="15" fontId="0" fillId="0" borderId="0" xfId="0" applyNumberFormat="1"/>
    <xf numFmtId="0" fontId="22" fillId="0" borderId="1" xfId="0" applyFont="1" applyBorder="1" applyAlignment="1">
      <alignment horizontal="center" vertical="center" wrapText="1"/>
    </xf>
    <xf numFmtId="165" fontId="22" fillId="0" borderId="1" xfId="2" applyFont="1" applyBorder="1" applyAlignment="1">
      <alignment horizontal="center" vertical="center" wrapText="1"/>
    </xf>
    <xf numFmtId="0" fontId="0" fillId="0" borderId="0" xfId="0" applyAlignment="1">
      <alignment vertical="center"/>
    </xf>
    <xf numFmtId="165" fontId="0" fillId="0" borderId="0" xfId="2" applyFont="1" applyBorder="1"/>
    <xf numFmtId="0" fontId="8" fillId="0" borderId="0" xfId="0" applyFont="1"/>
    <xf numFmtId="165" fontId="3" fillId="0" borderId="0" xfId="2" applyFont="1" applyAlignment="1">
      <alignment horizontal="center"/>
    </xf>
    <xf numFmtId="17" fontId="0" fillId="0" borderId="0" xfId="0" applyNumberFormat="1" applyAlignment="1">
      <alignment horizontal="left"/>
    </xf>
    <xf numFmtId="168" fontId="0" fillId="5" borderId="0" xfId="2" applyNumberFormat="1" applyFont="1" applyFill="1"/>
    <xf numFmtId="168" fontId="0" fillId="0" borderId="0" xfId="2" applyNumberFormat="1" applyFont="1"/>
    <xf numFmtId="168" fontId="0" fillId="0" borderId="30" xfId="2" applyNumberFormat="1" applyFont="1" applyBorder="1"/>
    <xf numFmtId="0" fontId="3" fillId="0" borderId="0" xfId="0" applyFont="1"/>
    <xf numFmtId="166" fontId="0" fillId="0" borderId="0" xfId="2" applyNumberFormat="1" applyFont="1"/>
    <xf numFmtId="166" fontId="0" fillId="0" borderId="0" xfId="0" applyNumberFormat="1"/>
    <xf numFmtId="166" fontId="0" fillId="0" borderId="0" xfId="1" applyFont="1" applyBorder="1"/>
    <xf numFmtId="166" fontId="0" fillId="0" borderId="0" xfId="2" applyNumberFormat="1" applyFont="1" applyBorder="1"/>
    <xf numFmtId="168" fontId="0" fillId="0" borderId="0" xfId="2" applyNumberFormat="1" applyFont="1" applyFill="1"/>
    <xf numFmtId="0" fontId="0" fillId="0" borderId="19" xfId="0" applyBorder="1" applyAlignment="1">
      <alignment vertical="center"/>
    </xf>
    <xf numFmtId="165" fontId="0" fillId="0" borderId="12" xfId="2" applyFont="1" applyBorder="1"/>
    <xf numFmtId="165" fontId="3" fillId="0" borderId="0" xfId="2" applyFont="1" applyBorder="1" applyAlignment="1">
      <alignment horizontal="center"/>
    </xf>
    <xf numFmtId="165" fontId="0" fillId="5" borderId="0" xfId="2" applyFont="1" applyFill="1" applyBorder="1"/>
    <xf numFmtId="165" fontId="0" fillId="5" borderId="26" xfId="2" applyFont="1" applyFill="1" applyBorder="1"/>
    <xf numFmtId="165" fontId="0" fillId="0" borderId="26" xfId="2" applyFont="1" applyBorder="1"/>
    <xf numFmtId="9" fontId="0" fillId="0" borderId="0" xfId="3" applyFont="1"/>
    <xf numFmtId="0" fontId="0" fillId="5" borderId="0" xfId="0" applyFill="1"/>
    <xf numFmtId="165" fontId="0" fillId="0" borderId="0" xfId="0" applyNumberFormat="1"/>
    <xf numFmtId="165" fontId="0" fillId="0" borderId="26" xfId="0" applyNumberFormat="1" applyBorder="1"/>
    <xf numFmtId="166" fontId="0" fillId="0" borderId="0" xfId="1" applyFont="1"/>
    <xf numFmtId="166" fontId="2" fillId="0" borderId="0" xfId="0" applyNumberFormat="1" applyFont="1"/>
    <xf numFmtId="165" fontId="2" fillId="0" borderId="0" xfId="2" applyFont="1"/>
    <xf numFmtId="169" fontId="0" fillId="0" borderId="0" xfId="3" applyNumberFormat="1" applyFont="1"/>
    <xf numFmtId="169" fontId="2" fillId="0" borderId="0" xfId="0" applyNumberFormat="1" applyFont="1"/>
    <xf numFmtId="0" fontId="3" fillId="0" borderId="0" xfId="0" applyFont="1" applyAlignment="1">
      <alignment horizontal="left"/>
    </xf>
    <xf numFmtId="165" fontId="3" fillId="0" borderId="0" xfId="6" applyFont="1" applyAlignment="1">
      <alignment horizontal="center"/>
    </xf>
    <xf numFmtId="0" fontId="3" fillId="6" borderId="0" xfId="0" applyFont="1" applyFill="1" applyAlignment="1">
      <alignment horizontal="center"/>
    </xf>
    <xf numFmtId="165" fontId="3" fillId="0" borderId="0" xfId="2" applyFont="1" applyFill="1" applyBorder="1" applyAlignment="1">
      <alignment horizontal="center"/>
    </xf>
    <xf numFmtId="165" fontId="3" fillId="0" borderId="0" xfId="2" applyFont="1" applyFill="1" applyAlignment="1">
      <alignment horizontal="center"/>
    </xf>
    <xf numFmtId="170" fontId="0" fillId="0" borderId="0" xfId="1" applyNumberFormat="1" applyFont="1" applyBorder="1"/>
    <xf numFmtId="166" fontId="0" fillId="0" borderId="0" xfId="1" applyFont="1" applyFill="1"/>
    <xf numFmtId="166" fontId="0" fillId="0" borderId="30" xfId="1" applyFont="1" applyFill="1" applyBorder="1"/>
    <xf numFmtId="0" fontId="26" fillId="0" borderId="0" xfId="8" applyFont="1"/>
    <xf numFmtId="167" fontId="24" fillId="0" borderId="0" xfId="0" applyNumberFormat="1" applyFont="1" applyAlignment="1">
      <alignment horizontal="left"/>
    </xf>
    <xf numFmtId="15" fontId="9" fillId="0" borderId="0" xfId="0" applyNumberFormat="1" applyFont="1"/>
    <xf numFmtId="0" fontId="26" fillId="0" borderId="0" xfId="8" applyFont="1" applyAlignment="1">
      <alignment horizontal="left"/>
    </xf>
    <xf numFmtId="0" fontId="9" fillId="0" borderId="0" xfId="8" applyFont="1"/>
    <xf numFmtId="165" fontId="0" fillId="0" borderId="30" xfId="2" applyFont="1" applyBorder="1"/>
    <xf numFmtId="0" fontId="29" fillId="0" borderId="0" xfId="0" applyFont="1" applyAlignment="1">
      <alignment horizontal="center" wrapText="1"/>
    </xf>
    <xf numFmtId="168" fontId="0" fillId="4" borderId="0" xfId="1" applyNumberFormat="1" applyFont="1" applyFill="1"/>
    <xf numFmtId="0" fontId="29" fillId="0" borderId="0" xfId="0" applyFont="1"/>
    <xf numFmtId="166" fontId="0" fillId="0" borderId="26" xfId="1" applyFont="1" applyBorder="1"/>
    <xf numFmtId="0" fontId="22" fillId="0" borderId="11" xfId="0" applyFont="1" applyBorder="1" applyAlignment="1">
      <alignment vertical="center"/>
    </xf>
    <xf numFmtId="0" fontId="21" fillId="9" borderId="19" xfId="0" applyFont="1" applyFill="1" applyBorder="1" applyAlignment="1">
      <alignment horizontal="left" vertical="center"/>
    </xf>
    <xf numFmtId="15" fontId="24" fillId="9" borderId="19" xfId="0" applyNumberFormat="1" applyFont="1" applyFill="1" applyBorder="1" applyAlignment="1">
      <alignment horizontal="left"/>
    </xf>
    <xf numFmtId="0" fontId="21" fillId="0" borderId="15" xfId="0" applyFont="1" applyBorder="1"/>
    <xf numFmtId="0" fontId="21" fillId="0" borderId="19" xfId="0" applyFont="1" applyBorder="1"/>
    <xf numFmtId="0" fontId="22" fillId="0" borderId="0" xfId="0" applyFont="1" applyAlignment="1">
      <alignment vertical="center"/>
    </xf>
    <xf numFmtId="0" fontId="22" fillId="0" borderId="0" xfId="0" applyFont="1" applyAlignment="1">
      <alignment horizontal="right" vertical="center"/>
    </xf>
    <xf numFmtId="0" fontId="21" fillId="0" borderId="0" xfId="0" applyFont="1" applyAlignment="1">
      <alignment vertical="center"/>
    </xf>
    <xf numFmtId="165" fontId="5" fillId="0" borderId="0" xfId="2" applyFont="1"/>
    <xf numFmtId="14" fontId="0" fillId="4" borderId="0" xfId="0" applyNumberFormat="1" applyFill="1"/>
    <xf numFmtId="14" fontId="0" fillId="0" borderId="0" xfId="0" applyNumberFormat="1"/>
    <xf numFmtId="2" fontId="0" fillId="0" borderId="0" xfId="0" applyNumberFormat="1"/>
    <xf numFmtId="0" fontId="4" fillId="0" borderId="1" xfId="0" applyFont="1" applyBorder="1" applyAlignment="1">
      <alignment horizontal="center" vertical="center" wrapText="1"/>
    </xf>
    <xf numFmtId="165" fontId="4" fillId="0" borderId="1" xfId="2" applyFont="1" applyBorder="1" applyAlignment="1">
      <alignment horizontal="center" vertical="center" wrapText="1"/>
    </xf>
    <xf numFmtId="168" fontId="0" fillId="5" borderId="0" xfId="0" applyNumberFormat="1" applyFill="1"/>
    <xf numFmtId="168" fontId="0" fillId="0" borderId="0" xfId="0" applyNumberFormat="1"/>
    <xf numFmtId="166" fontId="0" fillId="5" borderId="0" xfId="0" applyNumberFormat="1" applyFill="1"/>
    <xf numFmtId="166" fontId="0" fillId="5" borderId="31" xfId="0" applyNumberFormat="1" applyFill="1" applyBorder="1"/>
    <xf numFmtId="165" fontId="5" fillId="0" borderId="0" xfId="2" applyFont="1" applyFill="1"/>
    <xf numFmtId="0" fontId="8" fillId="0" borderId="1" xfId="0" applyFont="1" applyBorder="1" applyAlignment="1">
      <alignment horizontal="center" vertical="center" wrapText="1"/>
    </xf>
    <xf numFmtId="165" fontId="8" fillId="0" borderId="1" xfId="2" applyFont="1" applyBorder="1" applyAlignment="1">
      <alignment horizontal="center" vertical="center" wrapText="1"/>
    </xf>
    <xf numFmtId="0" fontId="0" fillId="0" borderId="0" xfId="0" quotePrefix="1"/>
    <xf numFmtId="43" fontId="0" fillId="0" borderId="0" xfId="0" applyNumberFormat="1"/>
    <xf numFmtId="14" fontId="0" fillId="0" borderId="0" xfId="0" applyNumberFormat="1" applyAlignment="1">
      <alignment horizontal="left"/>
    </xf>
    <xf numFmtId="165" fontId="8" fillId="0" borderId="11" xfId="2" applyFont="1" applyBorder="1" applyAlignment="1">
      <alignment horizontal="center" vertical="center" wrapText="1"/>
    </xf>
    <xf numFmtId="165" fontId="8" fillId="0" borderId="0" xfId="2" applyFont="1" applyFill="1"/>
    <xf numFmtId="0" fontId="29" fillId="0" borderId="0" xfId="8" applyFont="1"/>
    <xf numFmtId="0" fontId="29" fillId="0" borderId="0" xfId="10" applyFont="1"/>
    <xf numFmtId="0" fontId="29" fillId="0" borderId="0" xfId="8" applyFont="1" applyAlignment="1">
      <alignment horizontal="left"/>
    </xf>
    <xf numFmtId="14" fontId="29" fillId="0" borderId="0" xfId="8" applyNumberFormat="1" applyFont="1" applyAlignment="1">
      <alignment horizontal="left"/>
    </xf>
    <xf numFmtId="43" fontId="29" fillId="0" borderId="1" xfId="9" applyFont="1" applyFill="1" applyBorder="1"/>
    <xf numFmtId="14" fontId="29" fillId="0" borderId="0" xfId="8" quotePrefix="1" applyNumberFormat="1" applyFont="1" applyAlignment="1">
      <alignment horizontal="left"/>
    </xf>
    <xf numFmtId="0" fontId="30" fillId="0" borderId="0" xfId="8" applyFont="1"/>
    <xf numFmtId="0" fontId="29" fillId="0" borderId="0" xfId="8" applyFont="1" applyAlignment="1">
      <alignment horizontal="right"/>
    </xf>
    <xf numFmtId="43" fontId="29" fillId="0" borderId="0" xfId="8" applyNumberFormat="1" applyFont="1"/>
    <xf numFmtId="166" fontId="29" fillId="0" borderId="0" xfId="8" applyNumberFormat="1" applyFont="1"/>
    <xf numFmtId="0" fontId="29" fillId="0" borderId="37" xfId="8" applyFont="1" applyBorder="1"/>
    <xf numFmtId="43" fontId="29" fillId="0" borderId="38" xfId="8" applyNumberFormat="1" applyFont="1" applyBorder="1"/>
    <xf numFmtId="0" fontId="29" fillId="0" borderId="39" xfId="8" applyFont="1" applyBorder="1"/>
    <xf numFmtId="0" fontId="29" fillId="0" borderId="40" xfId="8" applyFont="1" applyBorder="1"/>
    <xf numFmtId="0" fontId="29" fillId="0" borderId="41" xfId="8" applyFont="1" applyBorder="1"/>
    <xf numFmtId="0" fontId="29" fillId="0" borderId="40" xfId="8" applyFont="1" applyBorder="1" applyAlignment="1">
      <alignment horizontal="right"/>
    </xf>
    <xf numFmtId="0" fontId="30" fillId="0" borderId="42" xfId="8" applyFont="1" applyBorder="1" applyAlignment="1">
      <alignment horizontal="right"/>
    </xf>
    <xf numFmtId="166" fontId="30" fillId="0" borderId="43" xfId="8" applyNumberFormat="1" applyFont="1" applyBorder="1"/>
    <xf numFmtId="0" fontId="30" fillId="0" borderId="44" xfId="8" applyFont="1" applyBorder="1"/>
    <xf numFmtId="43" fontId="29" fillId="0" borderId="0" xfId="9" applyFont="1"/>
    <xf numFmtId="0" fontId="8" fillId="0" borderId="34" xfId="0" applyFont="1" applyBorder="1" applyAlignment="1">
      <alignment horizontal="center" vertical="center" wrapText="1"/>
    </xf>
    <xf numFmtId="43" fontId="8" fillId="0" borderId="35" xfId="9" applyFont="1" applyBorder="1" applyAlignment="1">
      <alignment horizontal="center"/>
    </xf>
    <xf numFmtId="43" fontId="29" fillId="0" borderId="36" xfId="9" applyFont="1" applyBorder="1" applyAlignment="1">
      <alignment vertical="center"/>
    </xf>
    <xf numFmtId="43" fontId="29" fillId="0" borderId="26" xfId="9" applyFont="1" applyBorder="1" applyAlignment="1">
      <alignment horizontal="left"/>
    </xf>
    <xf numFmtId="3" fontId="29" fillId="2" borderId="16" xfId="9" applyNumberFormat="1" applyFont="1" applyFill="1" applyBorder="1"/>
    <xf numFmtId="3" fontId="29" fillId="2" borderId="16" xfId="0" applyNumberFormat="1" applyFont="1" applyFill="1" applyBorder="1"/>
    <xf numFmtId="43" fontId="29" fillId="0" borderId="11" xfId="9" applyFont="1" applyBorder="1" applyAlignment="1">
      <alignment vertical="center"/>
    </xf>
    <xf numFmtId="43" fontId="29" fillId="0" borderId="12" xfId="9" applyFont="1" applyBorder="1" applyAlignment="1">
      <alignment horizontal="left"/>
    </xf>
    <xf numFmtId="3" fontId="29" fillId="2" borderId="1" xfId="9" applyNumberFormat="1" applyFont="1" applyFill="1" applyBorder="1"/>
    <xf numFmtId="3" fontId="29" fillId="2" borderId="1" xfId="0" applyNumberFormat="1" applyFont="1" applyFill="1" applyBorder="1"/>
    <xf numFmtId="43" fontId="29" fillId="0" borderId="0" xfId="9" applyFont="1" applyAlignment="1">
      <alignment horizontal="left"/>
    </xf>
    <xf numFmtId="3" fontId="29" fillId="0" borderId="1" xfId="9" applyNumberFormat="1" applyFont="1" applyBorder="1"/>
    <xf numFmtId="43" fontId="29" fillId="0" borderId="36" xfId="9" applyFont="1" applyBorder="1" applyAlignment="1">
      <alignment horizontal="left" vertical="center"/>
    </xf>
    <xf numFmtId="43" fontId="29" fillId="0" borderId="11" xfId="9" applyFont="1" applyBorder="1" applyAlignment="1">
      <alignment horizontal="left" vertical="center"/>
    </xf>
    <xf numFmtId="3" fontId="29" fillId="3" borderId="1" xfId="9" applyNumberFormat="1" applyFont="1" applyFill="1" applyBorder="1"/>
    <xf numFmtId="168" fontId="8" fillId="3" borderId="1" xfId="8" applyNumberFormat="1" applyFont="1" applyFill="1" applyBorder="1"/>
    <xf numFmtId="0" fontId="0" fillId="0" borderId="0" xfId="0" applyAlignment="1">
      <alignment horizontal="center" wrapText="1"/>
    </xf>
    <xf numFmtId="0" fontId="8" fillId="0" borderId="0" xfId="0" applyFont="1" applyAlignment="1">
      <alignment vertical="center"/>
    </xf>
    <xf numFmtId="0" fontId="8" fillId="0" borderId="45"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29" fillId="0" borderId="48" xfId="0" applyFont="1" applyBorder="1"/>
    <xf numFmtId="4" fontId="29" fillId="0" borderId="1" xfId="0" applyNumberFormat="1" applyFont="1" applyBorder="1"/>
    <xf numFmtId="4" fontId="29" fillId="0" borderId="11" xfId="0" applyNumberFormat="1" applyFont="1" applyBorder="1"/>
    <xf numFmtId="166" fontId="29" fillId="0" borderId="49" xfId="1" applyFont="1" applyBorder="1"/>
    <xf numFmtId="0" fontId="29" fillId="0" borderId="0" xfId="0" applyFont="1" applyAlignment="1">
      <alignment horizontal="center"/>
    </xf>
    <xf numFmtId="166" fontId="29" fillId="0" borderId="50" xfId="1" applyFont="1" applyBorder="1"/>
    <xf numFmtId="0" fontId="29" fillId="8" borderId="12" xfId="0" applyFont="1" applyFill="1" applyBorder="1" applyAlignment="1">
      <alignment horizontal="left"/>
    </xf>
    <xf numFmtId="3" fontId="29" fillId="0" borderId="1" xfId="0" applyNumberFormat="1" applyFont="1" applyBorder="1"/>
    <xf numFmtId="168" fontId="29" fillId="0" borderId="50" xfId="1" applyNumberFormat="1" applyFont="1" applyBorder="1"/>
    <xf numFmtId="4" fontId="8" fillId="0" borderId="1" xfId="0" applyNumberFormat="1" applyFont="1" applyBorder="1"/>
    <xf numFmtId="4" fontId="8" fillId="0" borderId="11" xfId="0" applyNumberFormat="1" applyFont="1" applyBorder="1"/>
    <xf numFmtId="168" fontId="8" fillId="0" borderId="50" xfId="1" applyNumberFormat="1" applyFont="1" applyBorder="1"/>
    <xf numFmtId="168" fontId="8" fillId="0" borderId="50" xfId="0" applyNumberFormat="1" applyFont="1" applyBorder="1"/>
    <xf numFmtId="168" fontId="29" fillId="0" borderId="50" xfId="0" applyNumberFormat="1" applyFont="1" applyBorder="1"/>
    <xf numFmtId="0" fontId="29" fillId="0" borderId="50" xfId="0" applyFont="1" applyBorder="1"/>
    <xf numFmtId="0" fontId="29" fillId="0" borderId="27" xfId="0" applyFont="1" applyBorder="1"/>
    <xf numFmtId="4" fontId="29" fillId="0" borderId="19" xfId="0" applyNumberFormat="1" applyFont="1" applyBorder="1"/>
    <xf numFmtId="0" fontId="29" fillId="0" borderId="1" xfId="0" applyFont="1" applyBorder="1"/>
    <xf numFmtId="168" fontId="29" fillId="8" borderId="50" xfId="1" applyNumberFormat="1" applyFont="1" applyFill="1" applyBorder="1" applyAlignment="1"/>
    <xf numFmtId="0" fontId="29" fillId="0" borderId="55" xfId="0" applyFont="1" applyBorder="1"/>
    <xf numFmtId="0" fontId="29" fillId="0" borderId="56" xfId="0" applyFont="1" applyBorder="1"/>
    <xf numFmtId="171" fontId="29" fillId="0" borderId="57" xfId="2" applyNumberFormat="1" applyFont="1" applyBorder="1" applyAlignment="1"/>
    <xf numFmtId="0" fontId="29" fillId="8" borderId="27" xfId="0" applyFont="1" applyFill="1" applyBorder="1" applyAlignment="1">
      <alignment horizontal="left"/>
    </xf>
    <xf numFmtId="10" fontId="29" fillId="0" borderId="58" xfId="3" applyNumberFormat="1" applyFont="1" applyBorder="1" applyAlignment="1">
      <alignment horizontal="right"/>
    </xf>
    <xf numFmtId="0" fontId="29" fillId="8" borderId="59" xfId="0" applyFont="1" applyFill="1" applyBorder="1" applyAlignment="1">
      <alignment horizontal="left"/>
    </xf>
    <xf numFmtId="0" fontId="29" fillId="8" borderId="30" xfId="0" applyFont="1" applyFill="1" applyBorder="1" applyAlignment="1">
      <alignment horizontal="left"/>
    </xf>
    <xf numFmtId="10" fontId="29" fillId="0" borderId="60" xfId="3" applyNumberFormat="1" applyFont="1" applyBorder="1" applyAlignment="1">
      <alignment horizontal="right"/>
    </xf>
    <xf numFmtId="4" fontId="29" fillId="0" borderId="56" xfId="0" applyNumberFormat="1" applyFont="1" applyBorder="1"/>
    <xf numFmtId="4" fontId="29" fillId="0" borderId="61" xfId="0" applyNumberFormat="1" applyFont="1" applyBorder="1"/>
    <xf numFmtId="0" fontId="29" fillId="0" borderId="57" xfId="0" applyFont="1" applyBorder="1"/>
    <xf numFmtId="0" fontId="31" fillId="0" borderId="1" xfId="0" applyFont="1" applyBorder="1" applyAlignment="1">
      <alignment horizontal="center" vertical="center" wrapText="1"/>
    </xf>
    <xf numFmtId="0" fontId="32" fillId="0" borderId="1" xfId="5" quotePrefix="1" applyFont="1" applyBorder="1" applyAlignment="1">
      <alignment horizontal="center" vertical="center" wrapText="1"/>
    </xf>
    <xf numFmtId="0" fontId="12" fillId="0" borderId="70"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vertical="center" wrapText="1"/>
    </xf>
    <xf numFmtId="0" fontId="32" fillId="0" borderId="72" xfId="5" quotePrefix="1" applyFont="1" applyBorder="1" applyAlignment="1">
      <alignment horizontal="center" vertical="center" wrapText="1"/>
    </xf>
    <xf numFmtId="44" fontId="0" fillId="0" borderId="0" xfId="0" applyNumberFormat="1"/>
    <xf numFmtId="165" fontId="0" fillId="4" borderId="0" xfId="2" applyFont="1" applyFill="1"/>
    <xf numFmtId="165" fontId="0" fillId="0" borderId="0" xfId="2" applyFont="1" applyFill="1"/>
    <xf numFmtId="166" fontId="0" fillId="0" borderId="28" xfId="1" applyFont="1" applyBorder="1"/>
    <xf numFmtId="165" fontId="0" fillId="4" borderId="0" xfId="2" applyFont="1" applyFill="1" applyBorder="1"/>
    <xf numFmtId="166" fontId="0" fillId="4" borderId="0" xfId="1" applyFont="1" applyFill="1"/>
    <xf numFmtId="0" fontId="0" fillId="0" borderId="0" xfId="0" applyAlignment="1">
      <alignment horizontal="center"/>
    </xf>
    <xf numFmtId="0" fontId="33" fillId="0" borderId="0" xfId="0" applyFont="1"/>
    <xf numFmtId="0" fontId="34" fillId="0" borderId="1" xfId="5" quotePrefix="1" applyFont="1" applyBorder="1" applyAlignment="1">
      <alignment horizontal="center" vertical="center" wrapText="1"/>
    </xf>
    <xf numFmtId="0" fontId="22" fillId="0" borderId="0" xfId="0" applyFont="1" applyAlignment="1">
      <alignment horizontal="center" vertical="center"/>
    </xf>
    <xf numFmtId="166" fontId="21" fillId="0" borderId="0" xfId="1" applyFont="1"/>
    <xf numFmtId="166" fontId="21" fillId="0" borderId="0" xfId="1" applyFont="1" applyFill="1"/>
    <xf numFmtId="166" fontId="22" fillId="0" borderId="0" xfId="1" applyFont="1"/>
    <xf numFmtId="166" fontId="5" fillId="0" borderId="0" xfId="1" applyFont="1"/>
    <xf numFmtId="166" fontId="5" fillId="0" borderId="0" xfId="1" applyFont="1" applyFill="1"/>
    <xf numFmtId="166" fontId="4" fillId="0" borderId="0" xfId="1" applyFont="1"/>
    <xf numFmtId="166" fontId="4" fillId="0" borderId="1" xfId="1" applyFont="1" applyBorder="1" applyAlignment="1">
      <alignment horizontal="center" vertical="center" wrapText="1"/>
    </xf>
    <xf numFmtId="166" fontId="3" fillId="0" borderId="0" xfId="1" applyFont="1" applyAlignment="1">
      <alignment horizontal="center"/>
    </xf>
    <xf numFmtId="166" fontId="2" fillId="0" borderId="9" xfId="1" applyFont="1" applyBorder="1"/>
    <xf numFmtId="166" fontId="0" fillId="0" borderId="26" xfId="1" applyFont="1" applyFill="1" applyBorder="1"/>
    <xf numFmtId="0" fontId="35" fillId="0" borderId="0" xfId="0" applyFont="1"/>
    <xf numFmtId="165" fontId="2" fillId="0" borderId="9" xfId="2" applyFont="1" applyBorder="1"/>
    <xf numFmtId="166" fontId="29" fillId="0" borderId="0" xfId="1" applyFont="1"/>
    <xf numFmtId="0" fontId="36" fillId="0" borderId="0" xfId="0" applyFont="1"/>
    <xf numFmtId="166" fontId="0" fillId="8" borderId="0" xfId="1" quotePrefix="1" applyFont="1" applyFill="1"/>
    <xf numFmtId="0" fontId="37" fillId="0" borderId="0" xfId="0" applyFont="1"/>
    <xf numFmtId="166" fontId="37" fillId="0" borderId="0" xfId="1" applyFont="1"/>
    <xf numFmtId="165" fontId="0" fillId="12" borderId="26" xfId="2" applyFont="1" applyFill="1" applyBorder="1"/>
    <xf numFmtId="165" fontId="0" fillId="13" borderId="26" xfId="2" applyFont="1" applyFill="1" applyBorder="1"/>
    <xf numFmtId="165" fontId="0" fillId="0" borderId="0" xfId="2" applyFont="1" applyFill="1" applyBorder="1"/>
    <xf numFmtId="165" fontId="29" fillId="0" borderId="0" xfId="2" applyFont="1" applyFill="1"/>
    <xf numFmtId="165" fontId="0" fillId="0" borderId="30" xfId="2" applyFont="1" applyFill="1" applyBorder="1"/>
    <xf numFmtId="164" fontId="0" fillId="0" borderId="0" xfId="2" applyNumberFormat="1" applyFont="1"/>
    <xf numFmtId="164" fontId="0" fillId="12" borderId="26" xfId="2" applyNumberFormat="1" applyFont="1" applyFill="1" applyBorder="1"/>
    <xf numFmtId="164" fontId="0" fillId="0" borderId="0" xfId="2" applyNumberFormat="1" applyFont="1" applyBorder="1"/>
    <xf numFmtId="164" fontId="0" fillId="0" borderId="26" xfId="2" applyNumberFormat="1" applyFont="1" applyBorder="1"/>
    <xf numFmtId="165" fontId="0" fillId="0" borderId="26" xfId="2" applyFont="1" applyFill="1" applyBorder="1"/>
    <xf numFmtId="165" fontId="0" fillId="14" borderId="0" xfId="2" applyFont="1" applyFill="1"/>
    <xf numFmtId="165" fontId="0" fillId="14" borderId="0" xfId="0" applyNumberFormat="1" applyFill="1"/>
    <xf numFmtId="0" fontId="22" fillId="0" borderId="45" xfId="0" applyFont="1" applyBorder="1" applyAlignment="1">
      <alignment horizontal="center" vertical="center" wrapText="1"/>
    </xf>
    <xf numFmtId="0" fontId="22" fillId="0" borderId="47" xfId="0" applyFont="1" applyBorder="1" applyAlignment="1">
      <alignment horizontal="center" vertical="center"/>
    </xf>
    <xf numFmtId="0" fontId="22" fillId="0" borderId="47" xfId="0" applyFont="1" applyBorder="1" applyAlignment="1">
      <alignment horizontal="center" vertical="center" wrapText="1"/>
    </xf>
    <xf numFmtId="0" fontId="9" fillId="0" borderId="52" xfId="0" applyFont="1" applyBorder="1"/>
    <xf numFmtId="0" fontId="9" fillId="0" borderId="64" xfId="0" applyFont="1" applyBorder="1"/>
    <xf numFmtId="0" fontId="9" fillId="0" borderId="53" xfId="0" applyFont="1" applyBorder="1"/>
    <xf numFmtId="0" fontId="9" fillId="0" borderId="48" xfId="0" applyFont="1" applyBorder="1"/>
    <xf numFmtId="0" fontId="22" fillId="11" borderId="11" xfId="0" applyFont="1" applyFill="1" applyBorder="1"/>
    <xf numFmtId="0" fontId="9" fillId="0" borderId="19" xfId="0" applyFont="1" applyBorder="1"/>
    <xf numFmtId="165" fontId="9" fillId="0" borderId="19" xfId="2" applyFont="1" applyBorder="1" applyAlignment="1"/>
    <xf numFmtId="0" fontId="0" fillId="0" borderId="21" xfId="0" applyBorder="1"/>
    <xf numFmtId="165" fontId="38" fillId="0" borderId="21" xfId="2" applyFont="1" applyBorder="1"/>
    <xf numFmtId="165" fontId="39" fillId="0" borderId="15" xfId="2" applyFont="1" applyBorder="1" applyAlignment="1"/>
    <xf numFmtId="165" fontId="39" fillId="0" borderId="16" xfId="2" applyFont="1" applyBorder="1" applyAlignment="1"/>
    <xf numFmtId="165" fontId="9" fillId="0" borderId="16" xfId="2" applyFont="1" applyBorder="1" applyAlignment="1"/>
    <xf numFmtId="16" fontId="0" fillId="0" borderId="0" xfId="0" quotePrefix="1" applyNumberFormat="1"/>
    <xf numFmtId="165" fontId="9" fillId="0" borderId="1" xfId="2" applyFont="1" applyBorder="1" applyAlignment="1"/>
    <xf numFmtId="0" fontId="22" fillId="0" borderId="11" xfId="0" applyFont="1" applyBorder="1"/>
    <xf numFmtId="165" fontId="9" fillId="0" borderId="19" xfId="2" applyFont="1" applyFill="1" applyBorder="1" applyAlignment="1"/>
    <xf numFmtId="165" fontId="9" fillId="0" borderId="1" xfId="2" applyFont="1" applyFill="1" applyBorder="1" applyAlignment="1"/>
    <xf numFmtId="165" fontId="22" fillId="0" borderId="19" xfId="2" applyFont="1" applyBorder="1" applyAlignment="1"/>
    <xf numFmtId="172" fontId="0" fillId="0" borderId="0" xfId="0" applyNumberFormat="1"/>
    <xf numFmtId="14" fontId="9" fillId="0" borderId="48" xfId="0" applyNumberFormat="1" applyFont="1" applyBorder="1"/>
    <xf numFmtId="172" fontId="9" fillId="0" borderId="19" xfId="2" applyNumberFormat="1" applyFont="1" applyFill="1" applyBorder="1" applyAlignment="1"/>
    <xf numFmtId="172" fontId="9" fillId="0" borderId="1" xfId="2" applyNumberFormat="1" applyFont="1" applyFill="1" applyBorder="1" applyAlignment="1"/>
    <xf numFmtId="172" fontId="22" fillId="0" borderId="19" xfId="2" applyNumberFormat="1" applyFont="1" applyFill="1" applyBorder="1" applyAlignment="1"/>
    <xf numFmtId="165" fontId="22" fillId="0" borderId="19" xfId="2" applyFont="1" applyFill="1" applyBorder="1" applyAlignment="1"/>
    <xf numFmtId="0" fontId="9" fillId="0" borderId="66" xfId="0" applyFont="1" applyBorder="1"/>
    <xf numFmtId="0" fontId="9" fillId="0" borderId="55" xfId="0" applyFont="1" applyBorder="1"/>
    <xf numFmtId="0" fontId="9" fillId="0" borderId="69" xfId="0" applyFont="1" applyBorder="1"/>
    <xf numFmtId="3" fontId="29" fillId="0" borderId="0" xfId="8" applyNumberFormat="1" applyFont="1"/>
    <xf numFmtId="166" fontId="0" fillId="0" borderId="9" xfId="1" applyFont="1" applyBorder="1"/>
    <xf numFmtId="0" fontId="21" fillId="0" borderId="0" xfId="0" applyFont="1" applyAlignment="1">
      <alignment horizontal="left" vertical="center"/>
    </xf>
    <xf numFmtId="0" fontId="21" fillId="0" borderId="1" xfId="0" applyFont="1" applyBorder="1" applyAlignment="1">
      <alignment horizontal="center" vertical="center"/>
    </xf>
    <xf numFmtId="0" fontId="40" fillId="0" borderId="0" xfId="5" applyFont="1" applyAlignment="1" applyProtection="1">
      <alignment wrapText="1"/>
    </xf>
    <xf numFmtId="0" fontId="23" fillId="0" borderId="0" xfId="0" applyFont="1"/>
    <xf numFmtId="0" fontId="41" fillId="0" borderId="1" xfId="0" applyFont="1" applyBorder="1" applyAlignment="1">
      <alignment horizontal="center" vertical="center"/>
    </xf>
    <xf numFmtId="0" fontId="14" fillId="0" borderId="52" xfId="0" applyFont="1" applyBorder="1" applyAlignment="1">
      <alignment horizontal="center" vertical="center" wrapText="1"/>
    </xf>
    <xf numFmtId="0" fontId="14" fillId="0" borderId="53" xfId="0" applyFont="1" applyBorder="1" applyAlignment="1">
      <alignment horizontal="center" vertical="center" wrapText="1"/>
    </xf>
    <xf numFmtId="0" fontId="42" fillId="0" borderId="53" xfId="0" applyFont="1" applyBorder="1" applyAlignment="1">
      <alignment horizontal="center" vertical="center" wrapText="1"/>
    </xf>
    <xf numFmtId="0" fontId="14" fillId="0" borderId="54" xfId="0" applyFont="1" applyBorder="1" applyAlignment="1">
      <alignment horizontal="center" vertical="center" wrapText="1"/>
    </xf>
    <xf numFmtId="14" fontId="0" fillId="0" borderId="48" xfId="0" applyNumberFormat="1" applyBorder="1"/>
    <xf numFmtId="0" fontId="0" fillId="0" borderId="1" xfId="0" applyBorder="1"/>
    <xf numFmtId="0" fontId="0" fillId="15" borderId="1" xfId="0" applyFill="1" applyBorder="1" applyAlignment="1">
      <alignment horizontal="center"/>
    </xf>
    <xf numFmtId="4" fontId="0" fillId="2" borderId="1" xfId="0" applyNumberFormat="1" applyFill="1" applyBorder="1"/>
    <xf numFmtId="4" fontId="0" fillId="0" borderId="50" xfId="0" applyNumberFormat="1" applyBorder="1"/>
    <xf numFmtId="0" fontId="0" fillId="0" borderId="48" xfId="0" applyBorder="1"/>
    <xf numFmtId="0" fontId="0" fillId="0" borderId="1" xfId="0" applyBorder="1" applyAlignment="1">
      <alignment horizontal="center"/>
    </xf>
    <xf numFmtId="4" fontId="0" fillId="3" borderId="1" xfId="0" applyNumberFormat="1" applyFill="1" applyBorder="1"/>
    <xf numFmtId="4" fontId="0" fillId="3" borderId="50" xfId="0" applyNumberFormat="1" applyFill="1" applyBorder="1"/>
    <xf numFmtId="4" fontId="22" fillId="0" borderId="1" xfId="0" applyNumberFormat="1" applyFont="1" applyBorder="1"/>
    <xf numFmtId="4" fontId="3" fillId="0" borderId="50" xfId="0" applyNumberFormat="1" applyFont="1" applyBorder="1"/>
    <xf numFmtId="4" fontId="0" fillId="0" borderId="1" xfId="0" applyNumberFormat="1" applyBorder="1"/>
    <xf numFmtId="4" fontId="0" fillId="2" borderId="50" xfId="0" applyNumberFormat="1" applyFill="1" applyBorder="1"/>
    <xf numFmtId="4" fontId="0" fillId="0" borderId="0" xfId="0" applyNumberFormat="1"/>
    <xf numFmtId="4" fontId="3" fillId="0" borderId="1" xfId="0" applyNumberFormat="1" applyFont="1" applyBorder="1"/>
    <xf numFmtId="0" fontId="0" fillId="4" borderId="0" xfId="0" applyFill="1"/>
    <xf numFmtId="0" fontId="22" fillId="0" borderId="48" xfId="0" applyFont="1" applyBorder="1"/>
    <xf numFmtId="0" fontId="22" fillId="0" borderId="1" xfId="0" applyFont="1" applyBorder="1" applyAlignment="1">
      <alignment horizontal="center"/>
    </xf>
    <xf numFmtId="4" fontId="22" fillId="0" borderId="50" xfId="0" applyNumberFormat="1" applyFont="1" applyBorder="1"/>
    <xf numFmtId="14" fontId="0" fillId="4" borderId="48" xfId="0" applyNumberFormat="1" applyFill="1" applyBorder="1"/>
    <xf numFmtId="14" fontId="0" fillId="4" borderId="1" xfId="0" applyNumberFormat="1" applyFill="1" applyBorder="1"/>
    <xf numFmtId="168" fontId="0" fillId="0" borderId="1" xfId="1" applyNumberFormat="1" applyFont="1" applyFill="1" applyBorder="1"/>
    <xf numFmtId="0" fontId="0" fillId="4" borderId="1" xfId="0" applyFill="1" applyBorder="1"/>
    <xf numFmtId="166" fontId="0" fillId="4" borderId="1" xfId="1" applyFont="1" applyFill="1" applyBorder="1"/>
    <xf numFmtId="166" fontId="0" fillId="0" borderId="1" xfId="1" applyFont="1" applyFill="1" applyBorder="1" applyAlignment="1">
      <alignment horizontal="center"/>
    </xf>
    <xf numFmtId="166" fontId="0" fillId="0" borderId="1" xfId="1" applyFont="1" applyFill="1" applyBorder="1"/>
    <xf numFmtId="166" fontId="0" fillId="0" borderId="50" xfId="1" applyFont="1" applyFill="1" applyBorder="1"/>
    <xf numFmtId="166" fontId="0" fillId="0" borderId="30" xfId="0" applyNumberFormat="1" applyBorder="1"/>
    <xf numFmtId="166" fontId="0" fillId="11" borderId="30" xfId="0" applyNumberFormat="1" applyFill="1" applyBorder="1"/>
    <xf numFmtId="0" fontId="0" fillId="16" borderId="0" xfId="0" applyFill="1"/>
    <xf numFmtId="166" fontId="0" fillId="16" borderId="0" xfId="0" applyNumberFormat="1" applyFill="1"/>
    <xf numFmtId="165" fontId="0" fillId="16" borderId="0" xfId="2" applyFont="1" applyFill="1"/>
    <xf numFmtId="165" fontId="0" fillId="16" borderId="0" xfId="0" applyNumberFormat="1" applyFill="1"/>
    <xf numFmtId="0" fontId="2" fillId="16" borderId="0" xfId="0" applyFont="1" applyFill="1"/>
    <xf numFmtId="0" fontId="4" fillId="3" borderId="18" xfId="0" applyFont="1" applyFill="1" applyBorder="1" applyAlignment="1">
      <alignment horizontal="left" vertical="center"/>
    </xf>
    <xf numFmtId="0" fontId="4" fillId="3" borderId="12" xfId="0" applyFont="1" applyFill="1" applyBorder="1" applyAlignment="1">
      <alignment horizontal="left" vertical="center"/>
    </xf>
    <xf numFmtId="0" fontId="4" fillId="3" borderId="19" xfId="0" applyFont="1" applyFill="1" applyBorder="1" applyAlignment="1">
      <alignment horizontal="left" vertical="center"/>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4" fillId="3" borderId="8" xfId="0" applyFont="1" applyFill="1" applyBorder="1" applyAlignment="1">
      <alignment horizontal="left" vertical="center"/>
    </xf>
    <xf numFmtId="0" fontId="4" fillId="3" borderId="9" xfId="0" applyFont="1" applyFill="1" applyBorder="1" applyAlignment="1">
      <alignment horizontal="left" vertical="center"/>
    </xf>
    <xf numFmtId="0" fontId="4" fillId="3" borderId="10" xfId="0" applyFont="1" applyFill="1" applyBorder="1" applyAlignment="1">
      <alignment horizontal="left" vertical="center"/>
    </xf>
    <xf numFmtId="0" fontId="11" fillId="0" borderId="73" xfId="0" applyFont="1" applyBorder="1" applyAlignment="1">
      <alignment horizontal="left" vertical="center" wrapText="1"/>
    </xf>
    <xf numFmtId="0" fontId="11" fillId="0" borderId="74" xfId="0" applyFont="1" applyBorder="1" applyAlignment="1">
      <alignment horizontal="left" vertical="center" wrapText="1"/>
    </xf>
    <xf numFmtId="0" fontId="11" fillId="0" borderId="75" xfId="0" applyFont="1" applyBorder="1" applyAlignment="1">
      <alignment horizontal="left" vertical="center" wrapText="1"/>
    </xf>
    <xf numFmtId="0" fontId="11" fillId="0" borderId="23" xfId="0" applyFont="1" applyBorder="1" applyAlignment="1">
      <alignment horizontal="left" vertical="center" wrapText="1"/>
    </xf>
    <xf numFmtId="0" fontId="11" fillId="0" borderId="9" xfId="0" applyFont="1" applyBorder="1" applyAlignment="1">
      <alignment horizontal="left" vertical="center" wrapText="1"/>
    </xf>
    <xf numFmtId="0" fontId="11" fillId="0" borderId="24" xfId="0" applyFont="1" applyBorder="1" applyAlignment="1">
      <alignment horizontal="left" vertical="center" wrapText="1"/>
    </xf>
    <xf numFmtId="0" fontId="3" fillId="0" borderId="0" xfId="0" applyFont="1" applyAlignment="1">
      <alignment vertical="center" wrapText="1"/>
    </xf>
    <xf numFmtId="0" fontId="3" fillId="4" borderId="0" xfId="0" applyFont="1" applyFill="1" applyAlignment="1">
      <alignment horizontal="center"/>
    </xf>
    <xf numFmtId="0" fontId="21" fillId="10" borderId="0" xfId="0" applyFont="1" applyFill="1" applyAlignment="1">
      <alignment horizontal="left" vertical="center"/>
    </xf>
    <xf numFmtId="15" fontId="21" fillId="1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9" xfId="0" applyFont="1" applyBorder="1" applyAlignment="1">
      <alignment horizontal="center" vertical="center"/>
    </xf>
    <xf numFmtId="0" fontId="29" fillId="0" borderId="0" xfId="8" applyFont="1" applyAlignment="1">
      <alignment horizontal="center"/>
    </xf>
    <xf numFmtId="0" fontId="29" fillId="0" borderId="0" xfId="10" applyFont="1" applyAlignment="1">
      <alignment horizontal="center"/>
    </xf>
    <xf numFmtId="0" fontId="8" fillId="0" borderId="32" xfId="0" applyFont="1" applyBorder="1" applyAlignment="1">
      <alignment horizontal="center" vertical="center" wrapText="1"/>
    </xf>
    <xf numFmtId="0" fontId="1" fillId="0" borderId="33" xfId="0" applyFont="1" applyBorder="1" applyAlignment="1">
      <alignment wrapText="1"/>
    </xf>
    <xf numFmtId="0" fontId="8" fillId="0" borderId="0" xfId="8" applyFont="1" applyAlignment="1">
      <alignment horizontal="left" vertical="center" wrapText="1"/>
    </xf>
    <xf numFmtId="0" fontId="1" fillId="0" borderId="0" xfId="0" applyFont="1" applyAlignment="1">
      <alignment wrapText="1"/>
    </xf>
    <xf numFmtId="0" fontId="0" fillId="0" borderId="12" xfId="0" applyBorder="1" applyAlignment="1">
      <alignment vertical="center"/>
    </xf>
    <xf numFmtId="0" fontId="0" fillId="0" borderId="19" xfId="0" applyBorder="1" applyAlignment="1">
      <alignment vertical="center"/>
    </xf>
    <xf numFmtId="15" fontId="24" fillId="0" borderId="0" xfId="0" applyNumberFormat="1" applyFont="1" applyAlignment="1">
      <alignment horizontal="left"/>
    </xf>
    <xf numFmtId="0" fontId="3" fillId="0" borderId="11" xfId="0" applyFont="1" applyBorder="1" applyAlignment="1">
      <alignment horizontal="center"/>
    </xf>
    <xf numFmtId="0" fontId="3" fillId="0" borderId="12" xfId="0" applyFont="1" applyBorder="1" applyAlignment="1">
      <alignment horizontal="center"/>
    </xf>
    <xf numFmtId="0" fontId="3" fillId="0" borderId="19" xfId="0" applyFont="1" applyBorder="1" applyAlignment="1">
      <alignment horizontal="center"/>
    </xf>
    <xf numFmtId="0" fontId="0" fillId="0" borderId="1" xfId="0" applyBorder="1" applyAlignment="1">
      <alignment horizontal="center"/>
    </xf>
    <xf numFmtId="0" fontId="29" fillId="8" borderId="11" xfId="0" applyFont="1" applyFill="1" applyBorder="1" applyAlignment="1">
      <alignment horizontal="left"/>
    </xf>
    <xf numFmtId="0" fontId="29" fillId="8" borderId="12" xfId="0" applyFont="1" applyFill="1" applyBorder="1" applyAlignment="1">
      <alignment horizontal="left"/>
    </xf>
    <xf numFmtId="0" fontId="29" fillId="8" borderId="19" xfId="0" applyFont="1" applyFill="1" applyBorder="1" applyAlignment="1">
      <alignment horizontal="left"/>
    </xf>
    <xf numFmtId="0" fontId="8" fillId="0" borderId="0" xfId="0" applyFont="1" applyAlignment="1">
      <alignment horizontal="center" wrapText="1"/>
    </xf>
    <xf numFmtId="0" fontId="8" fillId="0" borderId="46" xfId="0" applyFont="1" applyBorder="1" applyAlignment="1">
      <alignment horizontal="center" vertical="center"/>
    </xf>
    <xf numFmtId="0" fontId="8" fillId="0" borderId="33" xfId="0" applyFont="1" applyBorder="1" applyAlignment="1">
      <alignment horizontal="center" vertical="center"/>
    </xf>
    <xf numFmtId="0" fontId="8" fillId="0" borderId="47" xfId="0" applyFont="1" applyBorder="1" applyAlignment="1">
      <alignment horizontal="center" vertical="center"/>
    </xf>
    <xf numFmtId="0" fontId="29" fillId="0" borderId="1" xfId="0" applyFont="1" applyBorder="1" applyAlignment="1">
      <alignment horizontal="left"/>
    </xf>
    <xf numFmtId="0" fontId="8" fillId="0" borderId="1" xfId="0" applyFont="1" applyBorder="1" applyAlignment="1">
      <alignment horizontal="left"/>
    </xf>
    <xf numFmtId="0" fontId="8" fillId="0" borderId="11" xfId="0" applyFont="1" applyBorder="1" applyAlignment="1">
      <alignment horizontal="right"/>
    </xf>
    <xf numFmtId="0" fontId="8" fillId="0" borderId="12" xfId="0" applyFont="1" applyBorder="1" applyAlignment="1">
      <alignment horizontal="right"/>
    </xf>
    <xf numFmtId="0" fontId="8" fillId="0" borderId="19" xfId="0" applyFont="1" applyBorder="1" applyAlignment="1">
      <alignment horizontal="right"/>
    </xf>
    <xf numFmtId="0" fontId="29" fillId="0" borderId="11" xfId="0" applyFont="1" applyBorder="1" applyAlignment="1">
      <alignment horizontal="left"/>
    </xf>
    <xf numFmtId="0" fontId="29" fillId="0" borderId="12" xfId="0" applyFont="1" applyBorder="1" applyAlignment="1">
      <alignment horizontal="left"/>
    </xf>
    <xf numFmtId="0" fontId="29" fillId="0" borderId="19" xfId="0" applyFont="1" applyBorder="1" applyAlignment="1">
      <alignment horizontal="left"/>
    </xf>
    <xf numFmtId="0" fontId="29" fillId="8" borderId="1" xfId="0" applyFont="1" applyFill="1" applyBorder="1" applyAlignment="1">
      <alignment horizontal="left"/>
    </xf>
    <xf numFmtId="0" fontId="29" fillId="0" borderId="56" xfId="0" applyFont="1" applyBorder="1" applyAlignment="1">
      <alignment horizontal="left" vertical="top" wrapText="1"/>
    </xf>
    <xf numFmtId="0" fontId="8" fillId="0" borderId="52" xfId="0" applyFont="1" applyBorder="1" applyAlignment="1">
      <alignment horizontal="left"/>
    </xf>
    <xf numFmtId="0" fontId="8" fillId="0" borderId="53" xfId="0" applyFont="1" applyBorder="1" applyAlignment="1">
      <alignment horizontal="left"/>
    </xf>
    <xf numFmtId="0" fontId="8" fillId="0" borderId="54" xfId="0" applyFont="1" applyBorder="1" applyAlignment="1">
      <alignment horizontal="left"/>
    </xf>
    <xf numFmtId="0" fontId="8" fillId="0" borderId="1" xfId="0" applyFont="1" applyBorder="1" applyAlignment="1">
      <alignment horizontal="right"/>
    </xf>
    <xf numFmtId="0" fontId="8" fillId="0" borderId="11" xfId="0" applyFont="1" applyBorder="1" applyAlignment="1">
      <alignment horizontal="left"/>
    </xf>
    <xf numFmtId="0" fontId="8" fillId="0" borderId="12" xfId="0" applyFont="1" applyBorder="1" applyAlignment="1">
      <alignment horizontal="left"/>
    </xf>
    <xf numFmtId="0" fontId="8" fillId="0" borderId="19" xfId="0" applyFont="1" applyBorder="1" applyAlignment="1">
      <alignment horizontal="left"/>
    </xf>
    <xf numFmtId="0" fontId="29" fillId="0" borderId="51" xfId="0" applyFont="1" applyBorder="1" applyAlignment="1">
      <alignment horizontal="left"/>
    </xf>
    <xf numFmtId="0" fontId="29" fillId="0" borderId="20" xfId="0" applyFont="1" applyBorder="1" applyAlignment="1">
      <alignment horizontal="left"/>
    </xf>
    <xf numFmtId="0" fontId="0" fillId="0" borderId="0" xfId="0" applyAlignment="1">
      <alignment horizont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3" fillId="6" borderId="0" xfId="0" applyFont="1" applyFill="1" applyAlignment="1">
      <alignment horizontal="center"/>
    </xf>
    <xf numFmtId="0" fontId="3" fillId="7" borderId="0" xfId="0" applyFont="1" applyFill="1" applyAlignment="1">
      <alignment horizontal="center"/>
    </xf>
    <xf numFmtId="165" fontId="9" fillId="0" borderId="11" xfId="2" applyFont="1" applyBorder="1" applyAlignment="1"/>
    <xf numFmtId="165" fontId="9" fillId="0" borderId="12" xfId="2" applyFont="1" applyBorder="1" applyAlignment="1"/>
    <xf numFmtId="165" fontId="9" fillId="0" borderId="19" xfId="2" applyFont="1" applyBorder="1" applyAlignment="1"/>
    <xf numFmtId="165" fontId="9" fillId="0" borderId="23" xfId="2" quotePrefix="1" applyFont="1" applyBorder="1" applyAlignment="1"/>
    <xf numFmtId="165" fontId="9" fillId="0" borderId="9" xfId="2" applyFont="1" applyBorder="1" applyAlignment="1"/>
    <xf numFmtId="165" fontId="9" fillId="0" borderId="10" xfId="2" applyFont="1" applyBorder="1" applyAlignment="1"/>
    <xf numFmtId="165" fontId="9" fillId="0" borderId="23" xfId="2" applyFont="1" applyBorder="1" applyAlignment="1"/>
    <xf numFmtId="0" fontId="22" fillId="0" borderId="46" xfId="0" applyFont="1" applyBorder="1" applyAlignment="1">
      <alignment horizontal="center" vertical="center"/>
    </xf>
    <xf numFmtId="0" fontId="22" fillId="0" borderId="47" xfId="0" applyFont="1" applyBorder="1" applyAlignment="1">
      <alignment horizontal="center" vertical="center"/>
    </xf>
    <xf numFmtId="0" fontId="0" fillId="0" borderId="33" xfId="0" applyBorder="1" applyAlignment="1">
      <alignment vertical="center"/>
    </xf>
    <xf numFmtId="0" fontId="0" fillId="0" borderId="62" xfId="0" applyBorder="1" applyAlignment="1">
      <alignment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9" xfId="0" applyFont="1" applyBorder="1" applyAlignment="1">
      <alignment horizontal="center" vertical="center"/>
    </xf>
    <xf numFmtId="0" fontId="4" fillId="0" borderId="19" xfId="0" applyFont="1" applyBorder="1" applyAlignment="1">
      <alignment horizontal="center" vertical="center"/>
    </xf>
    <xf numFmtId="0" fontId="1" fillId="0" borderId="33" xfId="0" applyFont="1" applyBorder="1" applyAlignment="1"/>
    <xf numFmtId="0" fontId="23" fillId="0" borderId="0" xfId="0" applyFont="1" applyAlignment="1"/>
    <xf numFmtId="0" fontId="9" fillId="0" borderId="63" xfId="0" applyFont="1" applyBorder="1" applyAlignment="1"/>
    <xf numFmtId="0" fontId="9" fillId="0" borderId="64" xfId="0" applyFont="1" applyBorder="1" applyAlignment="1"/>
    <xf numFmtId="0" fontId="9" fillId="0" borderId="65" xfId="0" applyFont="1" applyBorder="1" applyAlignment="1"/>
    <xf numFmtId="0" fontId="22" fillId="11" borderId="12" xfId="0" applyFont="1" applyFill="1" applyBorder="1" applyAlignment="1"/>
    <xf numFmtId="0" fontId="22" fillId="11" borderId="19" xfId="0" applyFont="1" applyFill="1" applyBorder="1" applyAlignment="1"/>
    <xf numFmtId="0" fontId="9" fillId="0" borderId="11" xfId="0" applyFont="1" applyBorder="1" applyAlignment="1"/>
    <xf numFmtId="0" fontId="0" fillId="0" borderId="12" xfId="0" applyBorder="1" applyAlignment="1"/>
    <xf numFmtId="0" fontId="0" fillId="0" borderId="19" xfId="0" applyBorder="1" applyAlignment="1"/>
    <xf numFmtId="0" fontId="9" fillId="0" borderId="19" xfId="0" applyFont="1" applyBorder="1" applyAlignment="1"/>
    <xf numFmtId="0" fontId="9" fillId="0" borderId="12" xfId="0" applyFont="1" applyBorder="1" applyAlignment="1"/>
    <xf numFmtId="0" fontId="38" fillId="0" borderId="73" xfId="0" applyFont="1" applyBorder="1" applyAlignment="1"/>
    <xf numFmtId="0" fontId="38" fillId="0" borderId="74" xfId="0" applyFont="1" applyBorder="1" applyAlignment="1"/>
    <xf numFmtId="0" fontId="38" fillId="0" borderId="76" xfId="0" applyFont="1" applyBorder="1" applyAlignment="1"/>
    <xf numFmtId="0" fontId="38" fillId="0" borderId="31" xfId="0" applyFont="1" applyBorder="1" applyAlignment="1"/>
    <xf numFmtId="0" fontId="38" fillId="0" borderId="36" xfId="0" applyFont="1" applyBorder="1" applyAlignment="1"/>
    <xf numFmtId="0" fontId="38" fillId="0" borderId="26" xfId="0" applyFont="1" applyBorder="1" applyAlignment="1"/>
    <xf numFmtId="0" fontId="39" fillId="0" borderId="11" xfId="0" applyFont="1" applyBorder="1" applyAlignment="1"/>
    <xf numFmtId="0" fontId="39" fillId="0" borderId="19" xfId="0" applyFont="1" applyBorder="1" applyAlignment="1"/>
    <xf numFmtId="44" fontId="9" fillId="0" borderId="11" xfId="0" applyNumberFormat="1" applyFont="1" applyBorder="1" applyAlignment="1"/>
    <xf numFmtId="0" fontId="22" fillId="0" borderId="11" xfId="0" applyFont="1" applyBorder="1" applyAlignment="1"/>
    <xf numFmtId="0" fontId="22" fillId="0" borderId="19" xfId="0" applyFont="1" applyBorder="1" applyAlignment="1"/>
    <xf numFmtId="0" fontId="9" fillId="0" borderId="11" xfId="0" quotePrefix="1" applyFont="1" applyBorder="1" applyAlignment="1"/>
    <xf numFmtId="0" fontId="9" fillId="0" borderId="67" xfId="0" applyFont="1" applyBorder="1" applyAlignment="1"/>
    <xf numFmtId="0" fontId="9" fillId="0" borderId="68" xfId="0" applyFont="1" applyBorder="1" applyAlignment="1"/>
    <xf numFmtId="0" fontId="9" fillId="0" borderId="43" xfId="0" applyFont="1" applyBorder="1" applyAlignment="1"/>
  </cellXfs>
  <cellStyles count="12">
    <cellStyle name="Comma" xfId="1" builtinId="3"/>
    <cellStyle name="Comma 3" xfId="7" xr:uid="{5B334025-6961-4CB1-8A62-FE8AFE8346DF}"/>
    <cellStyle name="Comma_BCTSLEER" xfId="9" xr:uid="{90FF3A1A-6B84-4E3F-929A-F502AA86CFDC}"/>
    <cellStyle name="Currency" xfId="2" builtinId="4"/>
    <cellStyle name="Currency 2" xfId="4" xr:uid="{F255DB22-D972-4FA7-908F-933386B0015F}"/>
    <cellStyle name="Currency 3" xfId="6" xr:uid="{37FABE86-AF6A-47CB-8222-A128F9AC3D79}"/>
    <cellStyle name="Hyperlink" xfId="5" builtinId="8"/>
    <cellStyle name="Normal" xfId="0" builtinId="0"/>
    <cellStyle name="Normal 2" xfId="11" xr:uid="{0EBE73A2-3C71-4100-B4D1-29B1BE1F75FA}"/>
    <cellStyle name="Normal_8. GST Adjustment Schedule" xfId="10" xr:uid="{FE729B4F-BF43-4952-B0CA-C7FD4AF73305}"/>
    <cellStyle name="Normal_Accounts Preparation - Electronic Workpapers1" xfId="8" xr:uid="{661D6ED6-3D11-4366-85F6-6736DCC4A98F}"/>
    <cellStyle name="Per cent" xfId="3" builtinId="5"/>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195460</xdr:colOff>
      <xdr:row>28</xdr:row>
      <xdr:rowOff>117230</xdr:rowOff>
    </xdr:from>
    <xdr:to>
      <xdr:col>10</xdr:col>
      <xdr:colOff>701639</xdr:colOff>
      <xdr:row>47</xdr:row>
      <xdr:rowOff>122484</xdr:rowOff>
    </xdr:to>
    <xdr:pic>
      <xdr:nvPicPr>
        <xdr:cNvPr id="2" name="Picture 1">
          <a:extLst>
            <a:ext uri="{FF2B5EF4-FFF2-40B4-BE49-F238E27FC236}">
              <a16:creationId xmlns:a16="http://schemas.microsoft.com/office/drawing/2014/main" id="{6B18F45B-9012-42FF-B053-FB2F7A4BA630}"/>
            </a:ext>
          </a:extLst>
        </xdr:cNvPr>
        <xdr:cNvPicPr>
          <a:picLocks noChangeAspect="1"/>
        </xdr:cNvPicPr>
      </xdr:nvPicPr>
      <xdr:blipFill>
        <a:blip xmlns:r="http://schemas.openxmlformats.org/officeDocument/2006/relationships" r:embed="rId1"/>
        <a:stretch>
          <a:fillRect/>
        </a:stretch>
      </xdr:blipFill>
      <xdr:spPr>
        <a:xfrm>
          <a:off x="3519685" y="5165480"/>
          <a:ext cx="5059129" cy="3624754"/>
        </a:xfrm>
        <a:prstGeom prst="rect">
          <a:avLst/>
        </a:prstGeom>
        <a:ln>
          <a:solidFill>
            <a:sysClr val="windowText" lastClr="000000"/>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76200</xdr:colOff>
      <xdr:row>14</xdr:row>
      <xdr:rowOff>97109</xdr:rowOff>
    </xdr:from>
    <xdr:to>
      <xdr:col>9</xdr:col>
      <xdr:colOff>419795</xdr:colOff>
      <xdr:row>23</xdr:row>
      <xdr:rowOff>114437</xdr:rowOff>
    </xdr:to>
    <xdr:pic>
      <xdr:nvPicPr>
        <xdr:cNvPr id="2" name="Picture 1">
          <a:extLst>
            <a:ext uri="{FF2B5EF4-FFF2-40B4-BE49-F238E27FC236}">
              <a16:creationId xmlns:a16="http://schemas.microsoft.com/office/drawing/2014/main" id="{6B19488E-021D-8CC1-D004-B83B15D82F30}"/>
            </a:ext>
          </a:extLst>
        </xdr:cNvPr>
        <xdr:cNvPicPr>
          <a:picLocks noChangeAspect="1"/>
        </xdr:cNvPicPr>
      </xdr:nvPicPr>
      <xdr:blipFill>
        <a:blip xmlns:r="http://schemas.openxmlformats.org/officeDocument/2006/relationships" r:embed="rId1"/>
        <a:stretch>
          <a:fillRect/>
        </a:stretch>
      </xdr:blipFill>
      <xdr:spPr>
        <a:xfrm>
          <a:off x="1206500" y="3126059"/>
          <a:ext cx="8496995" cy="1674678"/>
        </a:xfrm>
        <a:prstGeom prst="rect">
          <a:avLst/>
        </a:prstGeom>
        <a:ln>
          <a:solidFill>
            <a:sysClr val="windowText" lastClr="000000"/>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828675</xdr:colOff>
      <xdr:row>30</xdr:row>
      <xdr:rowOff>114300</xdr:rowOff>
    </xdr:from>
    <xdr:to>
      <xdr:col>14</xdr:col>
      <xdr:colOff>579582</xdr:colOff>
      <xdr:row>38</xdr:row>
      <xdr:rowOff>123633</xdr:rowOff>
    </xdr:to>
    <xdr:pic>
      <xdr:nvPicPr>
        <xdr:cNvPr id="2" name="Picture 1">
          <a:extLst>
            <a:ext uri="{FF2B5EF4-FFF2-40B4-BE49-F238E27FC236}">
              <a16:creationId xmlns:a16="http://schemas.microsoft.com/office/drawing/2014/main" id="{4D3DB94E-18F2-BE09-A877-E2D35F47950C}"/>
            </a:ext>
          </a:extLst>
        </xdr:cNvPr>
        <xdr:cNvPicPr>
          <a:picLocks noChangeAspect="1"/>
        </xdr:cNvPicPr>
      </xdr:nvPicPr>
      <xdr:blipFill>
        <a:blip xmlns:r="http://schemas.openxmlformats.org/officeDocument/2006/relationships" r:embed="rId1"/>
        <a:stretch>
          <a:fillRect/>
        </a:stretch>
      </xdr:blipFill>
      <xdr:spPr>
        <a:xfrm>
          <a:off x="1562100" y="6200775"/>
          <a:ext cx="11542857" cy="1533333"/>
        </a:xfrm>
        <a:prstGeom prst="rect">
          <a:avLst/>
        </a:prstGeom>
        <a:ln>
          <a:solidFill>
            <a:sysClr val="windowText" lastClr="000000"/>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81A2E-70FA-4FD8-82E2-7C6920CE12D8}">
  <sheetPr>
    <tabColor rgb="FFFF0000"/>
  </sheetPr>
  <dimension ref="A1:J227"/>
  <sheetViews>
    <sheetView topLeftCell="A12" workbookViewId="0">
      <selection activeCell="E67" sqref="E67"/>
    </sheetView>
  </sheetViews>
  <sheetFormatPr defaultRowHeight="15"/>
  <cols>
    <col min="1" max="1" width="10.7109375" customWidth="1"/>
    <col min="2" max="2" width="4.7109375" customWidth="1"/>
    <col min="3" max="3" width="45.28515625" customWidth="1"/>
    <col min="4" max="5" width="5.7109375" customWidth="1"/>
    <col min="6" max="6" width="25" customWidth="1"/>
    <col min="7" max="7" width="17.140625" customWidth="1"/>
    <col min="8" max="8" width="14.42578125" customWidth="1"/>
    <col min="9" max="9" width="9.5703125" bestFit="1" customWidth="1"/>
  </cols>
  <sheetData>
    <row r="1" spans="1:9" ht="18">
      <c r="A1" s="116" t="s">
        <v>0</v>
      </c>
      <c r="B1" s="119"/>
      <c r="C1" s="117" t="s">
        <v>1</v>
      </c>
      <c r="F1" s="54"/>
      <c r="H1" s="56" t="s">
        <v>2</v>
      </c>
      <c r="I1" s="56" t="s">
        <v>3</v>
      </c>
    </row>
    <row r="2" spans="1:9" ht="18">
      <c r="A2" s="116" t="s">
        <v>4</v>
      </c>
      <c r="B2" s="120"/>
      <c r="C2" s="117" t="s">
        <v>5</v>
      </c>
      <c r="D2" s="53"/>
      <c r="E2" s="53"/>
      <c r="F2" s="55"/>
      <c r="G2" s="59" t="s">
        <v>6</v>
      </c>
      <c r="H2" s="60" t="s">
        <v>7</v>
      </c>
      <c r="I2" s="61">
        <v>44993</v>
      </c>
    </row>
    <row r="3" spans="1:9" ht="18">
      <c r="A3" s="116" t="s">
        <v>8</v>
      </c>
      <c r="B3" s="120"/>
      <c r="C3" s="118">
        <v>44742</v>
      </c>
      <c r="D3" s="53"/>
      <c r="E3" s="53"/>
      <c r="F3" s="55"/>
      <c r="G3" s="59" t="s">
        <v>9</v>
      </c>
      <c r="H3" s="60" t="s">
        <v>10</v>
      </c>
      <c r="I3" s="61">
        <v>45035</v>
      </c>
    </row>
    <row r="4" spans="1:9" ht="18">
      <c r="A4" s="121"/>
      <c r="B4" s="53"/>
      <c r="C4" s="3"/>
      <c r="D4" s="53"/>
      <c r="E4" s="53"/>
      <c r="F4" s="55"/>
    </row>
    <row r="5" spans="1:9" ht="18">
      <c r="A5" s="53" t="s">
        <v>11</v>
      </c>
      <c r="C5" s="57"/>
      <c r="F5" s="58"/>
    </row>
    <row r="6" spans="1:9" ht="20.100000000000001" customHeight="1" thickBot="1">
      <c r="A6" s="2"/>
      <c r="B6" s="2"/>
      <c r="C6" s="3"/>
      <c r="D6" s="4"/>
      <c r="E6" s="4"/>
      <c r="F6" s="4"/>
      <c r="G6" s="4"/>
      <c r="H6" s="4"/>
    </row>
    <row r="7" spans="1:9" s="9" customFormat="1" ht="41.25" customHeight="1">
      <c r="A7" s="5" t="s">
        <v>12</v>
      </c>
      <c r="B7" s="6"/>
      <c r="C7" s="7"/>
      <c r="D7" s="8" t="s">
        <v>13</v>
      </c>
      <c r="E7" s="8" t="s">
        <v>14</v>
      </c>
      <c r="F7" s="341" t="s">
        <v>15</v>
      </c>
      <c r="G7" s="342"/>
      <c r="H7" s="343"/>
    </row>
    <row r="8" spans="1:9" ht="20.100000000000001" customHeight="1">
      <c r="A8" s="344" t="s">
        <v>16</v>
      </c>
      <c r="B8" s="345"/>
      <c r="C8" s="346"/>
      <c r="D8" s="215"/>
      <c r="E8" s="10" t="s">
        <v>17</v>
      </c>
      <c r="F8" s="338"/>
      <c r="G8" s="339"/>
      <c r="H8" s="340"/>
    </row>
    <row r="9" spans="1:9" ht="20.100000000000001" customHeight="1">
      <c r="A9" s="11"/>
      <c r="B9" s="12">
        <v>1</v>
      </c>
      <c r="C9" s="13" t="s">
        <v>18</v>
      </c>
      <c r="D9" s="215"/>
      <c r="E9" s="10" t="s">
        <v>17</v>
      </c>
      <c r="F9" s="338"/>
      <c r="G9" s="339"/>
      <c r="H9" s="340"/>
    </row>
    <row r="10" spans="1:9" ht="20.100000000000001" customHeight="1">
      <c r="A10" s="11"/>
      <c r="B10" s="12">
        <v>2</v>
      </c>
      <c r="C10" s="13" t="s">
        <v>19</v>
      </c>
      <c r="D10" s="215"/>
      <c r="E10" s="10" t="s">
        <v>17</v>
      </c>
      <c r="F10" s="338"/>
      <c r="G10" s="339"/>
      <c r="H10" s="340"/>
    </row>
    <row r="11" spans="1:9" ht="20.100000000000001" customHeight="1">
      <c r="A11" s="11"/>
      <c r="B11" s="12">
        <v>3</v>
      </c>
      <c r="C11" s="13" t="s">
        <v>20</v>
      </c>
      <c r="D11" s="215"/>
      <c r="E11" s="10" t="s">
        <v>17</v>
      </c>
      <c r="F11" s="338"/>
      <c r="G11" s="339"/>
      <c r="H11" s="340"/>
    </row>
    <row r="12" spans="1:9" ht="20.100000000000001" customHeight="1">
      <c r="A12" s="11"/>
      <c r="B12" s="12">
        <v>4</v>
      </c>
      <c r="C12" s="13" t="s">
        <v>21</v>
      </c>
      <c r="D12" s="215"/>
      <c r="E12" s="10" t="s">
        <v>17</v>
      </c>
      <c r="F12" s="338"/>
      <c r="G12" s="339"/>
      <c r="H12" s="340"/>
    </row>
    <row r="13" spans="1:9" ht="20.100000000000001" customHeight="1">
      <c r="A13" s="11"/>
      <c r="B13" s="12">
        <v>5</v>
      </c>
      <c r="C13" s="12" t="s">
        <v>22</v>
      </c>
      <c r="D13" s="215"/>
      <c r="E13" s="10" t="s">
        <v>17</v>
      </c>
      <c r="F13" s="338"/>
      <c r="G13" s="339"/>
      <c r="H13" s="340"/>
    </row>
    <row r="14" spans="1:9" ht="20.100000000000001" customHeight="1">
      <c r="A14" s="11"/>
      <c r="B14" s="12">
        <v>6</v>
      </c>
      <c r="C14" s="14" t="s">
        <v>23</v>
      </c>
      <c r="D14" s="215"/>
      <c r="E14" s="10" t="s">
        <v>17</v>
      </c>
      <c r="F14" s="338"/>
      <c r="G14" s="339"/>
      <c r="H14" s="340"/>
    </row>
    <row r="15" spans="1:9" ht="20.100000000000001" customHeight="1">
      <c r="A15" s="15"/>
      <c r="B15" s="16">
        <v>7</v>
      </c>
      <c r="C15" s="12" t="s">
        <v>24</v>
      </c>
      <c r="D15" s="215"/>
      <c r="E15" s="10" t="s">
        <v>17</v>
      </c>
      <c r="F15" s="338"/>
      <c r="G15" s="339"/>
      <c r="H15" s="340"/>
    </row>
    <row r="16" spans="1:9" ht="20.100000000000001" customHeight="1">
      <c r="A16" s="15"/>
      <c r="B16" s="16">
        <v>8</v>
      </c>
      <c r="C16" s="12" t="s">
        <v>25</v>
      </c>
      <c r="D16" s="215"/>
      <c r="E16" s="10" t="s">
        <v>17</v>
      </c>
      <c r="F16" s="338"/>
      <c r="G16" s="339"/>
      <c r="H16" s="340"/>
    </row>
    <row r="17" spans="1:10" ht="20.100000000000001" customHeight="1">
      <c r="A17" s="335" t="s">
        <v>26</v>
      </c>
      <c r="B17" s="336"/>
      <c r="C17" s="337"/>
      <c r="D17" s="215"/>
      <c r="E17" s="17"/>
      <c r="F17" s="338"/>
      <c r="G17" s="339"/>
      <c r="H17" s="340"/>
      <c r="J17" s="18"/>
    </row>
    <row r="18" spans="1:10" ht="20.100000000000001" customHeight="1">
      <c r="A18" s="19">
        <v>2</v>
      </c>
      <c r="B18" s="20" t="s">
        <v>27</v>
      </c>
      <c r="C18" s="21"/>
      <c r="D18" s="215"/>
      <c r="E18" s="17"/>
      <c r="F18" s="338"/>
      <c r="G18" s="339"/>
      <c r="H18" s="340"/>
    </row>
    <row r="19" spans="1:10" ht="20.100000000000001" customHeight="1">
      <c r="A19" s="22"/>
      <c r="B19" s="23"/>
      <c r="C19" s="24" t="s">
        <v>28</v>
      </c>
      <c r="D19" s="215"/>
      <c r="E19" s="10" t="s">
        <v>17</v>
      </c>
      <c r="F19" s="338"/>
      <c r="G19" s="339"/>
      <c r="H19" s="340"/>
    </row>
    <row r="20" spans="1:10" ht="20.100000000000001" customHeight="1">
      <c r="A20" s="22"/>
      <c r="B20" s="23"/>
      <c r="C20" s="24" t="s">
        <v>29</v>
      </c>
      <c r="D20" s="215"/>
      <c r="E20" s="17"/>
      <c r="F20" s="338"/>
      <c r="G20" s="339"/>
      <c r="H20" s="340"/>
    </row>
    <row r="21" spans="1:10" ht="20.100000000000001" customHeight="1">
      <c r="A21" s="11"/>
      <c r="B21" s="25"/>
      <c r="C21" s="14" t="s">
        <v>30</v>
      </c>
      <c r="D21" s="215"/>
      <c r="E21" s="10" t="s">
        <v>17</v>
      </c>
      <c r="F21" s="338"/>
      <c r="G21" s="339"/>
      <c r="H21" s="340"/>
    </row>
    <row r="22" spans="1:10" ht="20.100000000000001" customHeight="1">
      <c r="A22" s="11"/>
      <c r="B22" s="26"/>
      <c r="C22" s="14" t="s">
        <v>31</v>
      </c>
      <c r="D22" s="216" t="s">
        <v>32</v>
      </c>
      <c r="E22" s="10" t="s">
        <v>17</v>
      </c>
      <c r="F22" s="338"/>
      <c r="G22" s="339"/>
      <c r="H22" s="340"/>
    </row>
    <row r="23" spans="1:10" ht="20.100000000000001" customHeight="1">
      <c r="A23" s="19">
        <v>3</v>
      </c>
      <c r="B23" s="27" t="s">
        <v>33</v>
      </c>
      <c r="C23" s="21"/>
      <c r="D23" s="215"/>
      <c r="E23" s="17"/>
      <c r="F23" s="338"/>
      <c r="G23" s="339"/>
      <c r="H23" s="340"/>
    </row>
    <row r="24" spans="1:10" ht="20.100000000000001" customHeight="1">
      <c r="A24" s="11"/>
      <c r="B24" s="28"/>
      <c r="C24" s="14" t="s">
        <v>34</v>
      </c>
      <c r="D24" s="229" t="s">
        <v>32</v>
      </c>
      <c r="E24" s="10" t="s">
        <v>17</v>
      </c>
      <c r="F24" s="338"/>
      <c r="G24" s="339"/>
      <c r="H24" s="340"/>
    </row>
    <row r="25" spans="1:10" ht="20.100000000000001" customHeight="1">
      <c r="A25" s="19">
        <v>4</v>
      </c>
      <c r="B25" s="27" t="s">
        <v>35</v>
      </c>
      <c r="C25" s="27"/>
      <c r="D25" s="215"/>
      <c r="E25" s="10"/>
      <c r="F25" s="338"/>
      <c r="G25" s="339"/>
      <c r="H25" s="340"/>
    </row>
    <row r="26" spans="1:10" ht="20.100000000000001" customHeight="1">
      <c r="A26" s="22"/>
      <c r="B26" s="23"/>
      <c r="C26" s="24" t="s">
        <v>36</v>
      </c>
      <c r="D26" s="216" t="s">
        <v>32</v>
      </c>
      <c r="E26" s="10"/>
      <c r="F26" s="338"/>
      <c r="G26" s="339"/>
      <c r="H26" s="340"/>
    </row>
    <row r="27" spans="1:10" ht="20.100000000000001" customHeight="1">
      <c r="A27" s="11"/>
      <c r="B27" s="25"/>
      <c r="C27" s="14" t="s">
        <v>37</v>
      </c>
      <c r="D27" s="216" t="s">
        <v>32</v>
      </c>
      <c r="E27" s="10" t="s">
        <v>17</v>
      </c>
      <c r="F27" s="338"/>
      <c r="G27" s="339"/>
      <c r="H27" s="340"/>
    </row>
    <row r="28" spans="1:10" ht="20.100000000000001" customHeight="1">
      <c r="A28" s="11"/>
      <c r="B28" s="26"/>
      <c r="C28" s="14" t="s">
        <v>38</v>
      </c>
      <c r="D28" s="216" t="s">
        <v>32</v>
      </c>
      <c r="E28" s="10"/>
      <c r="F28" s="338"/>
      <c r="G28" s="339"/>
      <c r="H28" s="340"/>
    </row>
    <row r="29" spans="1:10" ht="20.100000000000001" customHeight="1">
      <c r="A29" s="11"/>
      <c r="B29" s="26"/>
      <c r="C29" s="14" t="s">
        <v>39</v>
      </c>
      <c r="D29" s="216" t="s">
        <v>32</v>
      </c>
      <c r="E29" s="10"/>
      <c r="F29" s="338"/>
      <c r="G29" s="339"/>
      <c r="H29" s="340"/>
    </row>
    <row r="30" spans="1:10" ht="20.100000000000001" customHeight="1">
      <c r="A30" s="11"/>
      <c r="B30" s="26"/>
      <c r="C30" s="14" t="s">
        <v>40</v>
      </c>
      <c r="D30" s="216" t="s">
        <v>32</v>
      </c>
      <c r="E30" s="10"/>
      <c r="F30" s="338"/>
      <c r="G30" s="339"/>
      <c r="H30" s="340"/>
    </row>
    <row r="31" spans="1:10" ht="20.100000000000001" customHeight="1">
      <c r="A31" s="19">
        <v>5</v>
      </c>
      <c r="B31" s="27" t="s">
        <v>41</v>
      </c>
      <c r="C31" s="27"/>
      <c r="D31" s="215"/>
      <c r="E31" s="10"/>
      <c r="F31" s="338"/>
      <c r="G31" s="339"/>
      <c r="H31" s="340"/>
    </row>
    <row r="32" spans="1:10" ht="20.100000000000001" customHeight="1">
      <c r="A32" s="22"/>
      <c r="B32" s="28"/>
      <c r="C32" s="14" t="s">
        <v>42</v>
      </c>
      <c r="D32" s="215"/>
      <c r="E32" s="10"/>
      <c r="F32" s="338"/>
      <c r="G32" s="339"/>
      <c r="H32" s="340"/>
    </row>
    <row r="33" spans="1:8" ht="20.100000000000001" customHeight="1">
      <c r="A33" s="11"/>
      <c r="B33" s="28"/>
      <c r="C33" s="14" t="s">
        <v>43</v>
      </c>
      <c r="D33" s="216" t="s">
        <v>32</v>
      </c>
      <c r="E33" s="10"/>
      <c r="F33" s="338"/>
      <c r="G33" s="339"/>
      <c r="H33" s="340"/>
    </row>
    <row r="34" spans="1:8" ht="20.100000000000001" customHeight="1">
      <c r="A34" s="11"/>
      <c r="B34" s="28"/>
      <c r="C34" s="14" t="s">
        <v>44</v>
      </c>
      <c r="D34" s="215"/>
      <c r="E34" s="17"/>
      <c r="F34" s="338"/>
      <c r="G34" s="339"/>
      <c r="H34" s="340"/>
    </row>
    <row r="35" spans="1:8" ht="20.100000000000001" customHeight="1">
      <c r="A35" s="11"/>
      <c r="B35" s="28"/>
      <c r="C35" s="14" t="s">
        <v>45</v>
      </c>
      <c r="D35" s="216" t="s">
        <v>32</v>
      </c>
      <c r="E35" s="10"/>
      <c r="F35" s="338"/>
      <c r="G35" s="339"/>
      <c r="H35" s="340"/>
    </row>
    <row r="36" spans="1:8" ht="20.100000000000001" customHeight="1">
      <c r="A36" s="11"/>
      <c r="B36" s="28"/>
      <c r="C36" s="14" t="s">
        <v>46</v>
      </c>
      <c r="D36" s="215"/>
      <c r="E36" s="10"/>
      <c r="F36" s="338"/>
      <c r="G36" s="339"/>
      <c r="H36" s="340"/>
    </row>
    <row r="37" spans="1:8" ht="20.100000000000001" customHeight="1">
      <c r="A37" s="11"/>
      <c r="B37" s="28"/>
      <c r="C37" s="14" t="s">
        <v>47</v>
      </c>
      <c r="D37" s="215"/>
      <c r="E37" s="17"/>
      <c r="F37" s="338"/>
      <c r="G37" s="339"/>
      <c r="H37" s="340"/>
    </row>
    <row r="38" spans="1:8" ht="20.100000000000001" customHeight="1">
      <c r="A38" s="11"/>
      <c r="B38" s="28"/>
      <c r="C38" s="14" t="s">
        <v>48</v>
      </c>
      <c r="D38" s="216" t="s">
        <v>32</v>
      </c>
      <c r="E38" s="10" t="s">
        <v>17</v>
      </c>
      <c r="F38" s="338"/>
      <c r="G38" s="339"/>
      <c r="H38" s="340"/>
    </row>
    <row r="39" spans="1:8" ht="20.100000000000001" customHeight="1">
      <c r="A39" s="19">
        <v>6</v>
      </c>
      <c r="B39" s="27" t="s">
        <v>49</v>
      </c>
      <c r="C39" s="27"/>
      <c r="D39" s="215"/>
      <c r="E39" s="10"/>
      <c r="F39" s="338"/>
      <c r="G39" s="339"/>
      <c r="H39" s="340"/>
    </row>
    <row r="40" spans="1:8" ht="20.100000000000001" customHeight="1">
      <c r="A40" s="11"/>
      <c r="B40" s="28"/>
      <c r="C40" s="14" t="s">
        <v>50</v>
      </c>
      <c r="D40" s="215"/>
      <c r="E40" s="10" t="s">
        <v>17</v>
      </c>
      <c r="F40" s="338"/>
      <c r="G40" s="339"/>
      <c r="H40" s="340"/>
    </row>
    <row r="41" spans="1:8" ht="20.100000000000001" customHeight="1">
      <c r="A41" s="11"/>
      <c r="B41" s="28"/>
      <c r="C41" s="14" t="s">
        <v>51</v>
      </c>
      <c r="D41" s="215"/>
      <c r="E41" s="17"/>
      <c r="F41" s="338"/>
      <c r="G41" s="339"/>
      <c r="H41" s="340"/>
    </row>
    <row r="42" spans="1:8" ht="20.100000000000001" customHeight="1">
      <c r="A42" s="11"/>
      <c r="B42" s="28"/>
      <c r="C42" s="14" t="s">
        <v>52</v>
      </c>
      <c r="D42" s="215"/>
      <c r="E42" s="10" t="s">
        <v>17</v>
      </c>
      <c r="F42" s="338"/>
      <c r="G42" s="339"/>
      <c r="H42" s="340"/>
    </row>
    <row r="43" spans="1:8" ht="20.100000000000001" customHeight="1">
      <c r="A43" s="11"/>
      <c r="B43" s="28"/>
      <c r="C43" s="14" t="s">
        <v>53</v>
      </c>
      <c r="D43" s="215"/>
      <c r="E43" s="17"/>
      <c r="F43" s="338"/>
      <c r="G43" s="339"/>
      <c r="H43" s="340"/>
    </row>
    <row r="44" spans="1:8" ht="20.100000000000001" customHeight="1">
      <c r="A44" s="11"/>
      <c r="B44" s="28"/>
      <c r="C44" s="14" t="s">
        <v>54</v>
      </c>
      <c r="D44" s="215"/>
      <c r="E44" s="17"/>
      <c r="F44" s="338"/>
      <c r="G44" s="339"/>
      <c r="H44" s="340"/>
    </row>
    <row r="45" spans="1:8" ht="20.100000000000001" customHeight="1">
      <c r="A45" s="11"/>
      <c r="B45" s="28"/>
      <c r="C45" s="14" t="s">
        <v>55</v>
      </c>
      <c r="D45" s="215"/>
      <c r="E45" s="10"/>
      <c r="F45" s="338"/>
      <c r="G45" s="339"/>
      <c r="H45" s="340"/>
    </row>
    <row r="46" spans="1:8" ht="20.100000000000001" customHeight="1">
      <c r="A46" s="19">
        <v>7</v>
      </c>
      <c r="B46" s="27" t="s">
        <v>56</v>
      </c>
      <c r="C46" s="27"/>
      <c r="D46" s="215"/>
      <c r="E46" s="17"/>
      <c r="F46" s="338"/>
      <c r="G46" s="339"/>
      <c r="H46" s="340"/>
    </row>
    <row r="47" spans="1:8" ht="20.100000000000001" customHeight="1">
      <c r="A47" s="11"/>
      <c r="B47" s="28"/>
      <c r="C47" s="14" t="s">
        <v>57</v>
      </c>
      <c r="D47" s="216" t="s">
        <v>32</v>
      </c>
      <c r="E47" s="10" t="s">
        <v>17</v>
      </c>
      <c r="F47" s="338"/>
      <c r="G47" s="339"/>
      <c r="H47" s="340"/>
    </row>
    <row r="48" spans="1:8" ht="20.100000000000001" customHeight="1">
      <c r="A48" s="11"/>
      <c r="B48" s="29"/>
      <c r="C48" s="14" t="s">
        <v>58</v>
      </c>
      <c r="D48" s="215"/>
      <c r="E48" s="17"/>
      <c r="F48" s="338"/>
      <c r="G48" s="339"/>
      <c r="H48" s="340"/>
    </row>
    <row r="49" spans="1:8" ht="20.100000000000001" customHeight="1">
      <c r="A49" s="19">
        <v>8</v>
      </c>
      <c r="B49" s="27" t="s">
        <v>59</v>
      </c>
      <c r="C49" s="27"/>
      <c r="D49" s="215"/>
      <c r="E49" s="17"/>
      <c r="F49" s="338"/>
      <c r="G49" s="339"/>
      <c r="H49" s="340"/>
    </row>
    <row r="50" spans="1:8" ht="20.100000000000001" customHeight="1">
      <c r="A50" s="11"/>
      <c r="B50" s="28"/>
      <c r="C50" s="24" t="s">
        <v>60</v>
      </c>
      <c r="D50" s="215"/>
      <c r="E50" s="10" t="s">
        <v>17</v>
      </c>
      <c r="F50" s="338"/>
      <c r="G50" s="339"/>
      <c r="H50" s="340"/>
    </row>
    <row r="51" spans="1:8" ht="20.100000000000001" customHeight="1">
      <c r="A51" s="11"/>
      <c r="B51" s="30"/>
      <c r="C51" s="14" t="s">
        <v>61</v>
      </c>
      <c r="D51" s="216" t="s">
        <v>32</v>
      </c>
      <c r="E51" s="10" t="s">
        <v>17</v>
      </c>
      <c r="F51" s="338"/>
      <c r="G51" s="339"/>
      <c r="H51" s="340"/>
    </row>
    <row r="52" spans="1:8" ht="20.100000000000001" customHeight="1">
      <c r="A52" s="11"/>
      <c r="B52" s="30"/>
      <c r="C52" s="24" t="s">
        <v>62</v>
      </c>
      <c r="D52" s="215"/>
      <c r="E52" s="10"/>
      <c r="F52" s="338"/>
      <c r="G52" s="339"/>
      <c r="H52" s="340"/>
    </row>
    <row r="53" spans="1:8" ht="20.100000000000001" customHeight="1">
      <c r="A53" s="11"/>
      <c r="B53" s="30"/>
      <c r="C53" s="24" t="s">
        <v>63</v>
      </c>
      <c r="D53" s="216" t="s">
        <v>32</v>
      </c>
      <c r="E53" s="10"/>
      <c r="F53" s="338"/>
      <c r="G53" s="339"/>
      <c r="H53" s="340"/>
    </row>
    <row r="54" spans="1:8" ht="20.100000000000001" customHeight="1">
      <c r="A54" s="11"/>
      <c r="B54" s="30"/>
      <c r="C54" s="24" t="s">
        <v>64</v>
      </c>
      <c r="D54" s="216" t="s">
        <v>32</v>
      </c>
      <c r="E54" s="10" t="s">
        <v>17</v>
      </c>
      <c r="F54" s="338"/>
      <c r="G54" s="339"/>
      <c r="H54" s="340"/>
    </row>
    <row r="55" spans="1:8" ht="20.100000000000001" customHeight="1">
      <c r="A55" s="11"/>
      <c r="B55" s="30"/>
      <c r="C55" s="24" t="s">
        <v>65</v>
      </c>
      <c r="D55" s="215"/>
      <c r="E55" s="10"/>
      <c r="F55" s="338"/>
      <c r="G55" s="339"/>
      <c r="H55" s="340"/>
    </row>
    <row r="56" spans="1:8" ht="20.100000000000001" customHeight="1">
      <c r="A56" s="11"/>
      <c r="B56" s="30"/>
      <c r="C56" s="24" t="s">
        <v>66</v>
      </c>
      <c r="D56" s="215"/>
      <c r="E56" s="10"/>
      <c r="F56" s="338"/>
      <c r="G56" s="339"/>
      <c r="H56" s="340"/>
    </row>
    <row r="57" spans="1:8" ht="20.100000000000001" customHeight="1">
      <c r="A57" s="11"/>
      <c r="B57" s="30"/>
      <c r="C57" s="24" t="s">
        <v>67</v>
      </c>
      <c r="D57" s="215"/>
      <c r="E57" s="10" t="s">
        <v>17</v>
      </c>
      <c r="F57" s="338"/>
      <c r="G57" s="339"/>
      <c r="H57" s="340"/>
    </row>
    <row r="58" spans="1:8" ht="20.100000000000001" customHeight="1">
      <c r="A58" s="19">
        <v>9</v>
      </c>
      <c r="B58" s="27" t="s">
        <v>68</v>
      </c>
      <c r="C58" s="27"/>
      <c r="D58" s="215"/>
      <c r="E58" s="17"/>
      <c r="F58" s="338"/>
      <c r="G58" s="339"/>
      <c r="H58" s="340"/>
    </row>
    <row r="59" spans="1:8" ht="20.100000000000001" customHeight="1">
      <c r="A59" s="31"/>
      <c r="B59" s="26"/>
      <c r="C59" s="14" t="s">
        <v>69</v>
      </c>
      <c r="D59" s="216" t="s">
        <v>32</v>
      </c>
      <c r="E59" s="10" t="s">
        <v>17</v>
      </c>
      <c r="F59" s="338"/>
      <c r="G59" s="339"/>
      <c r="H59" s="340"/>
    </row>
    <row r="60" spans="1:8" ht="20.100000000000001" customHeight="1">
      <c r="A60" s="11"/>
      <c r="B60" s="26"/>
      <c r="C60" s="14" t="s">
        <v>70</v>
      </c>
      <c r="D60" s="215"/>
      <c r="E60" s="10" t="s">
        <v>17</v>
      </c>
      <c r="F60" s="338"/>
      <c r="G60" s="339"/>
      <c r="H60" s="340"/>
    </row>
    <row r="61" spans="1:8" ht="20.100000000000001" customHeight="1">
      <c r="A61" s="11"/>
      <c r="B61" s="26"/>
      <c r="C61" s="14" t="s">
        <v>71</v>
      </c>
      <c r="D61" s="216" t="s">
        <v>32</v>
      </c>
      <c r="E61" s="10"/>
      <c r="F61" s="338"/>
      <c r="G61" s="339"/>
      <c r="H61" s="340"/>
    </row>
    <row r="62" spans="1:8" ht="20.100000000000001" customHeight="1">
      <c r="A62" s="11"/>
      <c r="B62" s="30"/>
      <c r="C62" s="24" t="s">
        <v>48</v>
      </c>
      <c r="D62" s="215"/>
      <c r="E62" s="10" t="s">
        <v>17</v>
      </c>
      <c r="F62" s="338"/>
      <c r="G62" s="339"/>
      <c r="H62" s="340"/>
    </row>
    <row r="63" spans="1:8" ht="20.100000000000001" customHeight="1">
      <c r="A63" s="19">
        <v>10</v>
      </c>
      <c r="B63" s="27" t="s">
        <v>72</v>
      </c>
      <c r="C63" s="27"/>
      <c r="D63" s="215"/>
      <c r="E63" s="17"/>
      <c r="F63" s="350"/>
      <c r="G63" s="351"/>
      <c r="H63" s="352"/>
    </row>
    <row r="64" spans="1:8" ht="20.100000000000001" customHeight="1">
      <c r="A64" s="11"/>
      <c r="B64" s="30"/>
      <c r="C64" s="24" t="s">
        <v>73</v>
      </c>
      <c r="D64" s="215"/>
      <c r="E64" s="10" t="s">
        <v>17</v>
      </c>
      <c r="F64" s="338" t="s">
        <v>74</v>
      </c>
      <c r="G64" s="339"/>
      <c r="H64" s="340"/>
    </row>
    <row r="65" spans="1:8" ht="20.100000000000001" customHeight="1">
      <c r="A65" s="19">
        <v>11</v>
      </c>
      <c r="B65" s="27" t="s">
        <v>75</v>
      </c>
      <c r="C65" s="27"/>
      <c r="D65" s="215"/>
      <c r="E65" s="17"/>
      <c r="F65" s="338"/>
      <c r="G65" s="339"/>
      <c r="H65" s="340"/>
    </row>
    <row r="66" spans="1:8" ht="20.100000000000001" customHeight="1">
      <c r="A66" s="31"/>
      <c r="B66" s="26"/>
      <c r="C66" s="14" t="s">
        <v>76</v>
      </c>
      <c r="D66" s="216" t="s">
        <v>32</v>
      </c>
      <c r="E66" s="17"/>
      <c r="F66" s="338"/>
      <c r="G66" s="339"/>
      <c r="H66" s="340"/>
    </row>
    <row r="67" spans="1:8" ht="20.100000000000001" customHeight="1">
      <c r="A67" s="217"/>
      <c r="B67" s="218"/>
      <c r="C67" s="219" t="s">
        <v>77</v>
      </c>
      <c r="D67" s="220" t="s">
        <v>32</v>
      </c>
      <c r="E67" s="10" t="s">
        <v>17</v>
      </c>
      <c r="F67" s="347"/>
      <c r="G67" s="348"/>
      <c r="H67" s="349"/>
    </row>
    <row r="68" spans="1:8" ht="15.95" customHeight="1">
      <c r="A68" s="32"/>
      <c r="B68" s="33"/>
      <c r="C68" s="33"/>
      <c r="D68" s="33"/>
      <c r="E68" s="33"/>
      <c r="F68" s="33"/>
      <c r="G68" s="33"/>
      <c r="H68" s="33"/>
    </row>
    <row r="69" spans="1:8" ht="15.95" customHeight="1">
      <c r="A69" s="32"/>
      <c r="B69" s="33"/>
      <c r="C69" s="33"/>
      <c r="D69" s="33"/>
      <c r="E69" s="33"/>
      <c r="F69" s="33"/>
      <c r="G69" s="33"/>
      <c r="H69" s="33"/>
    </row>
    <row r="70" spans="1:8" ht="15.95" customHeight="1">
      <c r="A70" s="32"/>
      <c r="B70" s="33"/>
      <c r="C70" s="33"/>
      <c r="D70" s="33"/>
      <c r="E70" s="33"/>
      <c r="F70" s="33"/>
      <c r="G70" s="33"/>
      <c r="H70" s="33"/>
    </row>
    <row r="71" spans="1:8" ht="15.95" customHeight="1">
      <c r="A71" s="32"/>
      <c r="B71" s="33"/>
      <c r="C71" s="33"/>
      <c r="D71" s="33"/>
      <c r="E71" s="33"/>
      <c r="F71" s="33"/>
      <c r="G71" s="33"/>
      <c r="H71" s="33"/>
    </row>
    <row r="72" spans="1:8" ht="15.95" customHeight="1">
      <c r="A72" s="32"/>
      <c r="B72" s="33"/>
      <c r="C72" s="33"/>
      <c r="D72" s="33"/>
      <c r="E72" s="33"/>
      <c r="F72" s="33"/>
      <c r="G72" s="33"/>
      <c r="H72" s="33"/>
    </row>
    <row r="73" spans="1:8" ht="15.95" customHeight="1">
      <c r="A73" s="32"/>
      <c r="B73" s="33"/>
      <c r="C73" s="33"/>
      <c r="D73" s="33"/>
      <c r="E73" s="33"/>
      <c r="F73" s="33"/>
      <c r="G73" s="33"/>
      <c r="H73" s="33"/>
    </row>
    <row r="74" spans="1:8" ht="15.95" customHeight="1">
      <c r="A74" s="32"/>
      <c r="B74" s="33"/>
      <c r="C74" s="33"/>
      <c r="D74" s="33"/>
      <c r="E74" s="33"/>
      <c r="F74" s="33"/>
      <c r="G74" s="33"/>
      <c r="H74" s="33"/>
    </row>
    <row r="75" spans="1:8" ht="15.95" customHeight="1">
      <c r="A75" s="32"/>
      <c r="B75" s="33"/>
      <c r="C75" s="33"/>
      <c r="D75" s="33"/>
      <c r="E75" s="33"/>
      <c r="F75" s="33"/>
      <c r="G75" s="33"/>
      <c r="H75" s="33"/>
    </row>
    <row r="76" spans="1:8" ht="15.95" customHeight="1">
      <c r="A76" s="32"/>
      <c r="B76" s="33"/>
      <c r="C76" s="33"/>
      <c r="D76" s="33"/>
      <c r="E76" s="33"/>
      <c r="F76" s="33"/>
      <c r="G76" s="33"/>
      <c r="H76" s="33"/>
    </row>
    <row r="77" spans="1:8" ht="15.95" customHeight="1">
      <c r="A77" s="32"/>
      <c r="B77" s="33"/>
      <c r="C77" s="33"/>
      <c r="D77" s="33"/>
      <c r="E77" s="33"/>
      <c r="F77" s="33"/>
      <c r="G77" s="33"/>
      <c r="H77" s="33"/>
    </row>
    <row r="78" spans="1:8" ht="15.95" customHeight="1">
      <c r="A78" s="32"/>
      <c r="B78" s="33"/>
      <c r="C78" s="33"/>
      <c r="D78" s="33"/>
      <c r="E78" s="33"/>
      <c r="F78" s="33"/>
      <c r="G78" s="33"/>
      <c r="H78" s="33"/>
    </row>
    <row r="79" spans="1:8" ht="15.95" customHeight="1">
      <c r="A79" s="32"/>
      <c r="B79" s="33"/>
      <c r="C79" s="33"/>
      <c r="D79" s="33"/>
      <c r="E79" s="33"/>
      <c r="F79" s="33"/>
      <c r="G79" s="33"/>
      <c r="H79" s="33"/>
    </row>
    <row r="80" spans="1:8" ht="15.95" customHeight="1">
      <c r="A80" s="32"/>
      <c r="B80" s="33"/>
      <c r="C80" s="33"/>
      <c r="D80" s="33"/>
      <c r="E80" s="33"/>
      <c r="F80" s="33"/>
      <c r="G80" s="33"/>
      <c r="H80" s="33"/>
    </row>
    <row r="81" spans="1:8" ht="15.95" customHeight="1">
      <c r="A81" s="32"/>
      <c r="B81" s="33"/>
      <c r="C81" s="33"/>
      <c r="D81" s="33"/>
      <c r="E81" s="33"/>
      <c r="F81" s="33"/>
      <c r="G81" s="33"/>
      <c r="H81" s="33"/>
    </row>
    <row r="82" spans="1:8" ht="15.95" customHeight="1">
      <c r="A82" s="32"/>
      <c r="B82" s="33"/>
      <c r="C82" s="33"/>
      <c r="D82" s="33"/>
      <c r="E82" s="33"/>
      <c r="F82" s="33"/>
      <c r="G82" s="33"/>
      <c r="H82" s="33"/>
    </row>
    <row r="83" spans="1:8" ht="15.95" customHeight="1">
      <c r="A83" s="32"/>
      <c r="B83" s="33"/>
      <c r="C83" s="33"/>
      <c r="D83" s="33"/>
      <c r="E83" s="33"/>
      <c r="F83" s="33"/>
      <c r="G83" s="33"/>
      <c r="H83" s="33"/>
    </row>
    <row r="84" spans="1:8" ht="15.95" customHeight="1">
      <c r="A84" s="32"/>
      <c r="B84" s="33"/>
      <c r="C84" s="33"/>
      <c r="D84" s="33"/>
      <c r="E84" s="33"/>
      <c r="F84" s="33"/>
      <c r="G84" s="33"/>
      <c r="H84" s="33"/>
    </row>
    <row r="85" spans="1:8" ht="15.95" customHeight="1">
      <c r="A85" s="32"/>
      <c r="B85" s="33"/>
      <c r="C85" s="33"/>
      <c r="D85" s="33"/>
      <c r="E85" s="33"/>
      <c r="F85" s="33"/>
      <c r="G85" s="33"/>
      <c r="H85" s="33"/>
    </row>
    <row r="86" spans="1:8" ht="15.95" customHeight="1">
      <c r="A86" s="32"/>
      <c r="B86" s="33"/>
      <c r="C86" s="33"/>
      <c r="D86" s="33"/>
      <c r="E86" s="33"/>
      <c r="F86" s="33"/>
      <c r="G86" s="33"/>
      <c r="H86" s="33"/>
    </row>
    <row r="87" spans="1:8" ht="15.95" customHeight="1">
      <c r="A87" s="32"/>
      <c r="B87" s="33"/>
      <c r="C87" s="33"/>
      <c r="D87" s="33"/>
      <c r="E87" s="33"/>
      <c r="F87" s="33"/>
      <c r="G87" s="33"/>
      <c r="H87" s="33"/>
    </row>
    <row r="88" spans="1:8" ht="15.95" customHeight="1">
      <c r="A88" s="32"/>
      <c r="B88" s="33"/>
      <c r="C88" s="33"/>
      <c r="D88" s="33"/>
      <c r="E88" s="33"/>
      <c r="F88" s="33"/>
      <c r="G88" s="33"/>
      <c r="H88" s="33"/>
    </row>
    <row r="89" spans="1:8" ht="15.95" customHeight="1">
      <c r="A89" s="32"/>
      <c r="B89" s="33"/>
      <c r="C89" s="33"/>
      <c r="D89" s="33"/>
      <c r="E89" s="33"/>
      <c r="F89" s="33"/>
      <c r="G89" s="33"/>
      <c r="H89" s="33"/>
    </row>
    <row r="90" spans="1:8" ht="15.95" customHeight="1">
      <c r="A90" s="32"/>
      <c r="B90" s="33"/>
      <c r="C90" s="33"/>
      <c r="D90" s="33"/>
      <c r="E90" s="33"/>
      <c r="F90" s="33"/>
      <c r="G90" s="33"/>
      <c r="H90" s="33"/>
    </row>
    <row r="91" spans="1:8" ht="15.95" customHeight="1">
      <c r="A91" s="32"/>
      <c r="B91" s="33"/>
      <c r="C91" s="33"/>
      <c r="D91" s="33"/>
      <c r="E91" s="33"/>
      <c r="F91" s="33"/>
      <c r="G91" s="33"/>
      <c r="H91" s="33"/>
    </row>
    <row r="92" spans="1:8" ht="15.95" customHeight="1">
      <c r="A92" s="32"/>
      <c r="B92" s="33"/>
      <c r="C92" s="33"/>
      <c r="D92" s="33"/>
      <c r="E92" s="33"/>
      <c r="F92" s="33"/>
      <c r="G92" s="33"/>
      <c r="H92" s="33"/>
    </row>
    <row r="93" spans="1:8" ht="15.95" customHeight="1">
      <c r="A93" s="32"/>
      <c r="B93" s="33"/>
      <c r="C93" s="33"/>
      <c r="D93" s="33"/>
      <c r="E93" s="33"/>
      <c r="F93" s="33"/>
      <c r="G93" s="33"/>
      <c r="H93" s="33"/>
    </row>
    <row r="94" spans="1:8" ht="15.95" customHeight="1">
      <c r="A94" s="32"/>
      <c r="B94" s="33"/>
      <c r="C94" s="33"/>
      <c r="D94" s="33"/>
      <c r="E94" s="33"/>
      <c r="F94" s="33"/>
      <c r="G94" s="33"/>
      <c r="H94" s="33"/>
    </row>
    <row r="95" spans="1:8" ht="15.95" customHeight="1">
      <c r="A95" s="32"/>
      <c r="B95" s="33"/>
      <c r="C95" s="33"/>
      <c r="D95" s="33"/>
      <c r="E95" s="33"/>
      <c r="F95" s="33"/>
      <c r="G95" s="33"/>
      <c r="H95" s="33"/>
    </row>
    <row r="96" spans="1:8" ht="15.95" customHeight="1">
      <c r="A96" s="32"/>
      <c r="B96" s="33"/>
      <c r="C96" s="33"/>
      <c r="D96" s="33"/>
      <c r="E96" s="33"/>
      <c r="F96" s="33"/>
      <c r="G96" s="33"/>
      <c r="H96" s="33"/>
    </row>
    <row r="97" spans="1:8" ht="15.95" customHeight="1">
      <c r="A97" s="34"/>
      <c r="B97" s="35"/>
      <c r="C97" s="35"/>
      <c r="D97" s="35"/>
      <c r="E97" s="35"/>
      <c r="F97" s="35"/>
      <c r="G97" s="35"/>
      <c r="H97" s="35"/>
    </row>
    <row r="98" spans="1:8" ht="15.95" customHeight="1">
      <c r="A98" s="36"/>
      <c r="B98" s="37"/>
      <c r="C98" s="37"/>
      <c r="D98" s="37"/>
      <c r="E98" s="37"/>
      <c r="F98" s="37"/>
      <c r="G98" s="37"/>
      <c r="H98" s="37"/>
    </row>
    <row r="99" spans="1:8" ht="15.95" customHeight="1">
      <c r="A99" s="36"/>
      <c r="B99" s="37"/>
      <c r="C99" s="37"/>
      <c r="D99" s="37"/>
      <c r="E99" s="37"/>
      <c r="F99" s="37"/>
      <c r="G99" s="37"/>
      <c r="H99" s="37"/>
    </row>
    <row r="100" spans="1:8" ht="15.95" customHeight="1">
      <c r="A100" s="36"/>
      <c r="B100" s="37"/>
      <c r="C100" s="37"/>
      <c r="D100" s="37"/>
      <c r="E100" s="37"/>
      <c r="F100" s="37"/>
      <c r="G100" s="37"/>
      <c r="H100" s="37"/>
    </row>
    <row r="101" spans="1:8" ht="15.95" customHeight="1">
      <c r="A101" s="36"/>
      <c r="B101" s="37"/>
      <c r="C101" s="37"/>
      <c r="D101" s="37"/>
      <c r="E101" s="37"/>
      <c r="F101" s="37"/>
      <c r="G101" s="37"/>
      <c r="H101" s="37"/>
    </row>
    <row r="102" spans="1:8" ht="15.95" customHeight="1">
      <c r="A102" s="36"/>
      <c r="B102" s="37"/>
      <c r="C102" s="37"/>
      <c r="D102" s="37"/>
      <c r="E102" s="37"/>
      <c r="F102" s="37"/>
      <c r="G102" s="37"/>
      <c r="H102" s="37"/>
    </row>
    <row r="103" spans="1:8" ht="15.95" customHeight="1">
      <c r="A103" s="36"/>
      <c r="B103" s="37"/>
      <c r="C103" s="37"/>
      <c r="D103" s="37"/>
      <c r="E103" s="37"/>
      <c r="F103" s="37"/>
      <c r="G103" s="37"/>
      <c r="H103" s="37"/>
    </row>
    <row r="104" spans="1:8" ht="15.95" customHeight="1">
      <c r="A104" s="36"/>
      <c r="B104" s="37"/>
      <c r="C104" s="37"/>
      <c r="D104" s="37"/>
      <c r="E104" s="37"/>
      <c r="F104" s="37"/>
      <c r="G104" s="37"/>
      <c r="H104" s="37"/>
    </row>
    <row r="105" spans="1:8" ht="15.95" customHeight="1">
      <c r="A105" s="36"/>
      <c r="B105" s="37"/>
      <c r="C105" s="37"/>
      <c r="D105" s="37"/>
      <c r="E105" s="37"/>
      <c r="F105" s="37"/>
      <c r="G105" s="37"/>
      <c r="H105" s="37"/>
    </row>
    <row r="106" spans="1:8" ht="15.95" customHeight="1">
      <c r="A106" s="36"/>
      <c r="B106" s="37"/>
      <c r="C106" s="37"/>
      <c r="D106" s="37"/>
      <c r="E106" s="37"/>
      <c r="F106" s="37"/>
      <c r="G106" s="37"/>
      <c r="H106" s="37"/>
    </row>
    <row r="107" spans="1:8" ht="15.95" customHeight="1">
      <c r="A107" s="36"/>
      <c r="B107" s="37"/>
      <c r="C107" s="37"/>
      <c r="D107" s="37"/>
      <c r="E107" s="37"/>
      <c r="F107" s="37"/>
      <c r="G107" s="37"/>
      <c r="H107" s="37"/>
    </row>
    <row r="108" spans="1:8" ht="15.95" customHeight="1">
      <c r="A108" s="36"/>
      <c r="B108" s="37"/>
      <c r="C108" s="37"/>
      <c r="D108" s="37"/>
      <c r="E108" s="37"/>
      <c r="F108" s="37"/>
      <c r="G108" s="37"/>
      <c r="H108" s="37"/>
    </row>
    <row r="109" spans="1:8" ht="15.95" customHeight="1">
      <c r="A109" s="36"/>
      <c r="B109" s="37"/>
      <c r="C109" s="37"/>
      <c r="D109" s="37"/>
      <c r="E109" s="37"/>
      <c r="F109" s="37"/>
      <c r="G109" s="37"/>
      <c r="H109" s="37"/>
    </row>
    <row r="110" spans="1:8" ht="15.95" customHeight="1">
      <c r="A110" s="36"/>
      <c r="B110" s="37"/>
      <c r="C110" s="37"/>
      <c r="D110" s="37"/>
      <c r="E110" s="37"/>
      <c r="F110" s="37"/>
      <c r="G110" s="37"/>
      <c r="H110" s="37"/>
    </row>
    <row r="111" spans="1:8" ht="15.95" customHeight="1">
      <c r="A111" s="36"/>
      <c r="B111" s="37"/>
      <c r="C111" s="37"/>
      <c r="D111" s="37"/>
      <c r="E111" s="37"/>
      <c r="F111" s="37"/>
      <c r="G111" s="37"/>
      <c r="H111" s="37"/>
    </row>
    <row r="112" spans="1:8" ht="15.95" customHeight="1">
      <c r="A112" s="36"/>
      <c r="B112" s="37"/>
      <c r="C112" s="37"/>
      <c r="D112" s="37"/>
      <c r="E112" s="37"/>
      <c r="F112" s="37"/>
      <c r="G112" s="37"/>
      <c r="H112" s="37"/>
    </row>
    <row r="113" spans="1:8" ht="15.95" customHeight="1">
      <c r="A113" s="36"/>
      <c r="B113" s="37"/>
      <c r="C113" s="37"/>
      <c r="D113" s="37"/>
      <c r="E113" s="37"/>
      <c r="F113" s="37"/>
      <c r="G113" s="37"/>
      <c r="H113" s="37"/>
    </row>
    <row r="114" spans="1:8" ht="15.95" customHeight="1">
      <c r="A114" s="36"/>
      <c r="B114" s="37"/>
      <c r="C114" s="37"/>
      <c r="D114" s="37"/>
      <c r="E114" s="37"/>
      <c r="F114" s="37"/>
      <c r="G114" s="37"/>
      <c r="H114" s="37"/>
    </row>
    <row r="115" spans="1:8" ht="15.95" customHeight="1">
      <c r="A115" s="36"/>
      <c r="B115" s="37"/>
      <c r="C115" s="37"/>
      <c r="D115" s="37"/>
      <c r="E115" s="37"/>
      <c r="F115" s="37"/>
      <c r="G115" s="37"/>
      <c r="H115" s="37"/>
    </row>
    <row r="116" spans="1:8" ht="15.95" customHeight="1">
      <c r="A116" s="32"/>
      <c r="B116" s="9"/>
      <c r="C116" s="9"/>
      <c r="D116" s="9"/>
      <c r="E116" s="9"/>
      <c r="F116" s="9"/>
      <c r="G116" s="9"/>
      <c r="H116" s="38"/>
    </row>
    <row r="117" spans="1:8">
      <c r="A117" s="39"/>
      <c r="B117" s="39"/>
      <c r="C117" s="40"/>
      <c r="D117" s="40"/>
      <c r="E117" s="40"/>
      <c r="F117" s="40"/>
      <c r="G117" s="41"/>
      <c r="H117" s="40"/>
    </row>
    <row r="118" spans="1:8">
      <c r="A118" s="39"/>
      <c r="B118" s="39"/>
      <c r="C118" s="40"/>
      <c r="D118" s="40"/>
      <c r="E118" s="40"/>
      <c r="F118" s="40"/>
      <c r="G118" s="41"/>
      <c r="H118" s="40"/>
    </row>
    <row r="119" spans="1:8">
      <c r="A119" s="39"/>
      <c r="B119" s="39"/>
      <c r="C119" s="40"/>
      <c r="D119" s="40"/>
      <c r="E119" s="40"/>
      <c r="F119" s="40"/>
      <c r="G119" s="41"/>
      <c r="H119" s="40"/>
    </row>
    <row r="120" spans="1:8">
      <c r="A120" s="39"/>
      <c r="B120" s="39"/>
      <c r="C120" s="40"/>
      <c r="D120" s="40"/>
      <c r="E120" s="40"/>
      <c r="F120" s="40"/>
      <c r="G120" s="41"/>
      <c r="H120" s="40"/>
    </row>
    <row r="121" spans="1:8">
      <c r="A121" s="39"/>
      <c r="B121" s="39"/>
      <c r="C121" s="40"/>
      <c r="D121" s="40"/>
      <c r="E121" s="40"/>
      <c r="F121" s="40"/>
      <c r="G121" s="41"/>
      <c r="H121" s="40"/>
    </row>
    <row r="122" spans="1:8">
      <c r="A122" s="39"/>
      <c r="B122" s="39"/>
      <c r="C122" s="40"/>
      <c r="D122" s="40"/>
      <c r="E122" s="40"/>
      <c r="F122" s="40"/>
      <c r="G122" s="41"/>
      <c r="H122" s="40"/>
    </row>
    <row r="123" spans="1:8">
      <c r="A123" s="39"/>
      <c r="B123" s="39"/>
      <c r="C123" s="40"/>
      <c r="D123" s="40"/>
      <c r="E123" s="40"/>
      <c r="F123" s="40"/>
      <c r="G123" s="41"/>
      <c r="H123" s="40"/>
    </row>
    <row r="124" spans="1:8">
      <c r="A124" s="39"/>
      <c r="B124" s="39"/>
      <c r="C124" s="40"/>
      <c r="D124" s="40"/>
      <c r="E124" s="40"/>
      <c r="F124" s="40"/>
      <c r="G124" s="41"/>
      <c r="H124" s="40"/>
    </row>
    <row r="125" spans="1:8">
      <c r="A125" s="9"/>
      <c r="B125" s="9"/>
      <c r="C125" s="9"/>
      <c r="D125" s="9"/>
      <c r="E125" s="9"/>
      <c r="F125" s="9"/>
      <c r="G125" s="9"/>
      <c r="H125" s="9"/>
    </row>
    <row r="126" spans="1:8">
      <c r="A126" s="9"/>
      <c r="B126" s="9"/>
      <c r="C126" s="9"/>
      <c r="D126" s="9"/>
      <c r="E126" s="9"/>
      <c r="F126" s="9"/>
      <c r="G126" s="9"/>
      <c r="H126" s="9"/>
    </row>
    <row r="127" spans="1:8">
      <c r="A127" s="9"/>
      <c r="B127" s="9"/>
      <c r="C127" s="9"/>
      <c r="D127" s="9"/>
      <c r="E127" s="9"/>
      <c r="F127" s="9"/>
      <c r="G127" s="9"/>
      <c r="H127" s="9"/>
    </row>
    <row r="128" spans="1:8">
      <c r="A128" s="9"/>
      <c r="B128" s="9"/>
      <c r="C128" s="9"/>
      <c r="D128" s="9"/>
      <c r="E128" s="9"/>
      <c r="F128" s="9"/>
      <c r="G128" s="9"/>
      <c r="H128" s="9"/>
    </row>
    <row r="129" spans="1:8">
      <c r="A129" s="9"/>
      <c r="B129" s="9"/>
      <c r="C129" s="9"/>
      <c r="D129" s="9"/>
      <c r="E129" s="9"/>
      <c r="F129" s="9"/>
      <c r="G129" s="9"/>
      <c r="H129" s="9"/>
    </row>
    <row r="130" spans="1:8">
      <c r="A130" s="9"/>
      <c r="B130" s="9"/>
      <c r="C130" s="9"/>
      <c r="D130" s="9"/>
      <c r="E130" s="9"/>
      <c r="F130" s="9"/>
      <c r="G130" s="9"/>
      <c r="H130" s="9"/>
    </row>
    <row r="131" spans="1:8">
      <c r="A131" s="9"/>
      <c r="B131" s="9"/>
      <c r="C131" s="9"/>
      <c r="D131" s="9"/>
      <c r="E131" s="9"/>
      <c r="F131" s="9"/>
      <c r="G131" s="9"/>
      <c r="H131" s="9"/>
    </row>
    <row r="132" spans="1:8">
      <c r="A132" s="9"/>
      <c r="B132" s="9"/>
      <c r="C132" s="9"/>
      <c r="D132" s="9"/>
      <c r="E132" s="9"/>
      <c r="F132" s="9"/>
      <c r="G132" s="9"/>
      <c r="H132" s="9"/>
    </row>
    <row r="133" spans="1:8">
      <c r="A133" s="9"/>
      <c r="B133" s="9"/>
      <c r="C133" s="9"/>
      <c r="D133" s="9"/>
      <c r="E133" s="9"/>
      <c r="F133" s="9"/>
      <c r="G133" s="9"/>
      <c r="H133" s="9"/>
    </row>
    <row r="134" spans="1:8">
      <c r="A134" s="9"/>
      <c r="B134" s="9"/>
      <c r="C134" s="9"/>
      <c r="D134" s="9"/>
      <c r="E134" s="9"/>
      <c r="F134" s="9"/>
      <c r="G134" s="9"/>
      <c r="H134" s="9"/>
    </row>
    <row r="135" spans="1:8">
      <c r="A135" s="9"/>
      <c r="B135" s="9"/>
      <c r="C135" s="9"/>
      <c r="D135" s="9"/>
      <c r="E135" s="9"/>
      <c r="F135" s="9"/>
      <c r="G135" s="9"/>
      <c r="H135" s="9"/>
    </row>
    <row r="136" spans="1:8">
      <c r="A136" s="9"/>
      <c r="B136" s="9"/>
      <c r="C136" s="9"/>
      <c r="D136" s="9"/>
      <c r="E136" s="9"/>
      <c r="F136" s="9"/>
      <c r="G136" s="9"/>
      <c r="H136" s="9"/>
    </row>
    <row r="137" spans="1:8">
      <c r="A137" s="9"/>
      <c r="B137" s="9"/>
      <c r="C137" s="9"/>
      <c r="D137" s="9"/>
      <c r="E137" s="9"/>
      <c r="F137" s="9"/>
      <c r="G137" s="9"/>
      <c r="H137" s="9"/>
    </row>
    <row r="138" spans="1:8">
      <c r="A138" s="9"/>
      <c r="B138" s="9"/>
      <c r="C138" s="9"/>
      <c r="D138" s="9"/>
      <c r="E138" s="9"/>
      <c r="F138" s="9"/>
      <c r="G138" s="9"/>
      <c r="H138" s="9"/>
    </row>
    <row r="139" spans="1:8">
      <c r="A139" s="9"/>
      <c r="B139" s="9"/>
      <c r="C139" s="9"/>
      <c r="D139" s="9"/>
      <c r="E139" s="9"/>
      <c r="F139" s="9"/>
      <c r="G139" s="9"/>
      <c r="H139" s="9"/>
    </row>
    <row r="140" spans="1:8">
      <c r="A140" s="9"/>
      <c r="B140" s="9"/>
      <c r="C140" s="9"/>
      <c r="D140" s="9"/>
      <c r="E140" s="9"/>
      <c r="F140" s="9"/>
      <c r="G140" s="9"/>
      <c r="H140" s="9"/>
    </row>
    <row r="141" spans="1:8">
      <c r="A141" s="9"/>
      <c r="B141" s="9"/>
      <c r="C141" s="9"/>
      <c r="D141" s="9"/>
      <c r="E141" s="9"/>
      <c r="F141" s="9"/>
      <c r="G141" s="9"/>
      <c r="H141" s="9"/>
    </row>
    <row r="142" spans="1:8">
      <c r="A142" s="9"/>
      <c r="B142" s="9"/>
      <c r="C142" s="9"/>
      <c r="D142" s="9"/>
      <c r="E142" s="9"/>
      <c r="F142" s="9"/>
      <c r="G142" s="9"/>
      <c r="H142" s="9"/>
    </row>
    <row r="143" spans="1:8">
      <c r="A143" s="9"/>
      <c r="B143" s="9"/>
      <c r="C143" s="9"/>
      <c r="D143" s="9"/>
      <c r="E143" s="9"/>
      <c r="F143" s="9"/>
      <c r="G143" s="9"/>
      <c r="H143" s="9"/>
    </row>
    <row r="144" spans="1:8">
      <c r="A144" s="9"/>
      <c r="B144" s="9"/>
      <c r="C144" s="9"/>
      <c r="D144" s="9"/>
      <c r="E144" s="9"/>
      <c r="F144" s="9"/>
      <c r="G144" s="9"/>
      <c r="H144" s="9"/>
    </row>
    <row r="145" spans="1:8">
      <c r="A145" s="9"/>
      <c r="B145" s="9"/>
      <c r="C145" s="9"/>
      <c r="D145" s="9"/>
      <c r="E145" s="9"/>
      <c r="F145" s="9"/>
      <c r="G145" s="9"/>
      <c r="H145" s="9"/>
    </row>
    <row r="146" spans="1:8">
      <c r="A146" s="9"/>
      <c r="B146" s="9"/>
      <c r="C146" s="9"/>
      <c r="D146" s="9"/>
      <c r="E146" s="9"/>
      <c r="F146" s="9"/>
      <c r="G146" s="9"/>
      <c r="H146" s="9"/>
    </row>
    <row r="147" spans="1:8">
      <c r="A147" s="9"/>
      <c r="B147" s="9"/>
      <c r="C147" s="9"/>
      <c r="D147" s="9"/>
      <c r="E147" s="9"/>
      <c r="F147" s="9"/>
      <c r="G147" s="9"/>
      <c r="H147" s="9"/>
    </row>
    <row r="148" spans="1:8">
      <c r="A148" s="9"/>
      <c r="B148" s="9"/>
      <c r="C148" s="9"/>
      <c r="D148" s="9"/>
      <c r="E148" s="9"/>
      <c r="F148" s="9"/>
      <c r="G148" s="9"/>
      <c r="H148" s="9"/>
    </row>
    <row r="149" spans="1:8">
      <c r="A149" s="9"/>
      <c r="B149" s="9"/>
      <c r="C149" s="9"/>
      <c r="D149" s="9"/>
      <c r="E149" s="9"/>
      <c r="F149" s="9"/>
      <c r="G149" s="9"/>
      <c r="H149" s="9"/>
    </row>
    <row r="150" spans="1:8">
      <c r="A150" s="9"/>
      <c r="B150" s="9"/>
      <c r="C150" s="9"/>
      <c r="D150" s="9"/>
      <c r="E150" s="9"/>
      <c r="F150" s="9"/>
      <c r="G150" s="9"/>
      <c r="H150" s="9"/>
    </row>
    <row r="151" spans="1:8">
      <c r="A151" s="9"/>
      <c r="B151" s="9"/>
      <c r="C151" s="9"/>
      <c r="D151" s="9"/>
      <c r="E151" s="9"/>
      <c r="F151" s="9"/>
      <c r="G151" s="9"/>
      <c r="H151" s="9"/>
    </row>
    <row r="152" spans="1:8">
      <c r="A152" s="9"/>
      <c r="B152" s="9"/>
      <c r="C152" s="9"/>
      <c r="D152" s="9"/>
      <c r="E152" s="9"/>
      <c r="F152" s="9"/>
      <c r="G152" s="9"/>
      <c r="H152" s="9"/>
    </row>
    <row r="153" spans="1:8">
      <c r="A153" s="9"/>
      <c r="B153" s="9"/>
      <c r="C153" s="9"/>
      <c r="D153" s="9"/>
      <c r="E153" s="9"/>
      <c r="F153" s="9"/>
      <c r="G153" s="9"/>
      <c r="H153" s="9"/>
    </row>
    <row r="154" spans="1:8">
      <c r="A154" s="9"/>
      <c r="B154" s="9"/>
      <c r="C154" s="9"/>
      <c r="D154" s="9"/>
      <c r="E154" s="9"/>
      <c r="F154" s="9"/>
      <c r="G154" s="9"/>
      <c r="H154" s="9"/>
    </row>
    <row r="155" spans="1:8">
      <c r="A155" s="9"/>
      <c r="B155" s="9"/>
      <c r="C155" s="9"/>
      <c r="D155" s="9"/>
      <c r="E155" s="9"/>
      <c r="F155" s="9"/>
      <c r="G155" s="9"/>
      <c r="H155" s="9"/>
    </row>
    <row r="156" spans="1:8">
      <c r="A156" s="9"/>
      <c r="B156" s="9"/>
      <c r="C156" s="9"/>
      <c r="D156" s="9"/>
      <c r="E156" s="9"/>
      <c r="F156" s="9"/>
      <c r="G156" s="9"/>
      <c r="H156" s="9"/>
    </row>
    <row r="157" spans="1:8">
      <c r="A157" s="9"/>
      <c r="B157" s="9"/>
      <c r="C157" s="9"/>
      <c r="D157" s="9"/>
      <c r="E157" s="9"/>
      <c r="F157" s="9"/>
      <c r="G157" s="9"/>
      <c r="H157" s="9"/>
    </row>
    <row r="158" spans="1:8">
      <c r="A158" s="9"/>
      <c r="B158" s="9"/>
      <c r="C158" s="9"/>
      <c r="D158" s="9"/>
      <c r="E158" s="9"/>
      <c r="F158" s="9"/>
      <c r="G158" s="9"/>
      <c r="H158" s="9"/>
    </row>
    <row r="159" spans="1:8">
      <c r="A159" s="9"/>
      <c r="B159" s="9"/>
      <c r="C159" s="9"/>
      <c r="D159" s="9"/>
      <c r="E159" s="9"/>
      <c r="F159" s="9"/>
      <c r="G159" s="9"/>
      <c r="H159" s="9"/>
    </row>
    <row r="160" spans="1:8">
      <c r="A160" s="9"/>
      <c r="B160" s="9"/>
      <c r="C160" s="9"/>
      <c r="D160" s="9"/>
      <c r="E160" s="9"/>
      <c r="F160" s="9"/>
      <c r="G160" s="9"/>
      <c r="H160" s="9"/>
    </row>
    <row r="161" spans="1:8">
      <c r="A161" s="9"/>
      <c r="B161" s="9"/>
      <c r="C161" s="9"/>
      <c r="D161" s="9"/>
      <c r="E161" s="9"/>
      <c r="F161" s="9"/>
      <c r="G161" s="9"/>
      <c r="H161" s="9"/>
    </row>
    <row r="162" spans="1:8">
      <c r="A162" s="9"/>
      <c r="B162" s="9"/>
      <c r="C162" s="9"/>
      <c r="D162" s="9"/>
      <c r="E162" s="9"/>
      <c r="F162" s="9"/>
      <c r="G162" s="9"/>
      <c r="H162" s="9"/>
    </row>
    <row r="163" spans="1:8">
      <c r="A163" s="9"/>
      <c r="B163" s="9"/>
      <c r="C163" s="9"/>
      <c r="D163" s="9"/>
      <c r="E163" s="9"/>
      <c r="F163" s="9"/>
      <c r="G163" s="9"/>
      <c r="H163" s="9"/>
    </row>
    <row r="164" spans="1:8">
      <c r="A164" s="9"/>
      <c r="B164" s="9"/>
      <c r="C164" s="9"/>
      <c r="D164" s="9"/>
      <c r="E164" s="9"/>
      <c r="F164" s="9"/>
      <c r="G164" s="9"/>
      <c r="H164" s="9"/>
    </row>
    <row r="165" spans="1:8">
      <c r="A165" s="9"/>
      <c r="B165" s="9"/>
      <c r="C165" s="9"/>
      <c r="D165" s="9"/>
      <c r="E165" s="9"/>
      <c r="F165" s="9"/>
      <c r="G165" s="9"/>
      <c r="H165" s="9"/>
    </row>
    <row r="166" spans="1:8">
      <c r="A166" s="9"/>
      <c r="B166" s="9"/>
      <c r="C166" s="9"/>
      <c r="D166" s="9"/>
      <c r="E166" s="9"/>
      <c r="F166" s="9"/>
      <c r="G166" s="9"/>
      <c r="H166" s="9"/>
    </row>
    <row r="167" spans="1:8">
      <c r="A167" s="9"/>
      <c r="B167" s="9"/>
      <c r="C167" s="9"/>
      <c r="D167" s="9"/>
      <c r="E167" s="9"/>
      <c r="F167" s="9"/>
      <c r="G167" s="9"/>
      <c r="H167" s="9"/>
    </row>
    <row r="168" spans="1:8">
      <c r="A168" s="9"/>
      <c r="B168" s="9"/>
      <c r="C168" s="9"/>
      <c r="D168" s="9"/>
      <c r="E168" s="9"/>
      <c r="F168" s="9"/>
      <c r="G168" s="9"/>
      <c r="H168" s="9"/>
    </row>
    <row r="169" spans="1:8">
      <c r="A169" s="9"/>
      <c r="B169" s="9"/>
      <c r="C169" s="9"/>
      <c r="D169" s="9"/>
      <c r="E169" s="9"/>
      <c r="F169" s="9"/>
      <c r="G169" s="9"/>
      <c r="H169" s="9"/>
    </row>
    <row r="170" spans="1:8">
      <c r="A170" s="9"/>
      <c r="B170" s="9"/>
      <c r="C170" s="9"/>
      <c r="D170" s="9"/>
      <c r="E170" s="9"/>
      <c r="F170" s="9"/>
      <c r="G170" s="9"/>
      <c r="H170" s="9"/>
    </row>
    <row r="171" spans="1:8">
      <c r="A171" s="9"/>
      <c r="B171" s="9"/>
      <c r="C171" s="9"/>
      <c r="D171" s="9"/>
      <c r="E171" s="9"/>
      <c r="F171" s="9"/>
      <c r="G171" s="9"/>
      <c r="H171" s="9"/>
    </row>
    <row r="172" spans="1:8">
      <c r="A172" s="9"/>
      <c r="B172" s="9"/>
      <c r="C172" s="9"/>
      <c r="D172" s="9"/>
      <c r="E172" s="9"/>
      <c r="F172" s="9"/>
      <c r="G172" s="9"/>
      <c r="H172" s="9"/>
    </row>
    <row r="173" spans="1:8">
      <c r="A173" s="9"/>
      <c r="B173" s="9"/>
      <c r="C173" s="9"/>
      <c r="D173" s="9"/>
      <c r="E173" s="9"/>
      <c r="F173" s="9"/>
      <c r="G173" s="9"/>
      <c r="H173" s="9"/>
    </row>
    <row r="174" spans="1:8">
      <c r="A174" s="9"/>
      <c r="B174" s="9"/>
      <c r="C174" s="9"/>
      <c r="D174" s="9"/>
      <c r="E174" s="9"/>
      <c r="F174" s="9"/>
      <c r="G174" s="9"/>
      <c r="H174" s="9"/>
    </row>
    <row r="175" spans="1:8">
      <c r="A175" s="9"/>
      <c r="B175" s="9"/>
      <c r="C175" s="9"/>
      <c r="D175" s="9"/>
      <c r="E175" s="9"/>
      <c r="F175" s="9"/>
      <c r="G175" s="9"/>
      <c r="H175" s="9"/>
    </row>
    <row r="176" spans="1:8">
      <c r="A176" s="9"/>
      <c r="B176" s="9"/>
      <c r="C176" s="9"/>
      <c r="D176" s="9"/>
      <c r="E176" s="9"/>
      <c r="F176" s="9"/>
      <c r="G176" s="9"/>
      <c r="H176" s="9"/>
    </row>
    <row r="177" spans="1:8">
      <c r="A177" s="9"/>
      <c r="B177" s="9"/>
      <c r="C177" s="9"/>
      <c r="D177" s="9"/>
      <c r="E177" s="9"/>
      <c r="F177" s="9"/>
      <c r="G177" s="9"/>
      <c r="H177" s="9"/>
    </row>
    <row r="178" spans="1:8">
      <c r="A178" s="9"/>
      <c r="B178" s="9"/>
      <c r="C178" s="9"/>
      <c r="D178" s="9"/>
      <c r="E178" s="9"/>
      <c r="F178" s="9"/>
      <c r="G178" s="9"/>
      <c r="H178" s="9"/>
    </row>
    <row r="179" spans="1:8">
      <c r="A179" s="9"/>
      <c r="B179" s="9"/>
      <c r="C179" s="9"/>
      <c r="D179" s="9"/>
      <c r="E179" s="9"/>
      <c r="F179" s="9"/>
      <c r="G179" s="9"/>
      <c r="H179" s="9"/>
    </row>
    <row r="180" spans="1:8">
      <c r="A180" s="9"/>
      <c r="B180" s="9"/>
      <c r="C180" s="9"/>
      <c r="D180" s="9"/>
      <c r="E180" s="9"/>
      <c r="F180" s="9"/>
      <c r="G180" s="9"/>
      <c r="H180" s="9"/>
    </row>
    <row r="181" spans="1:8">
      <c r="A181" s="9"/>
      <c r="B181" s="9"/>
      <c r="C181" s="9"/>
      <c r="D181" s="9"/>
      <c r="E181" s="9"/>
      <c r="F181" s="9"/>
      <c r="G181" s="9"/>
      <c r="H181" s="9"/>
    </row>
    <row r="182" spans="1:8">
      <c r="A182" s="9"/>
      <c r="B182" s="9"/>
      <c r="C182" s="9"/>
      <c r="D182" s="9"/>
      <c r="E182" s="9"/>
      <c r="F182" s="9"/>
      <c r="G182" s="9"/>
      <c r="H182" s="9"/>
    </row>
    <row r="183" spans="1:8">
      <c r="A183" s="9"/>
      <c r="B183" s="9"/>
      <c r="C183" s="9"/>
      <c r="D183" s="9"/>
      <c r="E183" s="9"/>
      <c r="F183" s="9"/>
      <c r="G183" s="9"/>
      <c r="H183" s="9"/>
    </row>
    <row r="184" spans="1:8">
      <c r="A184" s="9"/>
      <c r="B184" s="9"/>
      <c r="C184" s="9"/>
      <c r="D184" s="9"/>
      <c r="E184" s="9"/>
      <c r="F184" s="9"/>
      <c r="G184" s="9"/>
      <c r="H184" s="9"/>
    </row>
    <row r="185" spans="1:8">
      <c r="A185" s="9"/>
      <c r="B185" s="9"/>
      <c r="C185" s="9"/>
      <c r="D185" s="9"/>
      <c r="E185" s="9"/>
      <c r="F185" s="9"/>
      <c r="G185" s="9"/>
      <c r="H185" s="9"/>
    </row>
    <row r="186" spans="1:8">
      <c r="A186" s="9"/>
      <c r="B186" s="9"/>
      <c r="C186" s="9"/>
      <c r="D186" s="9"/>
      <c r="E186" s="9"/>
      <c r="F186" s="9"/>
      <c r="G186" s="9"/>
      <c r="H186" s="9"/>
    </row>
    <row r="187" spans="1:8">
      <c r="A187" s="9"/>
      <c r="B187" s="9"/>
      <c r="C187" s="9"/>
      <c r="D187" s="9"/>
      <c r="E187" s="9"/>
      <c r="F187" s="9"/>
      <c r="G187" s="9"/>
      <c r="H187" s="9"/>
    </row>
    <row r="188" spans="1:8">
      <c r="A188" s="9"/>
      <c r="B188" s="9"/>
      <c r="C188" s="9"/>
      <c r="D188" s="9"/>
      <c r="E188" s="9"/>
      <c r="F188" s="9"/>
      <c r="G188" s="9"/>
      <c r="H188" s="9"/>
    </row>
    <row r="189" spans="1:8">
      <c r="A189" s="9"/>
      <c r="B189" s="9"/>
      <c r="C189" s="9"/>
      <c r="D189" s="9"/>
      <c r="E189" s="9"/>
      <c r="F189" s="9"/>
      <c r="G189" s="9"/>
      <c r="H189" s="9"/>
    </row>
    <row r="190" spans="1:8">
      <c r="A190" s="9"/>
      <c r="B190" s="9"/>
      <c r="C190" s="9"/>
      <c r="D190" s="9"/>
      <c r="E190" s="9"/>
      <c r="F190" s="9"/>
      <c r="G190" s="9"/>
      <c r="H190" s="9"/>
    </row>
    <row r="191" spans="1:8">
      <c r="A191" s="9"/>
      <c r="B191" s="9"/>
      <c r="C191" s="9"/>
      <c r="D191" s="9"/>
      <c r="E191" s="9"/>
      <c r="F191" s="9"/>
      <c r="G191" s="9"/>
      <c r="H191" s="9"/>
    </row>
    <row r="192" spans="1:8">
      <c r="A192" s="9"/>
      <c r="B192" s="9"/>
      <c r="C192" s="9"/>
      <c r="D192" s="9"/>
      <c r="E192" s="9"/>
      <c r="F192" s="9"/>
      <c r="G192" s="9"/>
      <c r="H192" s="9"/>
    </row>
    <row r="193" spans="1:8">
      <c r="A193" s="9"/>
      <c r="B193" s="9"/>
      <c r="C193" s="9"/>
      <c r="D193" s="9"/>
      <c r="E193" s="9"/>
      <c r="F193" s="9"/>
      <c r="G193" s="9"/>
      <c r="H193" s="9"/>
    </row>
    <row r="194" spans="1:8">
      <c r="A194" s="9"/>
      <c r="B194" s="9"/>
      <c r="C194" s="9"/>
      <c r="D194" s="9"/>
      <c r="E194" s="9"/>
      <c r="F194" s="9"/>
      <c r="G194" s="9"/>
      <c r="H194" s="9"/>
    </row>
    <row r="195" spans="1:8">
      <c r="A195" s="9"/>
      <c r="B195" s="9"/>
      <c r="C195" s="9"/>
      <c r="D195" s="9"/>
      <c r="E195" s="9"/>
      <c r="F195" s="9"/>
      <c r="G195" s="9"/>
      <c r="H195" s="9"/>
    </row>
    <row r="196" spans="1:8">
      <c r="A196" s="9"/>
      <c r="B196" s="9"/>
      <c r="C196" s="9"/>
      <c r="D196" s="9"/>
      <c r="E196" s="9"/>
      <c r="F196" s="9"/>
      <c r="G196" s="9"/>
      <c r="H196" s="9"/>
    </row>
    <row r="197" spans="1:8">
      <c r="A197" s="9"/>
      <c r="B197" s="9"/>
      <c r="C197" s="9"/>
      <c r="D197" s="9"/>
      <c r="E197" s="9"/>
      <c r="F197" s="9"/>
      <c r="G197" s="9"/>
      <c r="H197" s="9"/>
    </row>
    <row r="198" spans="1:8">
      <c r="A198" s="9"/>
      <c r="B198" s="9"/>
      <c r="C198" s="9"/>
      <c r="D198" s="9"/>
      <c r="E198" s="9"/>
      <c r="F198" s="9"/>
      <c r="G198" s="9"/>
      <c r="H198" s="9"/>
    </row>
    <row r="199" spans="1:8">
      <c r="A199" s="9"/>
      <c r="B199" s="9"/>
      <c r="C199" s="9"/>
      <c r="D199" s="9"/>
      <c r="E199" s="9"/>
      <c r="F199" s="9"/>
      <c r="G199" s="9"/>
      <c r="H199" s="9"/>
    </row>
    <row r="200" spans="1:8">
      <c r="A200" s="9"/>
      <c r="B200" s="9"/>
      <c r="C200" s="9"/>
      <c r="D200" s="9"/>
      <c r="E200" s="9"/>
      <c r="F200" s="9"/>
      <c r="G200" s="9"/>
      <c r="H200" s="9"/>
    </row>
    <row r="201" spans="1:8">
      <c r="A201" s="9"/>
      <c r="B201" s="9"/>
      <c r="C201" s="9"/>
      <c r="D201" s="9"/>
      <c r="E201" s="9"/>
      <c r="F201" s="9"/>
      <c r="G201" s="9"/>
      <c r="H201" s="9"/>
    </row>
    <row r="202" spans="1:8">
      <c r="A202" s="9"/>
      <c r="B202" s="9"/>
      <c r="C202" s="9"/>
      <c r="D202" s="9"/>
      <c r="E202" s="9"/>
      <c r="F202" s="9"/>
      <c r="G202" s="9"/>
      <c r="H202" s="9"/>
    </row>
    <row r="203" spans="1:8">
      <c r="A203" s="9"/>
      <c r="B203" s="9"/>
      <c r="C203" s="9"/>
      <c r="D203" s="9"/>
      <c r="E203" s="9"/>
      <c r="F203" s="9"/>
      <c r="G203" s="9"/>
      <c r="H203" s="9"/>
    </row>
    <row r="204" spans="1:8">
      <c r="A204" s="9"/>
      <c r="B204" s="9"/>
      <c r="C204" s="9"/>
      <c r="D204" s="9"/>
      <c r="E204" s="9"/>
      <c r="F204" s="9"/>
      <c r="G204" s="9"/>
      <c r="H204" s="9"/>
    </row>
    <row r="205" spans="1:8">
      <c r="A205" s="9"/>
      <c r="B205" s="9"/>
      <c r="C205" s="9"/>
      <c r="D205" s="9"/>
      <c r="E205" s="9"/>
      <c r="F205" s="9"/>
      <c r="G205" s="9"/>
      <c r="H205" s="9"/>
    </row>
    <row r="206" spans="1:8">
      <c r="A206" s="9"/>
      <c r="B206" s="9"/>
      <c r="C206" s="9"/>
      <c r="D206" s="9"/>
      <c r="E206" s="9"/>
      <c r="F206" s="9"/>
      <c r="G206" s="9"/>
      <c r="H206" s="9"/>
    </row>
    <row r="207" spans="1:8">
      <c r="A207" s="9"/>
      <c r="B207" s="9"/>
      <c r="C207" s="9"/>
      <c r="D207" s="9"/>
      <c r="E207" s="9"/>
      <c r="F207" s="9"/>
      <c r="G207" s="9"/>
      <c r="H207" s="9"/>
    </row>
    <row r="208" spans="1:8">
      <c r="A208" s="9"/>
      <c r="B208" s="9"/>
      <c r="C208" s="9"/>
      <c r="D208" s="9"/>
      <c r="E208" s="9"/>
      <c r="F208" s="9"/>
      <c r="G208" s="9"/>
      <c r="H208" s="9"/>
    </row>
    <row r="209" spans="1:8">
      <c r="A209" s="9"/>
      <c r="B209" s="9"/>
      <c r="C209" s="9"/>
      <c r="D209" s="9"/>
      <c r="E209" s="9"/>
      <c r="F209" s="9"/>
      <c r="G209" s="9"/>
      <c r="H209" s="9"/>
    </row>
    <row r="210" spans="1:8">
      <c r="A210" s="9"/>
      <c r="B210" s="9"/>
      <c r="C210" s="9"/>
      <c r="D210" s="9"/>
      <c r="E210" s="9"/>
      <c r="F210" s="9"/>
      <c r="G210" s="9"/>
      <c r="H210" s="9"/>
    </row>
    <row r="211" spans="1:8">
      <c r="A211" s="9"/>
      <c r="B211" s="9"/>
      <c r="C211" s="9"/>
      <c r="D211" s="9"/>
      <c r="E211" s="9"/>
      <c r="F211" s="9"/>
      <c r="G211" s="9"/>
      <c r="H211" s="9"/>
    </row>
    <row r="212" spans="1:8">
      <c r="A212" s="9"/>
      <c r="B212" s="9"/>
      <c r="C212" s="9"/>
      <c r="D212" s="9"/>
      <c r="E212" s="9"/>
      <c r="F212" s="9"/>
      <c r="G212" s="9"/>
      <c r="H212" s="9"/>
    </row>
    <row r="213" spans="1:8">
      <c r="A213" s="9"/>
      <c r="B213" s="9"/>
      <c r="C213" s="9"/>
      <c r="D213" s="9"/>
      <c r="E213" s="9"/>
      <c r="F213" s="9"/>
      <c r="G213" s="9"/>
      <c r="H213" s="9"/>
    </row>
    <row r="214" spans="1:8">
      <c r="A214" s="9"/>
      <c r="B214" s="9"/>
      <c r="C214" s="9"/>
      <c r="D214" s="9"/>
      <c r="E214" s="9"/>
      <c r="F214" s="9"/>
      <c r="G214" s="9"/>
      <c r="H214" s="9"/>
    </row>
    <row r="215" spans="1:8">
      <c r="A215" s="9"/>
      <c r="B215" s="9"/>
      <c r="C215" s="9"/>
      <c r="D215" s="9"/>
      <c r="E215" s="9"/>
      <c r="F215" s="9"/>
      <c r="G215" s="9"/>
      <c r="H215" s="9"/>
    </row>
    <row r="216" spans="1:8">
      <c r="A216" s="9"/>
      <c r="B216" s="9"/>
      <c r="C216" s="9"/>
      <c r="D216" s="9"/>
      <c r="E216" s="9"/>
      <c r="F216" s="9"/>
      <c r="G216" s="9"/>
      <c r="H216" s="9"/>
    </row>
    <row r="217" spans="1:8">
      <c r="A217" s="9"/>
      <c r="B217" s="9"/>
      <c r="C217" s="9"/>
      <c r="D217" s="9"/>
      <c r="E217" s="9"/>
      <c r="F217" s="9"/>
      <c r="G217" s="9"/>
      <c r="H217" s="9"/>
    </row>
    <row r="218" spans="1:8">
      <c r="A218" s="9"/>
      <c r="B218" s="9"/>
      <c r="C218" s="9"/>
      <c r="D218" s="9"/>
      <c r="E218" s="9"/>
      <c r="F218" s="9"/>
      <c r="G218" s="9"/>
      <c r="H218" s="9"/>
    </row>
    <row r="219" spans="1:8">
      <c r="A219" s="9"/>
      <c r="B219" s="9"/>
      <c r="C219" s="9"/>
      <c r="D219" s="9"/>
      <c r="E219" s="9"/>
      <c r="F219" s="9"/>
      <c r="G219" s="9"/>
      <c r="H219" s="9"/>
    </row>
    <row r="220" spans="1:8">
      <c r="A220" s="9"/>
      <c r="B220" s="9"/>
      <c r="C220" s="9"/>
      <c r="D220" s="9"/>
      <c r="E220" s="9"/>
      <c r="F220" s="9"/>
      <c r="G220" s="9"/>
      <c r="H220" s="9"/>
    </row>
    <row r="221" spans="1:8">
      <c r="A221" s="9"/>
      <c r="B221" s="9"/>
      <c r="C221" s="9"/>
      <c r="D221" s="9"/>
      <c r="E221" s="9"/>
      <c r="F221" s="9"/>
      <c r="G221" s="9"/>
      <c r="H221" s="9"/>
    </row>
    <row r="222" spans="1:8">
      <c r="A222" s="9"/>
      <c r="B222" s="9"/>
      <c r="C222" s="9"/>
      <c r="D222" s="9"/>
      <c r="E222" s="9"/>
      <c r="F222" s="9"/>
      <c r="G222" s="9"/>
      <c r="H222" s="9"/>
    </row>
    <row r="223" spans="1:8">
      <c r="A223" s="9"/>
      <c r="B223" s="9"/>
      <c r="C223" s="9"/>
      <c r="D223" s="9"/>
      <c r="E223" s="9"/>
      <c r="F223" s="9"/>
      <c r="G223" s="9"/>
      <c r="H223" s="9"/>
    </row>
    <row r="224" spans="1:8">
      <c r="A224" s="9"/>
      <c r="B224" s="9"/>
      <c r="C224" s="9"/>
      <c r="D224" s="9"/>
      <c r="E224" s="9"/>
      <c r="F224" s="9"/>
      <c r="G224" s="9"/>
      <c r="H224" s="9"/>
    </row>
    <row r="225" spans="1:8">
      <c r="A225" s="9"/>
      <c r="B225" s="9"/>
      <c r="C225" s="9"/>
      <c r="D225" s="9"/>
      <c r="E225" s="9"/>
      <c r="F225" s="9"/>
      <c r="G225" s="9"/>
      <c r="H225" s="9"/>
    </row>
    <row r="226" spans="1:8">
      <c r="A226" s="9"/>
      <c r="B226" s="9"/>
      <c r="C226" s="9"/>
      <c r="D226" s="9"/>
      <c r="E226" s="9"/>
      <c r="F226" s="9"/>
      <c r="G226" s="9"/>
      <c r="H226" s="9"/>
    </row>
    <row r="227" spans="1:8">
      <c r="A227" s="9"/>
      <c r="B227" s="9"/>
      <c r="C227" s="9"/>
      <c r="D227" s="9"/>
      <c r="E227" s="9"/>
      <c r="F227" s="9"/>
      <c r="G227" s="9"/>
      <c r="H227" s="9"/>
    </row>
  </sheetData>
  <mergeCells count="63">
    <mergeCell ref="F67:H67"/>
    <mergeCell ref="F61:H61"/>
    <mergeCell ref="F62:H62"/>
    <mergeCell ref="F63:H63"/>
    <mergeCell ref="F64:H64"/>
    <mergeCell ref="F65:H65"/>
    <mergeCell ref="F66:H66"/>
    <mergeCell ref="F60:H60"/>
    <mergeCell ref="F48:H48"/>
    <mergeCell ref="F49:H49"/>
    <mergeCell ref="F50:H50"/>
    <mergeCell ref="F51:H51"/>
    <mergeCell ref="F52:H52"/>
    <mergeCell ref="F54:H54"/>
    <mergeCell ref="F55:H55"/>
    <mergeCell ref="F56:H56"/>
    <mergeCell ref="F57:H57"/>
    <mergeCell ref="F58:H58"/>
    <mergeCell ref="F59:H59"/>
    <mergeCell ref="F53:H53"/>
    <mergeCell ref="F47:H47"/>
    <mergeCell ref="F36:H36"/>
    <mergeCell ref="F37:H37"/>
    <mergeCell ref="F38:H38"/>
    <mergeCell ref="F39:H39"/>
    <mergeCell ref="F40:H40"/>
    <mergeCell ref="F41:H41"/>
    <mergeCell ref="F42:H42"/>
    <mergeCell ref="F43:H43"/>
    <mergeCell ref="F44:H44"/>
    <mergeCell ref="F45:H45"/>
    <mergeCell ref="F46:H46"/>
    <mergeCell ref="F35:H35"/>
    <mergeCell ref="F24:H24"/>
    <mergeCell ref="F25:H25"/>
    <mergeCell ref="F26:H26"/>
    <mergeCell ref="F27:H27"/>
    <mergeCell ref="F28:H28"/>
    <mergeCell ref="F29:H29"/>
    <mergeCell ref="F30:H30"/>
    <mergeCell ref="F31:H31"/>
    <mergeCell ref="F32:H32"/>
    <mergeCell ref="F33:H33"/>
    <mergeCell ref="F34:H34"/>
    <mergeCell ref="F23:H23"/>
    <mergeCell ref="F12:H12"/>
    <mergeCell ref="F13:H13"/>
    <mergeCell ref="F14:H14"/>
    <mergeCell ref="F15:H15"/>
    <mergeCell ref="F16:H16"/>
    <mergeCell ref="F18:H18"/>
    <mergeCell ref="F19:H19"/>
    <mergeCell ref="F20:H20"/>
    <mergeCell ref="F21:H21"/>
    <mergeCell ref="F22:H22"/>
    <mergeCell ref="A17:C17"/>
    <mergeCell ref="F17:H17"/>
    <mergeCell ref="F7:H7"/>
    <mergeCell ref="A8:C8"/>
    <mergeCell ref="F8:H8"/>
    <mergeCell ref="F9:H9"/>
    <mergeCell ref="F10:H10"/>
    <mergeCell ref="F11:H11"/>
  </mergeCells>
  <hyperlinks>
    <hyperlink ref="D66" location="'Min Pension'!A1" display="'Min Pension'!A1" xr:uid="{3A7300E9-1618-4589-BE1D-04A4CB149F21}"/>
    <hyperlink ref="D67" location="'PAYG &amp; GST Instal'!A1" display="'PAYG &amp; GST Instal'!A1" xr:uid="{D14EB582-BEE4-4193-9ECA-5A4E815E656A}"/>
    <hyperlink ref="D59" location="'Acc fees'!A1" display="'Acc fees'!A1" xr:uid="{233387FD-AE6B-4025-B206-509AD69B0F02}"/>
    <hyperlink ref="D61" location="'Advisor Fees'!A1" display="'Advisor Fees'!A1" xr:uid="{6FC65001-9835-4822-A9EF-5332C7262CF6}"/>
    <hyperlink ref="D51" location="'Distbn Income '!A1" display="'Distbn Income '!A1" xr:uid="{D18EF75D-9742-407B-BCC4-41ACD8CC6451}"/>
    <hyperlink ref="D53" location="'Foreign Div'!A1" display="'Foreign Div'!A1" xr:uid="{7F0EFA03-2F46-43EA-B8D2-BAFB4392436B}"/>
    <hyperlink ref="D54" location="'Rental Income'!A1" display="'Rental Income'!A1" xr:uid="{1DB4E184-DC89-4982-AF48-BF8FC9653D7B}"/>
    <hyperlink ref="D47" location="Creditors!A1" display="Creditors!A1" xr:uid="{3828274C-D526-47C4-80CC-74E2A4FFEF2B}"/>
    <hyperlink ref="D38" location="'Property Valn'!A1" display="'Property Valn'!A1" xr:uid="{13361352-2F90-41BB-98BA-3C913666C6A9}"/>
    <hyperlink ref="D35" location="'Investment Recon'!A1" display="'Investment Recon'!A1" xr:uid="{8180F3DF-4D76-40D2-903A-D54F54A5C500}"/>
    <hyperlink ref="D33" location="'Investment Recon'!A1" display="'Investment Recon'!A1" xr:uid="{9060D142-A420-4EE9-9EDC-999D2C924706}"/>
    <hyperlink ref="D27" location="Debtors!A1" display="Debtors!A1" xr:uid="{4BC947B3-7629-450F-B583-90340D798400}"/>
    <hyperlink ref="D28" location="Debtors!A1" display="Debtors!A1" xr:uid="{6F1D2C0D-EC9A-4AA1-B8EE-624042DA2FBD}"/>
    <hyperlink ref="D29" location="Debtors!A1" display="Debtors!A1" xr:uid="{1D51BBC0-F3D6-440C-BCBE-4266FEA9D86B}"/>
    <hyperlink ref="D30" location="Debtors!A1" display="Debtors!A1" xr:uid="{84EEA28E-2BBD-4A37-9338-148256128E99}"/>
    <hyperlink ref="D26" location="Debtors!A1" display="Debtors!A1" xr:uid="{C40B02B7-C9EC-4FD7-9290-799D376EB99C}"/>
    <hyperlink ref="D22" location="'GST Rec'!A1" display="'GST Rec'!A1" xr:uid="{2690222E-72F1-44E2-AC19-21F197AC4E3B}"/>
    <hyperlink ref="D24" location="'Bank Balance'!A1" display="'Bank Balance'!A1" xr:uid="{33098331-5EB6-4CD3-BD33-9F70E41EFBD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0D075-9A0D-4FD2-A51A-6CC8CA6CF114}">
  <sheetPr>
    <tabColor rgb="FF92D050"/>
  </sheetPr>
  <dimension ref="A1:L29"/>
  <sheetViews>
    <sheetView zoomScaleNormal="100" workbookViewId="0">
      <selection activeCell="F28" sqref="F28"/>
    </sheetView>
  </sheetViews>
  <sheetFormatPr defaultColWidth="8.7109375" defaultRowHeight="15"/>
  <cols>
    <col min="1" max="1" width="13.85546875" customWidth="1"/>
    <col min="2" max="2" width="3" customWidth="1"/>
    <col min="3" max="3" width="45.7109375" customWidth="1"/>
    <col min="4" max="4" width="14.7109375" customWidth="1"/>
    <col min="5" max="5" width="15.5703125" style="58" customWidth="1"/>
    <col min="6" max="6" width="14.28515625" customWidth="1"/>
    <col min="7" max="8" width="15.7109375" customWidth="1"/>
    <col min="9" max="9" width="14.42578125" customWidth="1"/>
    <col min="10" max="11" width="13.28515625" bestFit="1" customWidth="1"/>
    <col min="12" max="12" width="11" customWidth="1"/>
  </cols>
  <sheetData>
    <row r="1" spans="1:12" ht="18">
      <c r="A1" s="121" t="s">
        <v>0</v>
      </c>
      <c r="B1" s="53"/>
      <c r="C1" s="355" t="str">
        <f>Index!$C$1</f>
        <v>The LM &amp; SM Lever Super Fund</v>
      </c>
      <c r="D1" s="355"/>
      <c r="E1" s="355"/>
      <c r="F1" s="54"/>
      <c r="H1" s="56" t="s">
        <v>2</v>
      </c>
      <c r="I1" s="56" t="s">
        <v>3</v>
      </c>
    </row>
    <row r="2" spans="1:12" ht="18">
      <c r="A2" s="121" t="s">
        <v>4</v>
      </c>
      <c r="B2" s="53"/>
      <c r="C2" s="355" t="str">
        <f>Index!$C$2</f>
        <v>LEVL</v>
      </c>
      <c r="D2" s="355"/>
      <c r="E2" s="355"/>
      <c r="F2" s="55"/>
      <c r="G2" s="59" t="s">
        <v>6</v>
      </c>
      <c r="H2" s="60" t="str">
        <f>Index!$H$2</f>
        <v>CM</v>
      </c>
      <c r="I2" s="61">
        <f>Index!$I$2</f>
        <v>44993</v>
      </c>
    </row>
    <row r="3" spans="1:12" ht="18">
      <c r="A3" s="121" t="s">
        <v>8</v>
      </c>
      <c r="B3" s="53"/>
      <c r="C3" s="356">
        <f>Index!$C$3</f>
        <v>44742</v>
      </c>
      <c r="D3" s="355"/>
      <c r="E3" s="355"/>
      <c r="F3" s="55"/>
      <c r="G3" s="59" t="s">
        <v>9</v>
      </c>
      <c r="H3" s="60" t="str">
        <f>Index!$H$3</f>
        <v>DB</v>
      </c>
      <c r="I3" s="61">
        <f>Index!$I$3</f>
        <v>45035</v>
      </c>
    </row>
    <row r="4" spans="1:12" ht="18">
      <c r="A4" s="121"/>
      <c r="B4" s="53"/>
      <c r="D4" s="55"/>
      <c r="E4"/>
      <c r="G4" s="122"/>
      <c r="H4" s="65"/>
      <c r="I4" s="66"/>
    </row>
    <row r="5" spans="1:12" ht="18">
      <c r="A5" s="53" t="s">
        <v>283</v>
      </c>
      <c r="C5" s="57"/>
      <c r="E5"/>
      <c r="F5" s="58"/>
      <c r="G5" s="58"/>
      <c r="H5" s="65"/>
      <c r="J5" s="66"/>
    </row>
    <row r="6" spans="1:12" s="106" customFormat="1" ht="18">
      <c r="A6" s="62"/>
      <c r="B6" s="63"/>
      <c r="C6" s="107"/>
      <c r="D6" s="53"/>
      <c r="E6" s="53"/>
      <c r="F6" s="65"/>
      <c r="G6" s="65"/>
      <c r="H6" s="65"/>
      <c r="I6" s="108"/>
    </row>
    <row r="8" spans="1:12" s="69" customFormat="1" ht="30">
      <c r="A8" s="135" t="s">
        <v>102</v>
      </c>
      <c r="B8" s="357" t="s">
        <v>103</v>
      </c>
      <c r="C8" s="358"/>
      <c r="D8" s="359"/>
      <c r="E8" s="136" t="s">
        <v>104</v>
      </c>
      <c r="F8" s="357" t="s">
        <v>152</v>
      </c>
      <c r="G8" s="366"/>
      <c r="H8" s="367"/>
    </row>
    <row r="10" spans="1:12">
      <c r="D10" s="399" t="s">
        <v>142</v>
      </c>
      <c r="E10" s="399"/>
      <c r="F10" s="399"/>
    </row>
    <row r="11" spans="1:12" ht="30">
      <c r="D11" s="112" t="s">
        <v>284</v>
      </c>
      <c r="E11" s="178" t="s">
        <v>285</v>
      </c>
      <c r="F11" s="178" t="s">
        <v>84</v>
      </c>
      <c r="H11" t="s">
        <v>286</v>
      </c>
      <c r="J11" s="178" t="s">
        <v>287</v>
      </c>
      <c r="K11" s="178" t="s">
        <v>288</v>
      </c>
      <c r="L11" s="178" t="s">
        <v>289</v>
      </c>
    </row>
    <row r="12" spans="1:12">
      <c r="A12" s="71"/>
      <c r="B12" s="71"/>
      <c r="E12" s="70"/>
    </row>
    <row r="13" spans="1:12">
      <c r="A13" t="s">
        <v>290</v>
      </c>
      <c r="B13" s="71"/>
      <c r="C13" t="s">
        <v>291</v>
      </c>
      <c r="D13" s="226">
        <v>3288.16</v>
      </c>
      <c r="E13" s="93">
        <f>+H13-D13</f>
        <v>416711.84</v>
      </c>
      <c r="F13" s="93">
        <f>+D13+E13</f>
        <v>420000</v>
      </c>
      <c r="G13" s="93"/>
      <c r="H13" s="93">
        <f>SUM(J13:K13)/2</f>
        <v>420000</v>
      </c>
      <c r="I13" s="93"/>
      <c r="J13" s="226">
        <v>400000</v>
      </c>
      <c r="K13" s="226">
        <v>440000</v>
      </c>
      <c r="L13" s="113">
        <v>45006</v>
      </c>
    </row>
    <row r="14" spans="1:12">
      <c r="A14" s="71"/>
      <c r="B14" s="71"/>
      <c r="C14" s="71"/>
      <c r="E14" s="70"/>
    </row>
    <row r="15" spans="1:12">
      <c r="A15" s="77"/>
      <c r="B15" s="77"/>
      <c r="C15" s="71"/>
      <c r="E15" s="70"/>
    </row>
    <row r="16" spans="1:12">
      <c r="E16" s="70"/>
    </row>
    <row r="17" spans="3:5">
      <c r="E17" s="70"/>
    </row>
    <row r="18" spans="3:5">
      <c r="E18" s="70"/>
    </row>
    <row r="19" spans="3:5">
      <c r="E19" s="70"/>
    </row>
    <row r="20" spans="3:5">
      <c r="E20" s="70"/>
    </row>
    <row r="21" spans="3:5">
      <c r="E21" s="70"/>
    </row>
    <row r="22" spans="3:5">
      <c r="E22" s="80"/>
    </row>
    <row r="23" spans="3:5">
      <c r="E23" s="79"/>
    </row>
    <row r="24" spans="3:5">
      <c r="E24" s="70"/>
    </row>
    <row r="29" spans="3:5">
      <c r="C29" s="93"/>
    </row>
  </sheetData>
  <mergeCells count="6">
    <mergeCell ref="D10:F10"/>
    <mergeCell ref="C1:E1"/>
    <mergeCell ref="C2:E2"/>
    <mergeCell ref="C3:E3"/>
    <mergeCell ref="B8:D8"/>
    <mergeCell ref="F8:H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02461-BDEC-4E8B-96CA-CB00ED1C2C41}">
  <sheetPr>
    <tabColor rgb="FF92D050"/>
  </sheetPr>
  <dimension ref="A1:J32"/>
  <sheetViews>
    <sheetView zoomScale="110" zoomScaleNormal="110" workbookViewId="0"/>
  </sheetViews>
  <sheetFormatPr defaultColWidth="8.7109375" defaultRowHeight="1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14.42578125" customWidth="1"/>
  </cols>
  <sheetData>
    <row r="1" spans="1:10" ht="18">
      <c r="A1" s="121" t="s">
        <v>0</v>
      </c>
      <c r="B1" s="53"/>
      <c r="C1" s="355" t="str">
        <f>Index!$C$1</f>
        <v>The LM &amp; SM Lever Super Fund</v>
      </c>
      <c r="D1" s="355"/>
      <c r="E1" s="355"/>
      <c r="F1" s="54"/>
      <c r="H1" s="56" t="s">
        <v>2</v>
      </c>
      <c r="I1" s="56" t="s">
        <v>3</v>
      </c>
    </row>
    <row r="2" spans="1:10" ht="18">
      <c r="A2" s="121" t="s">
        <v>4</v>
      </c>
      <c r="B2" s="53"/>
      <c r="C2" s="355" t="str">
        <f>Index!$C$2</f>
        <v>LEVL</v>
      </c>
      <c r="D2" s="355"/>
      <c r="E2" s="355"/>
      <c r="F2" s="55"/>
      <c r="G2" s="59" t="s">
        <v>6</v>
      </c>
      <c r="H2" s="60" t="str">
        <f>Index!$H$2</f>
        <v>CM</v>
      </c>
      <c r="I2" s="61">
        <f>Index!$I$2</f>
        <v>44993</v>
      </c>
    </row>
    <row r="3" spans="1:10" ht="18">
      <c r="A3" s="121" t="s">
        <v>8</v>
      </c>
      <c r="B3" s="53"/>
      <c r="C3" s="356">
        <f>Index!$C$3</f>
        <v>44742</v>
      </c>
      <c r="D3" s="355"/>
      <c r="E3" s="355"/>
      <c r="F3" s="55"/>
      <c r="G3" s="59" t="s">
        <v>9</v>
      </c>
      <c r="H3" s="60" t="str">
        <f>Index!$H$3</f>
        <v>DB</v>
      </c>
      <c r="I3" s="61">
        <f>Index!$I$3</f>
        <v>45035</v>
      </c>
    </row>
    <row r="4" spans="1:10" ht="18">
      <c r="A4" s="121"/>
      <c r="B4" s="53"/>
      <c r="D4" s="55"/>
      <c r="F4"/>
      <c r="G4" s="122"/>
      <c r="H4" s="65"/>
      <c r="I4" s="66"/>
    </row>
    <row r="5" spans="1:10" ht="18">
      <c r="A5" s="53" t="s">
        <v>292</v>
      </c>
      <c r="C5" s="57"/>
      <c r="G5" s="58"/>
      <c r="H5" s="65"/>
      <c r="J5" s="66"/>
    </row>
    <row r="6" spans="1:10" s="106" customFormat="1" ht="18">
      <c r="A6" s="62"/>
      <c r="B6" s="63"/>
      <c r="C6" s="107"/>
      <c r="D6" s="53"/>
      <c r="E6" s="53"/>
      <c r="F6" s="65"/>
      <c r="G6" s="65"/>
      <c r="H6" s="65"/>
      <c r="I6" s="108"/>
    </row>
    <row r="8" spans="1:10" s="69" customFormat="1" ht="30">
      <c r="A8" s="135" t="s">
        <v>102</v>
      </c>
      <c r="B8" s="357" t="s">
        <v>103</v>
      </c>
      <c r="C8" s="358"/>
      <c r="D8" s="358"/>
      <c r="E8" s="359"/>
      <c r="F8" s="136" t="s">
        <v>104</v>
      </c>
      <c r="G8" s="357" t="s">
        <v>152</v>
      </c>
      <c r="H8" s="366"/>
      <c r="I8" s="367"/>
    </row>
    <row r="10" spans="1:10">
      <c r="F10" s="70"/>
    </row>
    <row r="11" spans="1:10">
      <c r="A11" s="71">
        <v>61800</v>
      </c>
      <c r="B11" s="71"/>
      <c r="C11" s="71" t="s">
        <v>37</v>
      </c>
    </row>
    <row r="12" spans="1:10" ht="15.75">
      <c r="C12" s="246" t="s">
        <v>293</v>
      </c>
      <c r="D12" s="246"/>
      <c r="E12" s="246"/>
      <c r="F12" s="247"/>
    </row>
    <row r="13" spans="1:10" ht="15.75">
      <c r="C13" s="246" t="s">
        <v>294</v>
      </c>
      <c r="D13" s="246"/>
      <c r="E13" s="246"/>
      <c r="F13" s="247">
        <v>719.18</v>
      </c>
    </row>
    <row r="14" spans="1:10" ht="15.75">
      <c r="C14" s="246" t="s">
        <v>295</v>
      </c>
      <c r="D14" s="246"/>
      <c r="E14" s="246"/>
      <c r="F14" s="247">
        <v>281.51</v>
      </c>
    </row>
    <row r="15" spans="1:10" ht="15.75">
      <c r="C15" s="246" t="s">
        <v>296</v>
      </c>
      <c r="D15" s="246"/>
      <c r="E15" s="246"/>
      <c r="F15" s="247">
        <v>1564.45</v>
      </c>
    </row>
    <row r="16" spans="1:10" ht="15.75">
      <c r="C16" s="246" t="s">
        <v>297</v>
      </c>
      <c r="D16" s="246"/>
      <c r="E16" s="246"/>
      <c r="F16" s="247">
        <v>745.77</v>
      </c>
    </row>
    <row r="17" spans="1:6" ht="15.75">
      <c r="C17" s="246" t="s">
        <v>298</v>
      </c>
      <c r="D17" s="246"/>
      <c r="E17" s="246"/>
      <c r="F17" s="247">
        <v>354.11</v>
      </c>
    </row>
    <row r="18" spans="1:6" ht="15.75">
      <c r="C18" s="246" t="s">
        <v>299</v>
      </c>
      <c r="D18" s="246"/>
      <c r="E18" s="246"/>
      <c r="F18" s="247">
        <v>0.91</v>
      </c>
    </row>
    <row r="19" spans="1:6" ht="15.75">
      <c r="C19" s="246" t="s">
        <v>300</v>
      </c>
      <c r="D19" s="246"/>
      <c r="E19" s="246"/>
      <c r="F19" s="247">
        <v>1291.58</v>
      </c>
    </row>
    <row r="20" spans="1:6" ht="15.75">
      <c r="C20" s="246" t="s">
        <v>301</v>
      </c>
      <c r="D20" s="246"/>
      <c r="E20" s="246"/>
      <c r="F20" s="247">
        <v>146.28</v>
      </c>
    </row>
    <row r="21" spans="1:6" ht="15.75">
      <c r="C21" s="246" t="s">
        <v>302</v>
      </c>
      <c r="D21" s="246"/>
      <c r="E21" s="246"/>
      <c r="F21" s="247">
        <v>33.69</v>
      </c>
    </row>
    <row r="22" spans="1:6" ht="15.75">
      <c r="C22" s="246" t="s">
        <v>303</v>
      </c>
      <c r="D22" s="246"/>
      <c r="E22" s="246"/>
      <c r="F22" s="247">
        <v>1291.98</v>
      </c>
    </row>
    <row r="23" spans="1:6" ht="15.75">
      <c r="C23" s="246" t="s">
        <v>304</v>
      </c>
      <c r="D23" s="246"/>
      <c r="E23" s="246"/>
      <c r="F23" s="247">
        <v>845.68</v>
      </c>
    </row>
    <row r="24" spans="1:6" ht="15.75">
      <c r="C24" s="246" t="s">
        <v>305</v>
      </c>
      <c r="D24" s="246"/>
      <c r="E24" s="246"/>
      <c r="F24" s="247">
        <v>93.95</v>
      </c>
    </row>
    <row r="25" spans="1:6" ht="15.75">
      <c r="C25" s="246" t="s">
        <v>306</v>
      </c>
      <c r="D25" s="246"/>
      <c r="E25" s="246"/>
      <c r="F25" s="247">
        <v>627.23</v>
      </c>
    </row>
    <row r="26" spans="1:6" ht="15.75" thickBot="1">
      <c r="F26" s="111">
        <f>SUM(F12:F25)</f>
        <v>7996.32</v>
      </c>
    </row>
    <row r="27" spans="1:6">
      <c r="F27" s="70"/>
    </row>
    <row r="28" spans="1:6">
      <c r="F28" s="70"/>
    </row>
    <row r="29" spans="1:6">
      <c r="A29" s="71"/>
      <c r="B29" s="71"/>
      <c r="F29" s="70"/>
    </row>
    <row r="30" spans="1:6">
      <c r="F30" s="80"/>
    </row>
    <row r="32" spans="1:6">
      <c r="C32" s="93"/>
    </row>
  </sheetData>
  <mergeCells count="5">
    <mergeCell ref="B8:E8"/>
    <mergeCell ref="G8:I8"/>
    <mergeCell ref="C1:E1"/>
    <mergeCell ref="C2:E2"/>
    <mergeCell ref="C3:E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79F9D-FAE9-4E66-BCDA-FDAC4B16D6F7}">
  <sheetPr>
    <tabColor rgb="FF92D050"/>
  </sheetPr>
  <dimension ref="A1:J27"/>
  <sheetViews>
    <sheetView workbookViewId="0">
      <selection activeCell="J13" sqref="J13"/>
    </sheetView>
  </sheetViews>
  <sheetFormatPr defaultColWidth="8.7109375" defaultRowHeight="1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14.42578125" customWidth="1"/>
  </cols>
  <sheetData>
    <row r="1" spans="1:10" ht="18">
      <c r="A1" s="121" t="s">
        <v>0</v>
      </c>
      <c r="B1" s="53"/>
      <c r="C1" s="355" t="str">
        <f>Index!$C$1</f>
        <v>The LM &amp; SM Lever Super Fund</v>
      </c>
      <c r="D1" s="355"/>
      <c r="E1" s="355"/>
      <c r="F1" s="54"/>
      <c r="H1" s="56" t="s">
        <v>2</v>
      </c>
      <c r="I1" s="56" t="s">
        <v>3</v>
      </c>
    </row>
    <row r="2" spans="1:10" ht="18">
      <c r="A2" s="121" t="s">
        <v>4</v>
      </c>
      <c r="B2" s="53"/>
      <c r="C2" s="355" t="str">
        <f>Index!$C$2</f>
        <v>LEVL</v>
      </c>
      <c r="D2" s="355"/>
      <c r="E2" s="355"/>
      <c r="F2" s="55"/>
      <c r="G2" s="59" t="s">
        <v>6</v>
      </c>
      <c r="H2" s="60" t="str">
        <f>Index!$H$2</f>
        <v>CM</v>
      </c>
      <c r="I2" s="61">
        <f>Index!$I$2</f>
        <v>44993</v>
      </c>
    </row>
    <row r="3" spans="1:10" ht="18">
      <c r="A3" s="121" t="s">
        <v>8</v>
      </c>
      <c r="B3" s="53"/>
      <c r="C3" s="356">
        <f>Index!$C$3</f>
        <v>44742</v>
      </c>
      <c r="D3" s="355"/>
      <c r="E3" s="355"/>
      <c r="F3" s="55"/>
      <c r="G3" s="59" t="s">
        <v>9</v>
      </c>
      <c r="H3" s="60" t="str">
        <f>Index!$H$3</f>
        <v>DB</v>
      </c>
      <c r="I3" s="61">
        <f>Index!$I$3</f>
        <v>45035</v>
      </c>
    </row>
    <row r="4" spans="1:10" ht="18">
      <c r="A4" s="121"/>
      <c r="B4" s="53"/>
      <c r="D4" s="53"/>
      <c r="E4" s="53"/>
      <c r="F4" s="55"/>
      <c r="G4" s="122"/>
      <c r="H4" s="65"/>
      <c r="I4" s="66"/>
    </row>
    <row r="5" spans="1:10" ht="18">
      <c r="A5" s="53" t="s">
        <v>307</v>
      </c>
      <c r="C5" s="57"/>
      <c r="G5" s="58"/>
      <c r="H5" s="65"/>
      <c r="J5" s="66"/>
    </row>
    <row r="6" spans="1:10" s="106" customFormat="1" ht="18">
      <c r="A6" s="62"/>
      <c r="B6" s="63"/>
      <c r="C6" s="107"/>
      <c r="D6" s="53"/>
      <c r="E6" s="53"/>
      <c r="F6" s="65"/>
      <c r="G6" s="65"/>
      <c r="H6" s="65"/>
      <c r="I6" s="108"/>
    </row>
    <row r="8" spans="1:10" s="69" customFormat="1" ht="30">
      <c r="A8" s="135" t="s">
        <v>102</v>
      </c>
      <c r="B8" s="357" t="s">
        <v>103</v>
      </c>
      <c r="C8" s="358"/>
      <c r="D8" s="358"/>
      <c r="E8" s="359"/>
      <c r="F8" s="136" t="s">
        <v>104</v>
      </c>
      <c r="G8" s="357" t="s">
        <v>152</v>
      </c>
      <c r="H8" s="366"/>
      <c r="I8" s="367"/>
    </row>
    <row r="10" spans="1:10">
      <c r="F10" s="70"/>
    </row>
    <row r="11" spans="1:10">
      <c r="A11" s="71">
        <v>88000</v>
      </c>
      <c r="B11" s="71"/>
      <c r="C11" s="71" t="s">
        <v>57</v>
      </c>
    </row>
    <row r="12" spans="1:10">
      <c r="C12" t="s">
        <v>308</v>
      </c>
      <c r="E12" s="58">
        <v>-2567</v>
      </c>
    </row>
    <row r="13" spans="1:10">
      <c r="C13" t="s">
        <v>309</v>
      </c>
      <c r="E13" s="58">
        <v>4185</v>
      </c>
      <c r="F13" s="58">
        <f>+E12+E13</f>
        <v>1618</v>
      </c>
      <c r="G13" t="s">
        <v>310</v>
      </c>
    </row>
    <row r="14" spans="1:10">
      <c r="F14" s="58">
        <v>0</v>
      </c>
    </row>
    <row r="15" spans="1:10">
      <c r="F15" s="58">
        <v>0</v>
      </c>
    </row>
    <row r="17" spans="3:6" ht="15.75" thickBot="1">
      <c r="F17" s="111">
        <f>SUM(F12:F16)</f>
        <v>1618</v>
      </c>
    </row>
    <row r="20" spans="3:6">
      <c r="F20" s="80"/>
    </row>
    <row r="21" spans="3:6">
      <c r="F21" s="79"/>
    </row>
    <row r="22" spans="3:6">
      <c r="F22" s="70"/>
    </row>
    <row r="27" spans="3:6">
      <c r="C27" s="93"/>
    </row>
  </sheetData>
  <mergeCells count="5">
    <mergeCell ref="B8:E8"/>
    <mergeCell ref="G8:I8"/>
    <mergeCell ref="C1:E1"/>
    <mergeCell ref="C2:E2"/>
    <mergeCell ref="C3:E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810AD-FB0A-4B5D-9087-D4D06F71DD15}">
  <dimension ref="A1:P50"/>
  <sheetViews>
    <sheetView workbookViewId="0">
      <selection activeCell="A6" sqref="A6"/>
    </sheetView>
  </sheetViews>
  <sheetFormatPr defaultColWidth="8.7109375" defaultRowHeight="15"/>
  <cols>
    <col min="1" max="1" width="13.7109375" customWidth="1"/>
    <col min="2" max="2" width="3.140625" customWidth="1"/>
    <col min="3" max="3" width="24.5703125" customWidth="1"/>
    <col min="4" max="8" width="12.5703125" customWidth="1"/>
    <col min="10" max="10" width="18.7109375" customWidth="1"/>
    <col min="11" max="13" width="15.140625" customWidth="1"/>
  </cols>
  <sheetData>
    <row r="1" spans="1:16" ht="18">
      <c r="A1" s="121" t="s">
        <v>0</v>
      </c>
      <c r="B1" s="53"/>
      <c r="C1" s="355" t="str">
        <f>Index!$C$1</f>
        <v>The LM &amp; SM Lever Super Fund</v>
      </c>
      <c r="D1" s="355"/>
      <c r="E1" s="355"/>
      <c r="F1" s="54"/>
      <c r="H1" s="56" t="s">
        <v>2</v>
      </c>
      <c r="I1" s="56" t="s">
        <v>3</v>
      </c>
    </row>
    <row r="2" spans="1:16" ht="18">
      <c r="A2" s="121" t="s">
        <v>4</v>
      </c>
      <c r="B2" s="53"/>
      <c r="C2" s="355" t="str">
        <f>Index!$C$2</f>
        <v>LEVL</v>
      </c>
      <c r="D2" s="355"/>
      <c r="E2" s="355"/>
      <c r="F2" s="55"/>
      <c r="G2" s="59" t="s">
        <v>6</v>
      </c>
      <c r="H2" s="60" t="str">
        <f>Index!$H$2</f>
        <v>CM</v>
      </c>
      <c r="I2" s="61">
        <f>Index!$I$2</f>
        <v>44993</v>
      </c>
    </row>
    <row r="3" spans="1:16" ht="18">
      <c r="A3" s="121" t="s">
        <v>8</v>
      </c>
      <c r="B3" s="53"/>
      <c r="C3" s="356">
        <f>Index!$C$3</f>
        <v>44742</v>
      </c>
      <c r="D3" s="355"/>
      <c r="E3" s="355"/>
      <c r="F3" s="55"/>
      <c r="G3" s="59" t="s">
        <v>9</v>
      </c>
      <c r="H3" s="60" t="str">
        <f>Index!$H$3</f>
        <v>DB</v>
      </c>
      <c r="I3" s="61">
        <f>Index!$I$3</f>
        <v>45035</v>
      </c>
    </row>
    <row r="4" spans="1:16" ht="18">
      <c r="D4" s="53"/>
      <c r="E4" s="53"/>
      <c r="F4" s="64"/>
      <c r="G4" s="65"/>
      <c r="I4" s="66"/>
    </row>
    <row r="5" spans="1:16" ht="18">
      <c r="A5" s="123" t="s">
        <v>311</v>
      </c>
      <c r="D5" s="53"/>
      <c r="E5" s="53"/>
      <c r="F5" s="64"/>
      <c r="G5" s="65"/>
      <c r="I5" s="66"/>
    </row>
    <row r="6" spans="1:16" ht="18">
      <c r="D6" s="53"/>
      <c r="E6" s="53"/>
      <c r="F6" s="53"/>
      <c r="G6" s="53"/>
      <c r="H6" s="64"/>
      <c r="I6" s="65"/>
      <c r="K6" s="66"/>
    </row>
    <row r="7" spans="1:16">
      <c r="H7" s="58"/>
    </row>
    <row r="8" spans="1:16" ht="30">
      <c r="A8" s="135" t="s">
        <v>102</v>
      </c>
      <c r="B8" s="357" t="s">
        <v>103</v>
      </c>
      <c r="C8" s="359"/>
      <c r="D8" s="136" t="s">
        <v>104</v>
      </c>
      <c r="E8" s="136"/>
      <c r="F8" s="136"/>
      <c r="G8" s="136"/>
      <c r="H8" s="136" t="s">
        <v>104</v>
      </c>
      <c r="I8" s="357" t="s">
        <v>152</v>
      </c>
      <c r="J8" s="366"/>
      <c r="K8" s="367"/>
      <c r="L8" s="69"/>
      <c r="M8" s="69"/>
      <c r="N8" s="69"/>
      <c r="O8" s="69"/>
      <c r="P8" s="69"/>
    </row>
    <row r="9" spans="1:16">
      <c r="H9" s="58"/>
    </row>
    <row r="10" spans="1:16">
      <c r="H10" s="70"/>
    </row>
    <row r="11" spans="1:16">
      <c r="D11" s="47" t="s">
        <v>312</v>
      </c>
      <c r="E11" s="47" t="s">
        <v>312</v>
      </c>
      <c r="F11" s="47" t="s">
        <v>313</v>
      </c>
      <c r="G11" s="47" t="s">
        <v>314</v>
      </c>
      <c r="H11" s="72" t="s">
        <v>84</v>
      </c>
      <c r="J11" s="77"/>
    </row>
    <row r="12" spans="1:16">
      <c r="D12" s="47" t="s">
        <v>136</v>
      </c>
      <c r="E12" s="77" t="s">
        <v>315</v>
      </c>
      <c r="F12" s="47" t="s">
        <v>316</v>
      </c>
      <c r="G12" s="47"/>
      <c r="H12" s="58"/>
    </row>
    <row r="13" spans="1:16">
      <c r="H13" s="58"/>
      <c r="K13" s="47" t="s">
        <v>317</v>
      </c>
      <c r="L13" s="47" t="s">
        <v>318</v>
      </c>
      <c r="M13" s="47" t="s">
        <v>319</v>
      </c>
    </row>
    <row r="14" spans="1:16">
      <c r="C14" s="77" t="s">
        <v>320</v>
      </c>
      <c r="D14" s="93"/>
      <c r="E14" s="245"/>
      <c r="F14" s="93"/>
      <c r="G14" s="93"/>
      <c r="H14" s="93">
        <f t="shared" ref="H14:H27" si="0">SUM(D14:G14)</f>
        <v>0</v>
      </c>
      <c r="J14" t="s">
        <v>321</v>
      </c>
      <c r="K14" s="93">
        <f>+H40</f>
        <v>0</v>
      </c>
      <c r="L14" s="93"/>
      <c r="M14" s="93">
        <f>+K14-L14</f>
        <v>0</v>
      </c>
    </row>
    <row r="15" spans="1:16">
      <c r="C15" t="s">
        <v>322</v>
      </c>
      <c r="D15" s="93"/>
      <c r="E15" s="93"/>
      <c r="F15" s="93"/>
      <c r="G15" s="93"/>
      <c r="H15" s="93">
        <f t="shared" si="0"/>
        <v>0</v>
      </c>
      <c r="J15" t="s">
        <v>323</v>
      </c>
      <c r="K15" s="93">
        <f>+H26</f>
        <v>0</v>
      </c>
      <c r="L15" s="93"/>
      <c r="M15" s="93">
        <f t="shared" ref="M15:M27" si="1">+K15-L15</f>
        <v>0</v>
      </c>
    </row>
    <row r="16" spans="1:16">
      <c r="C16" t="s">
        <v>324</v>
      </c>
      <c r="D16" s="93"/>
      <c r="E16" s="93"/>
      <c r="F16" s="93"/>
      <c r="G16" s="93"/>
      <c r="H16" s="93">
        <f t="shared" si="0"/>
        <v>0</v>
      </c>
      <c r="J16" t="s">
        <v>325</v>
      </c>
      <c r="K16" s="93">
        <f>+H24+H25</f>
        <v>0</v>
      </c>
      <c r="L16" s="93"/>
      <c r="M16" s="93">
        <f t="shared" si="1"/>
        <v>0</v>
      </c>
    </row>
    <row r="17" spans="3:13">
      <c r="C17" s="137" t="s">
        <v>326</v>
      </c>
      <c r="D17" s="93"/>
      <c r="E17" s="93"/>
      <c r="F17" s="93"/>
      <c r="G17" s="93"/>
      <c r="H17" s="93">
        <f t="shared" si="0"/>
        <v>0</v>
      </c>
      <c r="J17" t="s">
        <v>327</v>
      </c>
      <c r="K17" s="93">
        <f>+H15+H28</f>
        <v>0</v>
      </c>
      <c r="L17" s="93"/>
      <c r="M17" s="93">
        <f t="shared" si="1"/>
        <v>0</v>
      </c>
    </row>
    <row r="18" spans="3:13">
      <c r="C18" s="137" t="s">
        <v>328</v>
      </c>
      <c r="D18" s="93"/>
      <c r="E18" s="93"/>
      <c r="F18" s="93"/>
      <c r="G18" s="93"/>
      <c r="H18" s="93">
        <f t="shared" si="0"/>
        <v>0</v>
      </c>
      <c r="J18" t="s">
        <v>329</v>
      </c>
      <c r="K18" s="93">
        <f>+H27</f>
        <v>0</v>
      </c>
      <c r="L18" s="93"/>
      <c r="M18" s="93">
        <f t="shared" si="1"/>
        <v>0</v>
      </c>
    </row>
    <row r="19" spans="3:13">
      <c r="C19" t="s">
        <v>330</v>
      </c>
      <c r="D19" s="93"/>
      <c r="E19" s="93"/>
      <c r="F19" s="93"/>
      <c r="G19" s="93"/>
      <c r="H19" s="93">
        <f t="shared" si="0"/>
        <v>0</v>
      </c>
      <c r="J19" t="s">
        <v>258</v>
      </c>
      <c r="K19" s="93">
        <f>+H20+H21-H36</f>
        <v>0</v>
      </c>
      <c r="L19" s="93"/>
      <c r="M19" s="93">
        <f t="shared" si="1"/>
        <v>0</v>
      </c>
    </row>
    <row r="20" spans="3:13">
      <c r="C20" s="137" t="s">
        <v>326</v>
      </c>
      <c r="D20" s="93"/>
      <c r="E20" s="93"/>
      <c r="F20" s="93"/>
      <c r="G20" s="93"/>
      <c r="H20" s="93">
        <f t="shared" si="0"/>
        <v>0</v>
      </c>
      <c r="J20" t="s">
        <v>331</v>
      </c>
      <c r="K20" s="93">
        <f>+H20+H21</f>
        <v>0</v>
      </c>
      <c r="L20" s="93"/>
      <c r="M20" s="93">
        <f t="shared" si="1"/>
        <v>0</v>
      </c>
    </row>
    <row r="21" spans="3:13">
      <c r="C21" s="137" t="s">
        <v>328</v>
      </c>
      <c r="D21" s="93"/>
      <c r="E21" s="93"/>
      <c r="F21" s="93"/>
      <c r="G21" s="93"/>
      <c r="H21" s="93">
        <f t="shared" si="0"/>
        <v>0</v>
      </c>
      <c r="J21" t="s">
        <v>257</v>
      </c>
      <c r="K21" s="93">
        <f>+H17+H18</f>
        <v>0</v>
      </c>
      <c r="L21" s="93"/>
      <c r="M21" s="93">
        <f t="shared" si="1"/>
        <v>0</v>
      </c>
    </row>
    <row r="22" spans="3:13">
      <c r="C22" t="s">
        <v>332</v>
      </c>
      <c r="D22" s="93"/>
      <c r="E22" s="93"/>
      <c r="F22" s="93"/>
      <c r="G22" s="93"/>
      <c r="H22" s="93">
        <f t="shared" si="0"/>
        <v>0</v>
      </c>
      <c r="J22" t="s">
        <v>333</v>
      </c>
      <c r="K22" s="93">
        <f>+H22-H35</f>
        <v>0</v>
      </c>
      <c r="L22" s="93"/>
      <c r="M22" s="93">
        <f t="shared" si="1"/>
        <v>0</v>
      </c>
    </row>
    <row r="23" spans="3:13">
      <c r="C23" t="s">
        <v>334</v>
      </c>
      <c r="D23" s="93"/>
      <c r="E23" s="93"/>
      <c r="F23" s="93"/>
      <c r="G23" s="93"/>
      <c r="H23" s="93">
        <f t="shared" si="0"/>
        <v>0</v>
      </c>
      <c r="J23" t="s">
        <v>335</v>
      </c>
      <c r="K23" s="93">
        <f>+H35+H36</f>
        <v>0</v>
      </c>
      <c r="L23" s="93"/>
      <c r="M23" s="93">
        <f t="shared" si="1"/>
        <v>0</v>
      </c>
    </row>
    <row r="24" spans="3:13">
      <c r="C24" s="137" t="s">
        <v>336</v>
      </c>
      <c r="D24" s="93"/>
      <c r="E24" s="93"/>
      <c r="F24" s="93"/>
      <c r="G24" s="93"/>
      <c r="H24" s="93">
        <f t="shared" si="0"/>
        <v>0</v>
      </c>
      <c r="J24" t="s">
        <v>337</v>
      </c>
      <c r="K24" s="93">
        <v>0</v>
      </c>
      <c r="L24" s="93"/>
      <c r="M24" s="93">
        <f t="shared" si="1"/>
        <v>0</v>
      </c>
    </row>
    <row r="25" spans="3:13">
      <c r="C25" s="137" t="s">
        <v>338</v>
      </c>
      <c r="D25" s="93"/>
      <c r="E25" s="93"/>
      <c r="F25" s="93"/>
      <c r="G25" s="93"/>
      <c r="H25" s="93">
        <f t="shared" si="0"/>
        <v>0</v>
      </c>
      <c r="J25" t="s">
        <v>339</v>
      </c>
      <c r="K25" s="93">
        <v>0</v>
      </c>
      <c r="L25" s="93"/>
      <c r="M25" s="93">
        <f t="shared" si="1"/>
        <v>0</v>
      </c>
    </row>
    <row r="26" spans="3:13">
      <c r="C26" s="137" t="s">
        <v>340</v>
      </c>
      <c r="D26" s="93"/>
      <c r="E26" s="245"/>
      <c r="F26" s="93"/>
      <c r="G26" s="93"/>
      <c r="H26" s="93">
        <f t="shared" si="0"/>
        <v>0</v>
      </c>
      <c r="J26" t="s">
        <v>341</v>
      </c>
      <c r="K26" s="93">
        <f>H31-H38</f>
        <v>0</v>
      </c>
      <c r="L26" s="93"/>
      <c r="M26" s="93">
        <f t="shared" si="1"/>
        <v>0</v>
      </c>
    </row>
    <row r="27" spans="3:13">
      <c r="C27" s="137" t="s">
        <v>342</v>
      </c>
      <c r="D27" s="93"/>
      <c r="E27" s="93"/>
      <c r="F27" s="93"/>
      <c r="G27" s="93"/>
      <c r="H27" s="93">
        <f t="shared" si="0"/>
        <v>0</v>
      </c>
      <c r="J27" t="s">
        <v>68</v>
      </c>
      <c r="K27" s="93">
        <f>+H33</f>
        <v>0</v>
      </c>
      <c r="L27" s="93"/>
      <c r="M27" s="93">
        <f t="shared" si="1"/>
        <v>0</v>
      </c>
    </row>
    <row r="28" spans="3:13">
      <c r="C28" t="s">
        <v>343</v>
      </c>
      <c r="D28" s="93"/>
      <c r="E28" s="93"/>
      <c r="F28" s="93"/>
      <c r="G28" s="93"/>
      <c r="H28" s="93">
        <f t="shared" ref="H28:H33" si="2">SUM(D28:G28)</f>
        <v>0</v>
      </c>
    </row>
    <row r="29" spans="3:13">
      <c r="C29" t="s">
        <v>331</v>
      </c>
      <c r="D29" s="93"/>
      <c r="E29" s="93"/>
      <c r="F29" s="93"/>
      <c r="G29" s="93"/>
      <c r="H29" s="93">
        <f t="shared" si="2"/>
        <v>0</v>
      </c>
      <c r="J29" t="s">
        <v>268</v>
      </c>
      <c r="K29" s="79">
        <f>+K15+K16+K17+K19+K20+K21+K22+K26-K14+K27</f>
        <v>0</v>
      </c>
      <c r="L29" s="93">
        <f>+L15+L16+L17+L19+L20+L21+L22+L26-L14+L27</f>
        <v>0</v>
      </c>
      <c r="M29" s="93">
        <f>+K29-L29</f>
        <v>0</v>
      </c>
    </row>
    <row r="30" spans="3:13">
      <c r="C30" t="s">
        <v>339</v>
      </c>
      <c r="D30" s="93"/>
      <c r="E30" s="93"/>
      <c r="F30" s="93"/>
      <c r="G30" s="93"/>
      <c r="H30" s="93">
        <f t="shared" si="2"/>
        <v>0</v>
      </c>
    </row>
    <row r="31" spans="3:13">
      <c r="C31" t="s">
        <v>344</v>
      </c>
      <c r="D31" s="93"/>
      <c r="E31" s="93"/>
      <c r="F31" s="93"/>
      <c r="G31" s="93"/>
      <c r="H31" s="93">
        <f t="shared" si="2"/>
        <v>0</v>
      </c>
    </row>
    <row r="32" spans="3:13">
      <c r="C32" t="s">
        <v>337</v>
      </c>
      <c r="D32" s="93">
        <f>0+D38</f>
        <v>0</v>
      </c>
      <c r="E32" s="93"/>
      <c r="F32" s="93"/>
      <c r="G32" s="93"/>
      <c r="H32" s="93">
        <f t="shared" si="2"/>
        <v>0</v>
      </c>
      <c r="J32" s="138"/>
    </row>
    <row r="33" spans="3:10">
      <c r="C33" t="s">
        <v>68</v>
      </c>
      <c r="D33" s="93"/>
      <c r="E33" s="93">
        <f>-E26</f>
        <v>0</v>
      </c>
      <c r="F33" s="93"/>
      <c r="G33" s="93"/>
      <c r="H33" s="93">
        <f t="shared" si="2"/>
        <v>0</v>
      </c>
    </row>
    <row r="34" spans="3:10">
      <c r="D34" s="93"/>
      <c r="E34" s="93"/>
      <c r="F34" s="93"/>
      <c r="G34" s="93"/>
      <c r="H34" s="93"/>
    </row>
    <row r="35" spans="3:10">
      <c r="C35" t="s">
        <v>335</v>
      </c>
      <c r="D35" s="93"/>
      <c r="E35" s="245"/>
      <c r="F35" s="93"/>
      <c r="G35" s="93"/>
      <c r="H35" s="93">
        <f>SUM(D35:G35)</f>
        <v>0</v>
      </c>
      <c r="J35" s="138"/>
    </row>
    <row r="36" spans="3:10">
      <c r="C36" t="s">
        <v>345</v>
      </c>
      <c r="D36" s="93"/>
      <c r="E36" s="93">
        <f>-E35</f>
        <v>0</v>
      </c>
      <c r="F36" s="93"/>
      <c r="G36" s="93"/>
      <c r="H36" s="93">
        <f>SUM(D36:G36)</f>
        <v>0</v>
      </c>
    </row>
    <row r="37" spans="3:10">
      <c r="C37" t="s">
        <v>346</v>
      </c>
      <c r="D37" s="93"/>
      <c r="E37" s="93"/>
      <c r="F37" s="93"/>
      <c r="G37" s="93"/>
      <c r="H37" s="93">
        <f>SUM(D37:G37)</f>
        <v>0</v>
      </c>
    </row>
    <row r="38" spans="3:10">
      <c r="C38" t="s">
        <v>347</v>
      </c>
      <c r="D38" s="93"/>
      <c r="E38" s="93"/>
      <c r="F38" s="93"/>
      <c r="G38" s="93"/>
      <c r="H38" s="93">
        <f>SUM(D38:G38)</f>
        <v>0</v>
      </c>
    </row>
    <row r="39" spans="3:10">
      <c r="D39" s="93"/>
      <c r="E39" s="93"/>
      <c r="F39" s="93"/>
      <c r="G39" s="93"/>
      <c r="H39" s="93"/>
    </row>
    <row r="40" spans="3:10">
      <c r="C40" s="77" t="s">
        <v>348</v>
      </c>
      <c r="D40" s="79">
        <f>+D14-D37</f>
        <v>0</v>
      </c>
      <c r="E40" s="79"/>
      <c r="F40" s="79">
        <f>+F14-F37</f>
        <v>0</v>
      </c>
      <c r="G40" s="79">
        <f>+G14-G37</f>
        <v>0</v>
      </c>
      <c r="H40" s="93">
        <f>SUM(D40:G40)</f>
        <v>0</v>
      </c>
    </row>
    <row r="41" spans="3:10">
      <c r="D41" s="79"/>
      <c r="E41" s="79"/>
      <c r="F41" s="79"/>
      <c r="G41" s="79"/>
      <c r="H41" s="93"/>
    </row>
    <row r="42" spans="3:10">
      <c r="D42" s="79"/>
      <c r="E42" s="79"/>
      <c r="F42" s="79"/>
      <c r="G42" s="79"/>
      <c r="H42" s="93"/>
    </row>
    <row r="43" spans="3:10">
      <c r="C43" s="77" t="s">
        <v>349</v>
      </c>
      <c r="D43" s="79">
        <f>SUM(D15:D33)-D27-D35-D37-D38-D36</f>
        <v>0</v>
      </c>
      <c r="E43" s="79">
        <f>SUM(E15:E33)-E27-E35-E37-E38-E36</f>
        <v>0</v>
      </c>
      <c r="F43" s="79">
        <f>SUM(F15:F32)-F27-F35-F37-F38</f>
        <v>0</v>
      </c>
      <c r="G43" s="79">
        <f>SUM(G15:G32)-G27-G35-G37-G38</f>
        <v>0</v>
      </c>
      <c r="H43" s="58"/>
    </row>
    <row r="44" spans="3:10">
      <c r="C44" s="42" t="s">
        <v>175</v>
      </c>
      <c r="D44" s="94">
        <f>+D43-D40</f>
        <v>0</v>
      </c>
      <c r="E44" s="94">
        <f>+E43-E40</f>
        <v>0</v>
      </c>
      <c r="F44" s="94">
        <f>+F43-F40</f>
        <v>0</v>
      </c>
      <c r="G44" s="94">
        <f>+G43-G40</f>
        <v>0</v>
      </c>
      <c r="H44" s="95"/>
    </row>
    <row r="45" spans="3:10">
      <c r="D45" s="79"/>
      <c r="E45" s="79"/>
      <c r="H45" s="58"/>
    </row>
    <row r="46" spans="3:10" ht="12" customHeight="1">
      <c r="D46" s="79"/>
      <c r="E46" s="79"/>
      <c r="H46" s="58"/>
    </row>
    <row r="47" spans="3:10">
      <c r="H47" s="58"/>
    </row>
    <row r="48" spans="3:10">
      <c r="H48" s="58"/>
    </row>
    <row r="49" customFormat="1"/>
    <row r="50" customFormat="1"/>
  </sheetData>
  <mergeCells count="5">
    <mergeCell ref="B8:C8"/>
    <mergeCell ref="I8:K8"/>
    <mergeCell ref="C1:E1"/>
    <mergeCell ref="C2:E2"/>
    <mergeCell ref="C3:E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5497B-C4BC-451B-9193-9E94FE625F67}">
  <sheetPr>
    <tabColor rgb="FF92D050"/>
  </sheetPr>
  <dimension ref="A1:P104"/>
  <sheetViews>
    <sheetView zoomScale="130" zoomScaleNormal="130" workbookViewId="0">
      <selection activeCell="I101" sqref="I101"/>
    </sheetView>
  </sheetViews>
  <sheetFormatPr defaultRowHeight="15"/>
  <cols>
    <col min="2" max="2" width="28.140625" customWidth="1"/>
    <col min="3" max="3" width="5.85546875" customWidth="1"/>
    <col min="4" max="8" width="13.85546875" customWidth="1"/>
    <col min="11" max="11" width="4.28515625" customWidth="1"/>
    <col min="12" max="12" width="11.85546875" customWidth="1"/>
  </cols>
  <sheetData>
    <row r="1" spans="1:16" ht="18">
      <c r="A1" s="121" t="s">
        <v>0</v>
      </c>
      <c r="B1" s="53"/>
      <c r="C1" s="355" t="str">
        <f>Index!$C$1</f>
        <v>The LM &amp; SM Lever Super Fund</v>
      </c>
      <c r="D1" s="355"/>
      <c r="E1" s="355"/>
      <c r="F1" s="54"/>
      <c r="H1" s="56" t="s">
        <v>2</v>
      </c>
      <c r="I1" s="56" t="s">
        <v>3</v>
      </c>
    </row>
    <row r="2" spans="1:16" ht="18">
      <c r="A2" s="121" t="s">
        <v>4</v>
      </c>
      <c r="B2" s="53"/>
      <c r="C2" s="355" t="str">
        <f>Index!$C$2</f>
        <v>LEVL</v>
      </c>
      <c r="D2" s="355"/>
      <c r="E2" s="355"/>
      <c r="F2" s="55"/>
      <c r="G2" s="59" t="s">
        <v>6</v>
      </c>
      <c r="H2" s="60" t="str">
        <f>Index!$H$2</f>
        <v>CM</v>
      </c>
      <c r="I2" s="61">
        <f>Index!$I$2</f>
        <v>44993</v>
      </c>
    </row>
    <row r="3" spans="1:16" ht="18">
      <c r="A3" s="121" t="s">
        <v>8</v>
      </c>
      <c r="B3" s="53"/>
      <c r="C3" s="356">
        <f>Index!$C$3</f>
        <v>44742</v>
      </c>
      <c r="D3" s="355"/>
      <c r="E3" s="355"/>
      <c r="F3" s="55"/>
      <c r="G3" s="59" t="s">
        <v>9</v>
      </c>
      <c r="H3" s="60" t="str">
        <f>Index!$H$3</f>
        <v>DB</v>
      </c>
      <c r="I3" s="61">
        <f>Index!$I$3</f>
        <v>45035</v>
      </c>
    </row>
    <row r="4" spans="1:16" ht="18">
      <c r="D4" s="53"/>
      <c r="E4" s="53"/>
      <c r="F4" s="64"/>
      <c r="G4" s="65"/>
      <c r="I4" s="66"/>
    </row>
    <row r="5" spans="1:16" ht="18">
      <c r="A5" s="123" t="s">
        <v>350</v>
      </c>
      <c r="D5" s="53"/>
      <c r="E5" s="53"/>
      <c r="F5" s="64"/>
      <c r="G5" s="65"/>
      <c r="I5" s="66"/>
    </row>
    <row r="6" spans="1:16" ht="18">
      <c r="D6" s="53"/>
      <c r="E6" s="53"/>
      <c r="F6" s="53"/>
      <c r="G6" s="53"/>
      <c r="H6" s="64"/>
      <c r="I6" s="65"/>
      <c r="K6" s="66"/>
    </row>
    <row r="7" spans="1:16">
      <c r="H7" s="58"/>
    </row>
    <row r="8" spans="1:16" ht="30">
      <c r="A8" s="135" t="s">
        <v>102</v>
      </c>
      <c r="B8" s="357" t="s">
        <v>103</v>
      </c>
      <c r="C8" s="359"/>
      <c r="D8" s="136" t="s">
        <v>104</v>
      </c>
      <c r="E8" s="136"/>
      <c r="F8" s="136"/>
      <c r="G8" s="136"/>
      <c r="H8" s="136" t="s">
        <v>104</v>
      </c>
      <c r="I8" s="357" t="s">
        <v>152</v>
      </c>
      <c r="J8" s="366"/>
      <c r="K8" s="367"/>
      <c r="L8" s="69"/>
      <c r="M8" s="69"/>
      <c r="N8" s="69"/>
      <c r="O8" s="69"/>
      <c r="P8" s="69"/>
    </row>
    <row r="10" spans="1:16">
      <c r="D10" s="58"/>
      <c r="E10" s="58" t="s">
        <v>351</v>
      </c>
      <c r="F10" s="223" t="s">
        <v>352</v>
      </c>
      <c r="G10" s="58" t="s">
        <v>175</v>
      </c>
    </row>
    <row r="11" spans="1:16">
      <c r="D11" s="58"/>
      <c r="E11" s="58"/>
      <c r="F11" s="58"/>
      <c r="G11" s="58"/>
    </row>
    <row r="12" spans="1:16">
      <c r="B12" t="s">
        <v>293</v>
      </c>
      <c r="E12" s="58"/>
      <c r="F12" s="58"/>
      <c r="G12" s="58"/>
    </row>
    <row r="13" spans="1:16">
      <c r="B13" t="s">
        <v>353</v>
      </c>
      <c r="D13" s="253">
        <v>0.18</v>
      </c>
      <c r="E13" s="58"/>
      <c r="F13" s="58"/>
      <c r="G13" s="58"/>
    </row>
    <row r="14" spans="1:16">
      <c r="D14" s="253">
        <v>0.14000000000000001</v>
      </c>
      <c r="E14" s="58"/>
      <c r="F14" s="58"/>
      <c r="G14" s="58"/>
    </row>
    <row r="15" spans="1:16">
      <c r="D15" s="253">
        <v>0.23</v>
      </c>
      <c r="E15" s="58"/>
      <c r="F15" s="58"/>
      <c r="G15" s="58"/>
    </row>
    <row r="16" spans="1:16">
      <c r="D16" s="253">
        <v>0.21</v>
      </c>
      <c r="E16" s="58"/>
      <c r="F16" s="58"/>
      <c r="G16" s="58"/>
    </row>
    <row r="17" spans="2:7">
      <c r="D17" s="253">
        <v>0.22</v>
      </c>
      <c r="E17" s="58"/>
      <c r="F17" s="58"/>
      <c r="G17" s="58"/>
    </row>
    <row r="18" spans="2:7">
      <c r="D18" s="253">
        <v>0.25</v>
      </c>
      <c r="E18" s="58"/>
      <c r="F18" s="58"/>
      <c r="G18" s="58"/>
    </row>
    <row r="19" spans="2:7">
      <c r="D19" s="253">
        <v>0.21</v>
      </c>
      <c r="E19" s="58"/>
      <c r="F19" s="58"/>
      <c r="G19" s="58"/>
    </row>
    <row r="20" spans="2:7">
      <c r="D20" s="253">
        <v>0.22</v>
      </c>
      <c r="E20" s="223"/>
      <c r="F20" s="223"/>
      <c r="G20" s="58"/>
    </row>
    <row r="21" spans="2:7">
      <c r="D21" s="253">
        <v>0.21</v>
      </c>
      <c r="E21" s="58"/>
      <c r="F21" s="58"/>
      <c r="G21" s="58"/>
    </row>
    <row r="22" spans="2:7">
      <c r="D22" s="253">
        <v>0.24</v>
      </c>
      <c r="E22" s="58"/>
      <c r="F22" s="58"/>
      <c r="G22" s="58"/>
    </row>
    <row r="23" spans="2:7">
      <c r="D23" s="253">
        <v>0.22</v>
      </c>
      <c r="E23" s="58"/>
      <c r="F23" s="58"/>
      <c r="G23" s="58"/>
    </row>
    <row r="24" spans="2:7">
      <c r="D24" s="253">
        <v>0.72</v>
      </c>
      <c r="E24" s="254">
        <f>SUM(D13:D24)</f>
        <v>3.05</v>
      </c>
      <c r="F24" s="248">
        <v>3.05</v>
      </c>
      <c r="G24" s="248">
        <f>+F24-E24</f>
        <v>0</v>
      </c>
    </row>
    <row r="25" spans="2:7">
      <c r="B25" t="s">
        <v>354</v>
      </c>
      <c r="D25" s="255">
        <v>95.2</v>
      </c>
      <c r="E25" s="58"/>
      <c r="F25" s="58"/>
      <c r="G25" s="58"/>
    </row>
    <row r="26" spans="2:7">
      <c r="D26" s="255">
        <v>57.67</v>
      </c>
      <c r="E26" s="58"/>
      <c r="F26" s="58"/>
      <c r="G26" s="58"/>
    </row>
    <row r="27" spans="2:7">
      <c r="D27" s="255">
        <v>57.37</v>
      </c>
      <c r="E27" s="58"/>
      <c r="F27" s="58"/>
      <c r="G27" s="58"/>
    </row>
    <row r="28" spans="2:7">
      <c r="D28" s="70">
        <v>719.18</v>
      </c>
      <c r="E28" s="58"/>
      <c r="F28" s="58"/>
      <c r="G28" s="58"/>
    </row>
    <row r="29" spans="2:7">
      <c r="D29" s="88">
        <v>0</v>
      </c>
      <c r="E29" s="248">
        <f>SUM(D25:D29)</f>
        <v>929.42</v>
      </c>
      <c r="F29" s="248">
        <v>929.41</v>
      </c>
      <c r="G29" s="248">
        <f>+F29-E29</f>
        <v>-9.9999999999909051E-3</v>
      </c>
    </row>
    <row r="30" spans="2:7">
      <c r="B30" t="s">
        <v>355</v>
      </c>
      <c r="D30" s="88">
        <v>281.51</v>
      </c>
      <c r="E30" s="249">
        <f>SUM(D30:D30)</f>
        <v>281.51</v>
      </c>
      <c r="F30" s="249">
        <v>281.51</v>
      </c>
      <c r="G30" s="249">
        <f>+F30-E30</f>
        <v>0</v>
      </c>
    </row>
    <row r="31" spans="2:7">
      <c r="B31" t="s">
        <v>356</v>
      </c>
      <c r="D31" s="70">
        <v>0</v>
      </c>
      <c r="E31" s="250"/>
      <c r="F31" s="250"/>
      <c r="G31" s="250"/>
    </row>
    <row r="32" spans="2:7">
      <c r="D32" s="88">
        <v>1564.45</v>
      </c>
      <c r="E32" s="248">
        <f>SUM(D31:D32)</f>
        <v>1564.45</v>
      </c>
      <c r="F32" s="248">
        <v>1564.45</v>
      </c>
      <c r="G32" s="248">
        <f>+F32-E32</f>
        <v>0</v>
      </c>
    </row>
    <row r="33" spans="2:7">
      <c r="B33" t="s">
        <v>357</v>
      </c>
      <c r="D33" s="58">
        <v>225.24</v>
      </c>
      <c r="E33" s="58"/>
      <c r="F33" s="58"/>
      <c r="G33" s="58"/>
    </row>
    <row r="34" spans="2:7">
      <c r="D34" s="88">
        <v>745.77</v>
      </c>
      <c r="E34" s="249">
        <f>SUM(D33:D34)</f>
        <v>971.01</v>
      </c>
      <c r="F34" s="249">
        <v>971</v>
      </c>
      <c r="G34" s="249">
        <f>+F34-E34</f>
        <v>-9.9999999999909051E-3</v>
      </c>
    </row>
    <row r="35" spans="2:7">
      <c r="B35" t="s">
        <v>358</v>
      </c>
      <c r="D35" s="253">
        <v>98.28</v>
      </c>
      <c r="E35" s="58"/>
      <c r="F35" s="58"/>
      <c r="G35" s="58"/>
    </row>
    <row r="36" spans="2:7">
      <c r="D36" s="253">
        <v>163.81</v>
      </c>
      <c r="E36" s="58"/>
      <c r="F36" s="58"/>
      <c r="G36" s="58"/>
    </row>
    <row r="37" spans="2:7">
      <c r="D37" s="253">
        <v>131.62</v>
      </c>
      <c r="E37" s="58"/>
      <c r="F37" s="58"/>
      <c r="G37" s="58"/>
    </row>
    <row r="38" spans="2:7">
      <c r="D38" s="256">
        <v>354.11</v>
      </c>
      <c r="E38" s="249">
        <f>SUM(D35:D38)</f>
        <v>747.82</v>
      </c>
      <c r="F38" s="249">
        <v>747.81</v>
      </c>
      <c r="G38" s="249">
        <f>+F38-E38</f>
        <v>-1.0000000000104592E-2</v>
      </c>
    </row>
    <row r="39" spans="2:7">
      <c r="B39" t="s">
        <v>299</v>
      </c>
      <c r="D39" s="253">
        <v>0</v>
      </c>
      <c r="E39" s="58"/>
      <c r="F39" s="58"/>
      <c r="G39" s="58"/>
    </row>
    <row r="40" spans="2:7">
      <c r="D40" s="253">
        <v>0</v>
      </c>
      <c r="E40" s="58"/>
      <c r="F40" s="58"/>
      <c r="G40" s="58"/>
    </row>
    <row r="41" spans="2:7">
      <c r="D41" s="253">
        <v>0</v>
      </c>
      <c r="E41" s="58"/>
      <c r="F41" s="58"/>
      <c r="G41" s="58"/>
    </row>
    <row r="42" spans="2:7">
      <c r="D42" s="253">
        <v>0</v>
      </c>
      <c r="E42" s="58"/>
      <c r="F42" s="58"/>
      <c r="G42" s="58"/>
    </row>
    <row r="43" spans="2:7">
      <c r="D43" s="253">
        <v>0</v>
      </c>
      <c r="E43" s="58"/>
      <c r="F43" s="58"/>
      <c r="G43" s="58"/>
    </row>
    <row r="44" spans="2:7">
      <c r="D44" s="253">
        <v>0</v>
      </c>
      <c r="E44" s="58"/>
      <c r="F44" s="58"/>
      <c r="G44" s="58"/>
    </row>
    <row r="45" spans="2:7">
      <c r="D45" s="253">
        <v>0</v>
      </c>
      <c r="E45" s="58"/>
      <c r="F45" s="58"/>
      <c r="G45" s="58"/>
    </row>
    <row r="46" spans="2:7">
      <c r="D46" s="253">
        <v>0</v>
      </c>
      <c r="E46" s="58"/>
      <c r="F46" s="58"/>
      <c r="G46" s="58"/>
    </row>
    <row r="47" spans="2:7">
      <c r="D47" s="253">
        <v>0.12</v>
      </c>
      <c r="E47" s="58"/>
      <c r="F47" s="58"/>
      <c r="G47" s="58"/>
    </row>
    <row r="48" spans="2:7">
      <c r="D48" s="253">
        <v>0.42</v>
      </c>
      <c r="E48" s="58"/>
      <c r="F48" s="58"/>
      <c r="G48" s="58"/>
    </row>
    <row r="49" spans="2:8">
      <c r="D49" s="256">
        <v>0.91</v>
      </c>
      <c r="E49" s="256">
        <f>SUM(D39:D49)</f>
        <v>1.4500000000000002</v>
      </c>
      <c r="F49" s="257">
        <v>1.46</v>
      </c>
      <c r="G49" s="257">
        <f>+E49-F49</f>
        <v>-9.9999999999997868E-3</v>
      </c>
    </row>
    <row r="50" spans="2:8">
      <c r="B50" t="s">
        <v>359</v>
      </c>
      <c r="D50" s="253">
        <v>49.99</v>
      </c>
      <c r="E50" s="58"/>
      <c r="F50" s="58"/>
      <c r="G50" s="58"/>
    </row>
    <row r="51" spans="2:8">
      <c r="D51" s="253">
        <v>49.99</v>
      </c>
      <c r="E51" s="58"/>
      <c r="F51" s="58"/>
      <c r="G51" s="58"/>
    </row>
    <row r="52" spans="2:8">
      <c r="D52" s="253">
        <v>50.2</v>
      </c>
      <c r="E52" s="58"/>
      <c r="F52" s="58"/>
      <c r="G52" s="58"/>
    </row>
    <row r="53" spans="2:8">
      <c r="D53" s="256">
        <v>1291.58</v>
      </c>
      <c r="E53" s="248">
        <f>SUM(D50:D53)</f>
        <v>1441.76</v>
      </c>
      <c r="F53" s="248">
        <v>1441.75</v>
      </c>
      <c r="G53" s="248">
        <f>+F53-E53</f>
        <v>-9.9999999999909051E-3</v>
      </c>
    </row>
    <row r="54" spans="2:8">
      <c r="B54" t="s">
        <v>360</v>
      </c>
      <c r="D54" s="255">
        <v>0</v>
      </c>
      <c r="E54" s="255"/>
      <c r="F54" s="255"/>
      <c r="G54" s="255"/>
      <c r="H54" s="255"/>
    </row>
    <row r="55" spans="2:8">
      <c r="D55" s="255">
        <v>0</v>
      </c>
      <c r="E55" s="255"/>
      <c r="F55" s="255"/>
      <c r="G55" s="255"/>
      <c r="H55" s="255"/>
    </row>
    <row r="56" spans="2:8">
      <c r="D56" s="255">
        <v>0</v>
      </c>
      <c r="E56" s="255"/>
      <c r="F56" s="255"/>
      <c r="G56" s="255"/>
      <c r="H56" s="255"/>
    </row>
    <row r="57" spans="2:8">
      <c r="D57" s="256">
        <v>146.28</v>
      </c>
      <c r="E57" s="256">
        <f>SUM(D54:D57)</f>
        <v>146.28</v>
      </c>
      <c r="F57" s="256">
        <v>146.28</v>
      </c>
      <c r="G57" s="248">
        <f>+F57-E57</f>
        <v>0</v>
      </c>
      <c r="H57" s="255"/>
    </row>
    <row r="58" spans="2:8">
      <c r="B58" t="s">
        <v>361</v>
      </c>
      <c r="D58" s="253">
        <v>33.409999999999997</v>
      </c>
      <c r="E58" s="58"/>
      <c r="F58" s="58"/>
      <c r="G58" s="58"/>
    </row>
    <row r="59" spans="2:8">
      <c r="D59" s="253">
        <v>33.409999999999997</v>
      </c>
      <c r="E59" s="58"/>
      <c r="F59" s="58"/>
      <c r="G59" s="58"/>
    </row>
    <row r="60" spans="2:8">
      <c r="D60" s="253">
        <v>33.409999999999997</v>
      </c>
      <c r="E60" s="58"/>
      <c r="F60" s="58"/>
      <c r="G60" s="58"/>
    </row>
    <row r="61" spans="2:8">
      <c r="D61" s="253">
        <v>33.409999999999997</v>
      </c>
      <c r="E61" s="58"/>
      <c r="F61" s="58"/>
      <c r="G61" s="58"/>
    </row>
    <row r="62" spans="2:8">
      <c r="D62" s="253">
        <v>33.409999999999997</v>
      </c>
      <c r="E62" s="58"/>
      <c r="F62" s="58"/>
      <c r="G62" s="58"/>
    </row>
    <row r="63" spans="2:8">
      <c r="D63" s="253">
        <v>33.409999999999997</v>
      </c>
      <c r="E63" s="58"/>
      <c r="F63" s="58"/>
      <c r="G63" s="58"/>
    </row>
    <row r="64" spans="2:8">
      <c r="D64" s="253">
        <v>33.56</v>
      </c>
      <c r="E64" s="58"/>
      <c r="F64" s="58"/>
      <c r="G64" s="58"/>
    </row>
    <row r="65" spans="2:7">
      <c r="D65" s="253">
        <v>33.56</v>
      </c>
      <c r="E65" s="58"/>
      <c r="F65" s="58"/>
      <c r="G65" s="58"/>
    </row>
    <row r="66" spans="2:7">
      <c r="D66" s="253">
        <v>33.56</v>
      </c>
      <c r="E66" s="58"/>
      <c r="F66" s="58"/>
      <c r="G66" s="58"/>
    </row>
    <row r="67" spans="2:7">
      <c r="D67" s="253">
        <v>33.56</v>
      </c>
      <c r="E67" s="58"/>
      <c r="F67" s="58"/>
      <c r="G67" s="58"/>
    </row>
    <row r="68" spans="2:7">
      <c r="D68" s="253">
        <v>33.56</v>
      </c>
      <c r="E68" s="58"/>
      <c r="F68" s="58"/>
      <c r="G68" s="58"/>
    </row>
    <row r="69" spans="2:7">
      <c r="D69" s="256">
        <v>33.69</v>
      </c>
      <c r="E69" s="249">
        <f>SUM(D58:D69)</f>
        <v>401.95</v>
      </c>
      <c r="F69" s="249">
        <v>401.96</v>
      </c>
      <c r="G69" s="249">
        <f>+F69-E69</f>
        <v>9.9999999999909051E-3</v>
      </c>
    </row>
    <row r="70" spans="2:7">
      <c r="B70" t="s">
        <v>362</v>
      </c>
      <c r="D70" s="58">
        <v>297.26</v>
      </c>
      <c r="E70" s="58"/>
      <c r="F70" s="58"/>
      <c r="G70" s="58"/>
    </row>
    <row r="71" spans="2:7">
      <c r="D71" s="88">
        <v>1291.98</v>
      </c>
      <c r="E71" s="248">
        <f>SUM(D70:D71)</f>
        <v>1589.24</v>
      </c>
      <c r="F71" s="248">
        <v>1589.24</v>
      </c>
      <c r="G71" s="248">
        <f>+F71-E71</f>
        <v>0</v>
      </c>
    </row>
    <row r="72" spans="2:7">
      <c r="B72" t="s">
        <v>363</v>
      </c>
      <c r="D72" s="58">
        <v>50.95</v>
      </c>
      <c r="E72" s="58"/>
      <c r="F72" s="58"/>
      <c r="G72" s="58"/>
    </row>
    <row r="73" spans="2:7">
      <c r="D73" s="58">
        <v>289.88</v>
      </c>
      <c r="E73" s="58"/>
      <c r="F73" s="58"/>
      <c r="G73" s="58"/>
    </row>
    <row r="74" spans="2:7">
      <c r="D74" s="58">
        <v>78.790000000000006</v>
      </c>
      <c r="E74" s="58"/>
      <c r="F74" s="58"/>
      <c r="G74" s="58"/>
    </row>
    <row r="75" spans="2:7">
      <c r="D75" s="88">
        <v>845.68</v>
      </c>
      <c r="E75" s="249">
        <f>SUM(D72:D75)</f>
        <v>1265.3</v>
      </c>
      <c r="F75" s="249">
        <v>1265.29</v>
      </c>
      <c r="G75" s="249">
        <f>+F75-E75</f>
        <v>-9.9999999999909051E-3</v>
      </c>
    </row>
    <row r="76" spans="2:7">
      <c r="B76" t="s">
        <v>364</v>
      </c>
      <c r="D76" s="58">
        <v>102.02</v>
      </c>
      <c r="E76" s="58"/>
      <c r="F76" s="58"/>
      <c r="G76" s="58"/>
    </row>
    <row r="77" spans="2:7">
      <c r="D77" s="88">
        <v>93.95</v>
      </c>
      <c r="E77" s="248">
        <f>SUM(D76:D77)</f>
        <v>195.97</v>
      </c>
      <c r="F77" s="248">
        <v>2225.48</v>
      </c>
      <c r="G77" s="248">
        <f>+F77-E77</f>
        <v>2029.51</v>
      </c>
    </row>
    <row r="78" spans="2:7">
      <c r="B78" t="s">
        <v>365</v>
      </c>
      <c r="D78" s="58">
        <v>0</v>
      </c>
      <c r="E78" s="58"/>
      <c r="F78" s="58"/>
      <c r="G78" s="58"/>
    </row>
    <row r="79" spans="2:7">
      <c r="D79" s="88">
        <v>627.23</v>
      </c>
      <c r="E79" s="249">
        <f>SUM(D78:D79)</f>
        <v>627.23</v>
      </c>
      <c r="F79" s="249">
        <v>1334.53</v>
      </c>
      <c r="G79" s="249">
        <f>+F79-E79</f>
        <v>707.3</v>
      </c>
    </row>
    <row r="80" spans="2:7">
      <c r="D80" s="58"/>
      <c r="E80" s="58"/>
      <c r="F80" s="58"/>
      <c r="G80" s="58"/>
    </row>
    <row r="81" spans="2:12">
      <c r="B81" t="s">
        <v>366</v>
      </c>
      <c r="D81" s="58"/>
      <c r="E81" s="58">
        <f>SUM(E23:E80)</f>
        <v>10166.439999999999</v>
      </c>
      <c r="F81" s="58">
        <f>SUM(F21:F80)</f>
        <v>12903.22</v>
      </c>
      <c r="G81" s="95">
        <f>SUM(G12:G80)</f>
        <v>2736.7599999999998</v>
      </c>
      <c r="H81" s="95" t="s">
        <v>175</v>
      </c>
    </row>
    <row r="82" spans="2:12">
      <c r="D82" s="58"/>
      <c r="E82" s="58"/>
      <c r="F82" s="58"/>
      <c r="G82" s="58"/>
    </row>
    <row r="83" spans="2:12">
      <c r="D83" s="58"/>
      <c r="E83" s="58"/>
      <c r="F83" s="58"/>
      <c r="G83" s="58"/>
    </row>
    <row r="84" spans="2:12">
      <c r="D84" s="58"/>
      <c r="E84" s="58"/>
      <c r="F84" s="58"/>
      <c r="G84" s="58"/>
    </row>
    <row r="85" spans="2:12">
      <c r="D85" s="58"/>
      <c r="E85" s="58" t="s">
        <v>367</v>
      </c>
      <c r="F85" s="58" t="s">
        <v>368</v>
      </c>
      <c r="G85" s="58" t="s">
        <v>369</v>
      </c>
      <c r="H85" t="s">
        <v>370</v>
      </c>
    </row>
    <row r="86" spans="2:12">
      <c r="D86" s="58"/>
      <c r="E86" s="58"/>
      <c r="F86" s="58"/>
      <c r="G86" s="58"/>
    </row>
    <row r="87" spans="2:12">
      <c r="B87" t="s">
        <v>371</v>
      </c>
      <c r="D87" s="58"/>
      <c r="E87" s="251">
        <v>1384.55</v>
      </c>
      <c r="F87" s="223"/>
      <c r="G87" s="223"/>
      <c r="H87" s="223">
        <f>SUM(E87:G87)</f>
        <v>1384.55</v>
      </c>
    </row>
    <row r="88" spans="2:12">
      <c r="B88" t="s">
        <v>372</v>
      </c>
      <c r="D88" s="58"/>
      <c r="E88" s="251">
        <f>56.86+112.66</f>
        <v>169.51999999999998</v>
      </c>
      <c r="F88" s="223"/>
      <c r="G88" s="223"/>
      <c r="H88" s="223">
        <f>SUM(E88:G88)</f>
        <v>169.51999999999998</v>
      </c>
    </row>
    <row r="89" spans="2:12">
      <c r="B89" t="s">
        <v>65</v>
      </c>
      <c r="D89" s="58"/>
      <c r="E89" s="251">
        <v>50.41</v>
      </c>
      <c r="F89" s="223"/>
      <c r="G89" s="223"/>
      <c r="H89" s="223">
        <f t="shared" ref="H89:H98" si="0">SUM(E89:G89)</f>
        <v>50.41</v>
      </c>
    </row>
    <row r="90" spans="2:12">
      <c r="B90" t="s">
        <v>66</v>
      </c>
      <c r="D90" s="58"/>
      <c r="E90" s="251">
        <f>1277.59+0.24</f>
        <v>1277.83</v>
      </c>
      <c r="F90" s="223"/>
      <c r="G90" s="223"/>
      <c r="H90" s="223">
        <f t="shared" si="0"/>
        <v>1277.83</v>
      </c>
    </row>
    <row r="91" spans="2:12">
      <c r="B91" t="s">
        <v>373</v>
      </c>
      <c r="D91" s="58"/>
      <c r="E91" s="251">
        <f>3405.2+5.4</f>
        <v>3410.6</v>
      </c>
      <c r="F91" s="223"/>
      <c r="G91" s="223"/>
      <c r="H91" s="223">
        <f t="shared" si="0"/>
        <v>3410.6</v>
      </c>
      <c r="J91" t="s">
        <v>374</v>
      </c>
      <c r="L91" s="91">
        <f>+H91+H92</f>
        <v>6821.2</v>
      </c>
    </row>
    <row r="92" spans="2:12">
      <c r="B92" t="s">
        <v>375</v>
      </c>
      <c r="D92" s="58"/>
      <c r="E92" s="251"/>
      <c r="F92" s="251">
        <f>+E91</f>
        <v>3410.6</v>
      </c>
      <c r="G92" s="223"/>
      <c r="H92" s="223">
        <f t="shared" si="0"/>
        <v>3410.6</v>
      </c>
    </row>
    <row r="93" spans="2:12">
      <c r="B93" t="s">
        <v>257</v>
      </c>
      <c r="D93" s="58"/>
      <c r="E93" s="251">
        <v>698.17</v>
      </c>
      <c r="F93" s="223"/>
      <c r="G93" s="223"/>
      <c r="H93" s="223">
        <f t="shared" si="0"/>
        <v>698.17</v>
      </c>
      <c r="J93" t="s">
        <v>257</v>
      </c>
      <c r="L93" s="91">
        <f>H93</f>
        <v>698.17</v>
      </c>
    </row>
    <row r="94" spans="2:12">
      <c r="B94" t="s">
        <v>376</v>
      </c>
      <c r="D94" s="58"/>
      <c r="E94" s="251"/>
      <c r="F94" s="223"/>
      <c r="G94" s="223"/>
      <c r="H94" s="223">
        <f>SUM(E94:G94)</f>
        <v>0</v>
      </c>
      <c r="J94" t="s">
        <v>376</v>
      </c>
      <c r="L94" s="91">
        <f>H94</f>
        <v>0</v>
      </c>
    </row>
    <row r="95" spans="2:12">
      <c r="B95" t="s">
        <v>332</v>
      </c>
      <c r="D95" s="58"/>
      <c r="E95" s="251">
        <v>2345.1799999999998</v>
      </c>
      <c r="F95" s="223"/>
      <c r="G95" s="223"/>
      <c r="H95" s="223">
        <f t="shared" si="0"/>
        <v>2345.1799999999998</v>
      </c>
    </row>
    <row r="96" spans="2:12">
      <c r="B96" t="s">
        <v>377</v>
      </c>
      <c r="D96" s="58"/>
      <c r="E96" s="251">
        <v>3566.99</v>
      </c>
      <c r="F96" s="251">
        <f>-F92</f>
        <v>-3410.6</v>
      </c>
      <c r="G96" s="223">
        <v>-156.38999999999999</v>
      </c>
      <c r="H96" s="223">
        <f>SUM(E96:G96)</f>
        <v>0</v>
      </c>
    </row>
    <row r="97" spans="2:8">
      <c r="B97" t="s">
        <v>378</v>
      </c>
      <c r="D97" s="58"/>
      <c r="E97" s="223"/>
      <c r="F97" s="223"/>
      <c r="G97" s="223">
        <v>-2580.4</v>
      </c>
      <c r="H97" s="223">
        <f t="shared" si="0"/>
        <v>-2580.4</v>
      </c>
    </row>
    <row r="98" spans="2:8">
      <c r="B98" t="s">
        <v>379</v>
      </c>
      <c r="D98" s="58"/>
      <c r="E98" s="223"/>
      <c r="F98" s="223"/>
      <c r="G98" s="223">
        <v>-0.02</v>
      </c>
      <c r="H98" s="223">
        <f t="shared" si="0"/>
        <v>-0.02</v>
      </c>
    </row>
    <row r="99" spans="2:8" ht="15.75" thickBot="1">
      <c r="D99" s="58"/>
      <c r="E99" s="252">
        <f>SUM(E87:E98)</f>
        <v>12903.25</v>
      </c>
      <c r="F99" s="252">
        <f>SUM(F87:F98)</f>
        <v>0</v>
      </c>
      <c r="G99" s="252">
        <f>SUM(G87:G98)</f>
        <v>-2736.81</v>
      </c>
      <c r="H99" s="252">
        <f>SUM(H87:H98)</f>
        <v>10166.44</v>
      </c>
    </row>
    <row r="100" spans="2:8">
      <c r="D100" s="58"/>
      <c r="E100" s="223"/>
      <c r="F100" s="223"/>
      <c r="G100" s="223"/>
    </row>
    <row r="101" spans="2:8">
      <c r="D101" s="58"/>
      <c r="E101" s="223"/>
      <c r="F101" s="223"/>
      <c r="G101" s="223"/>
      <c r="H101" s="91">
        <f>+H99-E81</f>
        <v>0</v>
      </c>
    </row>
    <row r="102" spans="2:8">
      <c r="B102" t="s">
        <v>329</v>
      </c>
      <c r="D102" s="58"/>
      <c r="E102" s="223">
        <v>710.35</v>
      </c>
      <c r="F102" s="223"/>
      <c r="G102" s="223"/>
      <c r="H102" s="91"/>
    </row>
    <row r="103" spans="2:8">
      <c r="B103" t="s">
        <v>380</v>
      </c>
      <c r="D103" s="58"/>
      <c r="E103" s="223">
        <v>145.63999999999999</v>
      </c>
      <c r="F103" s="223"/>
      <c r="G103" s="223"/>
      <c r="H103" s="91"/>
    </row>
    <row r="104" spans="2:8">
      <c r="D104" s="58"/>
      <c r="E104" s="223"/>
      <c r="F104" s="223"/>
      <c r="G104" s="223"/>
    </row>
  </sheetData>
  <mergeCells count="5">
    <mergeCell ref="C1:E1"/>
    <mergeCell ref="C2:E2"/>
    <mergeCell ref="C3:E3"/>
    <mergeCell ref="B8:C8"/>
    <mergeCell ref="I8:K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8C3B0-E245-4D7C-8A6A-A9D14F6C71FD}">
  <dimension ref="A1:I19"/>
  <sheetViews>
    <sheetView workbookViewId="0">
      <selection activeCell="C19" sqref="C19"/>
    </sheetView>
  </sheetViews>
  <sheetFormatPr defaultColWidth="13.140625" defaultRowHeight="15"/>
  <cols>
    <col min="4" max="6" width="13.140625" style="93"/>
    <col min="7" max="7" width="14.42578125" customWidth="1"/>
  </cols>
  <sheetData>
    <row r="1" spans="1:9" ht="18">
      <c r="A1" s="121" t="s">
        <v>0</v>
      </c>
      <c r="B1" s="53"/>
      <c r="C1" s="355" t="str">
        <f>Index!$C$1</f>
        <v>The LM &amp; SM Lever Super Fund</v>
      </c>
      <c r="D1" s="355"/>
      <c r="E1" s="355"/>
      <c r="F1" s="54"/>
      <c r="H1" s="56" t="s">
        <v>2</v>
      </c>
      <c r="I1" s="56" t="s">
        <v>3</v>
      </c>
    </row>
    <row r="2" spans="1:9" ht="18">
      <c r="A2" s="121" t="s">
        <v>4</v>
      </c>
      <c r="B2" s="53"/>
      <c r="C2" s="355" t="str">
        <f>Index!$C$2</f>
        <v>LEVL</v>
      </c>
      <c r="D2" s="355"/>
      <c r="E2" s="355"/>
      <c r="F2" s="55"/>
      <c r="G2" s="59" t="s">
        <v>6</v>
      </c>
      <c r="H2" s="60" t="str">
        <f>Index!$H$2</f>
        <v>CM</v>
      </c>
      <c r="I2" s="61">
        <f>Index!$I$2</f>
        <v>44993</v>
      </c>
    </row>
    <row r="3" spans="1:9" ht="18">
      <c r="A3" s="121" t="s">
        <v>8</v>
      </c>
      <c r="B3" s="53"/>
      <c r="C3" s="356">
        <f>Index!$C$3</f>
        <v>44742</v>
      </c>
      <c r="D3" s="355"/>
      <c r="E3" s="355"/>
      <c r="F3" s="55"/>
      <c r="G3" s="59" t="s">
        <v>9</v>
      </c>
      <c r="H3" s="60" t="str">
        <f>Index!$H$3</f>
        <v>DB</v>
      </c>
      <c r="I3" s="61">
        <f>Index!$I$3</f>
        <v>45035</v>
      </c>
    </row>
    <row r="4" spans="1:9" ht="18">
      <c r="D4" s="53"/>
      <c r="E4" s="53"/>
      <c r="F4" s="64"/>
      <c r="G4" s="65"/>
      <c r="I4" s="66"/>
    </row>
    <row r="5" spans="1:9" ht="18">
      <c r="A5" s="123" t="s">
        <v>381</v>
      </c>
      <c r="D5" s="231"/>
      <c r="E5" s="231"/>
      <c r="F5" s="232"/>
      <c r="G5" s="233"/>
      <c r="I5" s="66"/>
    </row>
    <row r="6" spans="1:9" ht="18.75">
      <c r="D6" s="234"/>
      <c r="E6" s="234"/>
      <c r="F6" s="235"/>
      <c r="G6" s="236"/>
      <c r="I6" s="66"/>
    </row>
    <row r="7" spans="1:9">
      <c r="G7" s="93"/>
    </row>
    <row r="8" spans="1:9" s="69" customFormat="1" ht="25.5">
      <c r="A8" s="128" t="s">
        <v>102</v>
      </c>
      <c r="B8" s="400" t="s">
        <v>103</v>
      </c>
      <c r="C8" s="401"/>
      <c r="D8" s="237" t="s">
        <v>104</v>
      </c>
      <c r="E8" s="237" t="s">
        <v>104</v>
      </c>
      <c r="F8" s="237" t="s">
        <v>104</v>
      </c>
      <c r="G8" s="400" t="s">
        <v>152</v>
      </c>
      <c r="H8" s="366"/>
      <c r="I8" s="367"/>
    </row>
    <row r="10" spans="1:9">
      <c r="D10" s="238" t="s">
        <v>323</v>
      </c>
      <c r="E10" s="238" t="s">
        <v>382</v>
      </c>
      <c r="F10" s="238" t="s">
        <v>325</v>
      </c>
      <c r="G10" s="238" t="s">
        <v>383</v>
      </c>
      <c r="H10" s="238" t="s">
        <v>384</v>
      </c>
    </row>
    <row r="11" spans="1:9">
      <c r="B11" t="s">
        <v>385</v>
      </c>
      <c r="G11" s="93"/>
      <c r="H11" s="93"/>
    </row>
    <row r="12" spans="1:9">
      <c r="B12" t="s">
        <v>386</v>
      </c>
      <c r="G12" s="93"/>
      <c r="H12" s="93"/>
    </row>
    <row r="13" spans="1:9" s="42" customFormat="1">
      <c r="B13" s="42" t="s">
        <v>175</v>
      </c>
      <c r="D13" s="239">
        <f>D11-D12</f>
        <v>0</v>
      </c>
      <c r="E13" s="239">
        <f>E11-E12</f>
        <v>0</v>
      </c>
      <c r="F13" s="239">
        <f>F11-F12</f>
        <v>0</v>
      </c>
      <c r="G13" s="239">
        <f>G11-G12</f>
        <v>0</v>
      </c>
      <c r="H13" s="239">
        <f>H11-H12</f>
        <v>0</v>
      </c>
    </row>
    <row r="15" spans="1:9">
      <c r="A15" s="42" t="s">
        <v>387</v>
      </c>
    </row>
    <row r="19" spans="7:8">
      <c r="G19" s="93"/>
      <c r="H19" s="93"/>
    </row>
  </sheetData>
  <mergeCells count="5">
    <mergeCell ref="B8:C8"/>
    <mergeCell ref="G8:I8"/>
    <mergeCell ref="C1:E1"/>
    <mergeCell ref="C2:E2"/>
    <mergeCell ref="C3:E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80FE3-9B36-4161-96E3-A59011420F9D}">
  <dimension ref="A1:J30"/>
  <sheetViews>
    <sheetView workbookViewId="0">
      <selection activeCell="C19" sqref="C19"/>
    </sheetView>
  </sheetViews>
  <sheetFormatPr defaultColWidth="8.7109375" defaultRowHeight="15"/>
  <cols>
    <col min="1" max="1" width="12.85546875" customWidth="1"/>
    <col min="2" max="2" width="3" customWidth="1"/>
    <col min="3" max="3" width="19.7109375" customWidth="1"/>
    <col min="4" max="5" width="14.7109375" customWidth="1"/>
    <col min="6" max="7" width="15.5703125" style="58" customWidth="1"/>
    <col min="8" max="8" width="14.28515625" customWidth="1"/>
    <col min="9" max="10" width="15.7109375" customWidth="1"/>
    <col min="11" max="11" width="14.42578125" customWidth="1"/>
  </cols>
  <sheetData>
    <row r="1" spans="1:10" ht="18">
      <c r="A1" s="121" t="s">
        <v>0</v>
      </c>
      <c r="B1" s="53"/>
      <c r="C1" s="355" t="str">
        <f>Index!$C$1</f>
        <v>The LM &amp; SM Lever Super Fund</v>
      </c>
      <c r="D1" s="355"/>
      <c r="E1" s="355"/>
      <c r="F1" s="54"/>
      <c r="G1"/>
      <c r="H1" s="56" t="s">
        <v>2</v>
      </c>
      <c r="I1" s="56" t="s">
        <v>3</v>
      </c>
    </row>
    <row r="2" spans="1:10" ht="18">
      <c r="A2" s="121" t="s">
        <v>4</v>
      </c>
      <c r="B2" s="53"/>
      <c r="C2" s="355" t="str">
        <f>Index!$C$2</f>
        <v>LEVL</v>
      </c>
      <c r="D2" s="355"/>
      <c r="E2" s="355"/>
      <c r="F2" s="55"/>
      <c r="G2" s="59" t="s">
        <v>6</v>
      </c>
      <c r="H2" s="60" t="str">
        <f>Index!$H$2</f>
        <v>CM</v>
      </c>
      <c r="I2" s="61">
        <f>Index!$I$2</f>
        <v>44993</v>
      </c>
    </row>
    <row r="3" spans="1:10" ht="18">
      <c r="A3" s="121" t="s">
        <v>8</v>
      </c>
      <c r="B3" s="53"/>
      <c r="C3" s="356">
        <f>Index!$C$3</f>
        <v>44742</v>
      </c>
      <c r="D3" s="355"/>
      <c r="E3" s="355"/>
      <c r="F3" s="55"/>
      <c r="G3" s="59" t="s">
        <v>9</v>
      </c>
      <c r="H3" s="60" t="str">
        <f>Index!$H$3</f>
        <v>DB</v>
      </c>
      <c r="I3" s="61">
        <f>Index!$I$3</f>
        <v>45035</v>
      </c>
    </row>
    <row r="4" spans="1:10" ht="18">
      <c r="A4" s="121"/>
      <c r="B4" s="53"/>
      <c r="D4" s="53"/>
      <c r="E4" s="53"/>
      <c r="F4" s="55"/>
      <c r="G4" s="122"/>
      <c r="H4" s="65"/>
      <c r="I4" s="66"/>
    </row>
    <row r="5" spans="1:10" ht="18">
      <c r="A5" s="53" t="s">
        <v>388</v>
      </c>
      <c r="C5" s="57"/>
      <c r="H5" s="65"/>
      <c r="J5" s="66"/>
    </row>
    <row r="6" spans="1:10" ht="18">
      <c r="D6" s="53"/>
      <c r="E6" s="53"/>
      <c r="F6" s="64"/>
      <c r="G6" s="64"/>
    </row>
    <row r="8" spans="1:10" s="69" customFormat="1" ht="30">
      <c r="A8" s="135" t="s">
        <v>102</v>
      </c>
      <c r="B8" s="357" t="s">
        <v>103</v>
      </c>
      <c r="C8" s="358"/>
      <c r="D8" s="358"/>
      <c r="E8" s="359"/>
      <c r="F8" s="136" t="s">
        <v>104</v>
      </c>
      <c r="G8" s="140"/>
      <c r="H8" s="357" t="s">
        <v>152</v>
      </c>
      <c r="I8" s="366"/>
      <c r="J8" s="367"/>
    </row>
    <row r="10" spans="1:10">
      <c r="A10" s="77" t="s">
        <v>389</v>
      </c>
      <c r="C10" s="47" t="s">
        <v>390</v>
      </c>
      <c r="D10" s="402" t="s">
        <v>391</v>
      </c>
      <c r="E10" s="402"/>
      <c r="F10" s="402"/>
      <c r="G10" s="100" t="s">
        <v>392</v>
      </c>
      <c r="H10" s="403" t="s">
        <v>393</v>
      </c>
      <c r="I10" s="403"/>
      <c r="J10" s="403"/>
    </row>
    <row r="11" spans="1:10">
      <c r="A11" s="71"/>
      <c r="B11" s="71"/>
      <c r="D11" s="47" t="s">
        <v>394</v>
      </c>
      <c r="E11" s="85" t="s">
        <v>395</v>
      </c>
      <c r="F11" s="72" t="s">
        <v>396</v>
      </c>
      <c r="G11" s="72"/>
      <c r="H11" s="47" t="s">
        <v>394</v>
      </c>
      <c r="I11" s="101" t="s">
        <v>395</v>
      </c>
      <c r="J11" s="102" t="s">
        <v>396</v>
      </c>
    </row>
    <row r="12" spans="1:10">
      <c r="A12" s="71"/>
      <c r="B12" s="71"/>
      <c r="D12" s="47"/>
      <c r="E12" s="85"/>
      <c r="F12" s="72"/>
      <c r="G12" s="72"/>
      <c r="H12" s="47"/>
      <c r="I12" s="101"/>
      <c r="J12" s="102"/>
    </row>
    <row r="13" spans="1:10">
      <c r="A13" s="71"/>
      <c r="C13" s="139"/>
      <c r="D13" s="80"/>
      <c r="E13" s="80"/>
      <c r="F13" s="80">
        <f>D13-E13</f>
        <v>0</v>
      </c>
      <c r="G13" s="103"/>
      <c r="H13" s="104">
        <f>D13*$G$13</f>
        <v>0</v>
      </c>
      <c r="I13" s="104">
        <f>E13*$G$13</f>
        <v>0</v>
      </c>
      <c r="J13" s="104">
        <f>F13*$G$13</f>
        <v>0</v>
      </c>
    </row>
    <row r="14" spans="1:10">
      <c r="C14" s="139"/>
      <c r="D14" s="80"/>
      <c r="E14" s="80"/>
      <c r="F14" s="80">
        <f>D14-E14</f>
        <v>0</v>
      </c>
      <c r="G14" s="103"/>
      <c r="H14" s="104">
        <f>D14*$G$14</f>
        <v>0</v>
      </c>
      <c r="I14" s="104">
        <f>E14*$G$14</f>
        <v>0</v>
      </c>
      <c r="J14" s="104">
        <f>F14*$G$14</f>
        <v>0</v>
      </c>
    </row>
    <row r="15" spans="1:10" ht="15.75" thickBot="1">
      <c r="D15" s="80"/>
      <c r="E15" s="80"/>
      <c r="F15" s="80"/>
      <c r="G15" s="70"/>
      <c r="H15" s="105">
        <f>SUM(H13:H14)</f>
        <v>0</v>
      </c>
      <c r="I15" s="105">
        <f>SUM(I13:I14)</f>
        <v>0</v>
      </c>
      <c r="J15" s="105">
        <f>SUM(J13:J14)</f>
        <v>0</v>
      </c>
    </row>
    <row r="16" spans="1:10">
      <c r="D16" s="80"/>
      <c r="E16" s="80"/>
      <c r="F16" s="80"/>
      <c r="G16" s="70"/>
      <c r="H16" s="104"/>
      <c r="I16" s="104"/>
      <c r="J16" s="104"/>
    </row>
    <row r="17" spans="1:10">
      <c r="D17" s="80"/>
      <c r="E17" s="80"/>
      <c r="F17" s="80"/>
      <c r="G17" s="70"/>
      <c r="H17" s="104"/>
      <c r="I17" s="104"/>
      <c r="J17" s="104"/>
    </row>
    <row r="18" spans="1:10">
      <c r="A18" s="77"/>
      <c r="C18" s="139"/>
      <c r="D18" s="80"/>
      <c r="E18" s="80"/>
      <c r="F18" s="80">
        <f>D18-E18</f>
        <v>0</v>
      </c>
      <c r="G18" s="103"/>
      <c r="H18" s="104">
        <f t="shared" ref="H18:J21" si="0">D18*$G$13</f>
        <v>0</v>
      </c>
      <c r="I18" s="104">
        <f t="shared" si="0"/>
        <v>0</v>
      </c>
      <c r="J18" s="104">
        <f t="shared" si="0"/>
        <v>0</v>
      </c>
    </row>
    <row r="19" spans="1:10">
      <c r="C19" s="139"/>
      <c r="D19" s="80"/>
      <c r="E19" s="80"/>
      <c r="F19" s="80">
        <f>D19-E19</f>
        <v>0</v>
      </c>
      <c r="G19" s="103"/>
      <c r="H19" s="104">
        <f t="shared" si="0"/>
        <v>0</v>
      </c>
      <c r="I19" s="104">
        <f t="shared" si="0"/>
        <v>0</v>
      </c>
      <c r="J19" s="104">
        <f t="shared" si="0"/>
        <v>0</v>
      </c>
    </row>
    <row r="20" spans="1:10">
      <c r="C20" s="139"/>
      <c r="D20" s="80"/>
      <c r="E20" s="80"/>
      <c r="F20" s="80">
        <f>D20-E20</f>
        <v>0</v>
      </c>
      <c r="G20" s="103"/>
      <c r="H20" s="104">
        <f t="shared" si="0"/>
        <v>0</v>
      </c>
      <c r="I20" s="104">
        <f t="shared" si="0"/>
        <v>0</v>
      </c>
      <c r="J20" s="104">
        <f t="shared" si="0"/>
        <v>0</v>
      </c>
    </row>
    <row r="21" spans="1:10">
      <c r="C21" s="139"/>
      <c r="D21" s="80"/>
      <c r="E21" s="80"/>
      <c r="F21" s="80">
        <f>D21-E21</f>
        <v>0</v>
      </c>
      <c r="G21" s="103"/>
      <c r="H21" s="104">
        <f t="shared" si="0"/>
        <v>0</v>
      </c>
      <c r="I21" s="104">
        <f t="shared" si="0"/>
        <v>0</v>
      </c>
      <c r="J21" s="104">
        <f t="shared" si="0"/>
        <v>0</v>
      </c>
    </row>
    <row r="22" spans="1:10" ht="15.75" thickBot="1">
      <c r="D22" s="80"/>
      <c r="E22" s="80"/>
      <c r="F22" s="80"/>
      <c r="G22" s="79"/>
      <c r="H22" s="105">
        <f t="shared" ref="H22:J22" si="1">SUM(H18:H21)</f>
        <v>0</v>
      </c>
      <c r="I22" s="105">
        <f t="shared" si="1"/>
        <v>0</v>
      </c>
      <c r="J22" s="105">
        <f t="shared" si="1"/>
        <v>0</v>
      </c>
    </row>
    <row r="23" spans="1:10">
      <c r="D23" s="80"/>
      <c r="E23" s="80"/>
      <c r="F23" s="80"/>
      <c r="G23" s="70"/>
      <c r="H23" s="93"/>
      <c r="I23" s="93"/>
      <c r="J23" s="93"/>
    </row>
    <row r="24" spans="1:10">
      <c r="D24" s="93"/>
      <c r="E24" s="93"/>
      <c r="F24" s="93"/>
      <c r="H24" s="93"/>
      <c r="I24" s="93"/>
      <c r="J24" s="93"/>
    </row>
    <row r="25" spans="1:10">
      <c r="D25" s="93"/>
      <c r="E25" s="93"/>
      <c r="F25" s="93"/>
      <c r="H25" s="93"/>
      <c r="I25" s="93"/>
      <c r="J25" s="93"/>
    </row>
    <row r="26" spans="1:10">
      <c r="D26" s="93"/>
      <c r="E26" s="93"/>
      <c r="F26" s="93"/>
      <c r="H26" s="93"/>
      <c r="I26" s="93"/>
      <c r="J26" s="93"/>
    </row>
    <row r="27" spans="1:10">
      <c r="D27" s="93"/>
      <c r="E27" s="93"/>
      <c r="F27" s="93"/>
      <c r="H27" s="93"/>
      <c r="I27" s="93"/>
      <c r="J27" s="93"/>
    </row>
    <row r="28" spans="1:10">
      <c r="C28" s="93"/>
      <c r="D28" s="93"/>
      <c r="E28" s="93"/>
      <c r="F28" s="93"/>
      <c r="H28" s="93"/>
      <c r="I28" s="93"/>
      <c r="J28" s="93"/>
    </row>
    <row r="29" spans="1:10">
      <c r="D29" s="93"/>
      <c r="E29" s="93"/>
      <c r="F29" s="93"/>
      <c r="H29" s="93"/>
      <c r="I29" s="93"/>
      <c r="J29" s="93"/>
    </row>
    <row r="30" spans="1:10">
      <c r="H30" s="93"/>
      <c r="I30" s="93"/>
      <c r="J30" s="93"/>
    </row>
  </sheetData>
  <mergeCells count="7">
    <mergeCell ref="B8:E8"/>
    <mergeCell ref="H8:J8"/>
    <mergeCell ref="D10:F10"/>
    <mergeCell ref="H10:J10"/>
    <mergeCell ref="C1:E1"/>
    <mergeCell ref="C2:E2"/>
    <mergeCell ref="C3:E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FB316-CB18-4BC4-8606-0C6D3F615A88}">
  <sheetPr>
    <tabColor rgb="FF92D050"/>
  </sheetPr>
  <dimension ref="A1:R84"/>
  <sheetViews>
    <sheetView topLeftCell="A16" zoomScale="70" zoomScaleNormal="70" workbookViewId="0">
      <selection activeCell="F45" sqref="F45"/>
    </sheetView>
  </sheetViews>
  <sheetFormatPr defaultColWidth="8.7109375" defaultRowHeight="15"/>
  <cols>
    <col min="1" max="1" width="14.7109375" customWidth="1"/>
    <col min="2" max="2" width="4" customWidth="1"/>
    <col min="3" max="3" width="25" customWidth="1"/>
    <col min="4" max="16" width="14.42578125" customWidth="1"/>
  </cols>
  <sheetData>
    <row r="1" spans="1:9" ht="18">
      <c r="A1" s="121" t="s">
        <v>0</v>
      </c>
      <c r="B1" s="53"/>
      <c r="C1" s="355" t="str">
        <f>Index!$C$1</f>
        <v>The LM &amp; SM Lever Super Fund</v>
      </c>
      <c r="D1" s="355"/>
      <c r="E1" s="355"/>
      <c r="F1" s="54"/>
      <c r="H1" s="56" t="s">
        <v>2</v>
      </c>
      <c r="I1" s="56" t="s">
        <v>3</v>
      </c>
    </row>
    <row r="2" spans="1:9" ht="18">
      <c r="A2" s="121" t="s">
        <v>4</v>
      </c>
      <c r="B2" s="53"/>
      <c r="C2" s="355" t="str">
        <f>Index!$C$2</f>
        <v>LEVL</v>
      </c>
      <c r="D2" s="355"/>
      <c r="E2" s="355"/>
      <c r="F2" s="55"/>
      <c r="G2" s="59" t="s">
        <v>6</v>
      </c>
      <c r="H2" s="60" t="s">
        <v>10</v>
      </c>
      <c r="I2" s="61">
        <v>44817</v>
      </c>
    </row>
    <row r="3" spans="1:9" ht="18">
      <c r="A3" s="121" t="s">
        <v>8</v>
      </c>
      <c r="B3" s="53"/>
      <c r="C3" s="356">
        <f>Index!$C$3</f>
        <v>44742</v>
      </c>
      <c r="D3" s="355"/>
      <c r="E3" s="355"/>
      <c r="F3" s="55"/>
      <c r="G3" s="59" t="s">
        <v>9</v>
      </c>
      <c r="H3" s="60" t="str">
        <f>Index!$H$3</f>
        <v>DB</v>
      </c>
      <c r="I3" s="61">
        <f>Index!$I$3</f>
        <v>45035</v>
      </c>
    </row>
    <row r="4" spans="1:9" ht="18">
      <c r="D4" s="53"/>
      <c r="E4" s="53"/>
      <c r="F4" s="64"/>
      <c r="G4" s="65"/>
      <c r="I4" s="66"/>
    </row>
    <row r="5" spans="1:9" ht="18">
      <c r="A5" s="123" t="s">
        <v>397</v>
      </c>
      <c r="D5" s="53"/>
      <c r="E5" s="53"/>
      <c r="F5" s="64"/>
      <c r="G5" s="65"/>
      <c r="I5" s="66"/>
    </row>
    <row r="6" spans="1:9" ht="20.100000000000001" customHeight="1" thickBot="1"/>
    <row r="7" spans="1:9" ht="26.25" thickBot="1">
      <c r="A7" s="260" t="s">
        <v>102</v>
      </c>
      <c r="B7" s="411" t="s">
        <v>103</v>
      </c>
      <c r="C7" s="412"/>
      <c r="D7" s="261" t="s">
        <v>398</v>
      </c>
      <c r="E7" s="262" t="s">
        <v>106</v>
      </c>
      <c r="F7" s="262" t="s">
        <v>131</v>
      </c>
      <c r="G7" s="411" t="s">
        <v>152</v>
      </c>
      <c r="H7" s="413"/>
      <c r="I7" s="414"/>
    </row>
    <row r="8" spans="1:9">
      <c r="A8" s="263"/>
      <c r="B8" s="421"/>
      <c r="C8" s="422"/>
      <c r="D8" s="264"/>
      <c r="E8" s="265"/>
      <c r="F8" s="265"/>
      <c r="G8" s="421"/>
      <c r="H8" s="423"/>
      <c r="I8" s="422"/>
    </row>
    <row r="9" spans="1:9">
      <c r="A9" s="266"/>
      <c r="B9" s="267" t="s">
        <v>399</v>
      </c>
      <c r="C9" s="424"/>
      <c r="D9" s="424"/>
      <c r="E9" s="424"/>
      <c r="F9" s="425"/>
      <c r="G9" s="426"/>
      <c r="H9" s="427"/>
      <c r="I9" s="428"/>
    </row>
    <row r="10" spans="1:9">
      <c r="A10" s="266"/>
      <c r="B10" s="426" t="s">
        <v>400</v>
      </c>
      <c r="C10" s="429"/>
      <c r="D10" s="404" t="s">
        <v>401</v>
      </c>
      <c r="E10" s="405"/>
      <c r="F10" s="406"/>
      <c r="G10" s="426"/>
      <c r="H10" s="427"/>
      <c r="I10" s="428"/>
    </row>
    <row r="11" spans="1:9">
      <c r="A11" s="266"/>
      <c r="B11" s="426" t="s">
        <v>402</v>
      </c>
      <c r="C11" s="429"/>
      <c r="D11" s="404" t="s">
        <v>403</v>
      </c>
      <c r="E11" s="405"/>
      <c r="F11" s="406"/>
      <c r="G11" s="426"/>
      <c r="H11" s="427"/>
      <c r="I11" s="428"/>
    </row>
    <row r="12" spans="1:9">
      <c r="A12" s="266"/>
      <c r="B12" s="426" t="s">
        <v>404</v>
      </c>
      <c r="C12" s="429"/>
      <c r="D12" s="404" t="s">
        <v>405</v>
      </c>
      <c r="E12" s="405"/>
      <c r="F12" s="406"/>
      <c r="G12" s="426"/>
      <c r="H12" s="427"/>
      <c r="I12" s="428"/>
    </row>
    <row r="13" spans="1:9">
      <c r="A13" s="266"/>
      <c r="B13" s="426" t="s">
        <v>406</v>
      </c>
      <c r="C13" s="429"/>
      <c r="D13" s="404" t="s">
        <v>407</v>
      </c>
      <c r="E13" s="405"/>
      <c r="F13" s="406"/>
      <c r="G13" s="426"/>
      <c r="H13" s="427"/>
      <c r="I13" s="428"/>
    </row>
    <row r="14" spans="1:9">
      <c r="A14" s="266"/>
      <c r="B14" s="426" t="s">
        <v>408</v>
      </c>
      <c r="C14" s="429"/>
      <c r="D14" s="407" t="s">
        <v>409</v>
      </c>
      <c r="E14" s="408"/>
      <c r="F14" s="409"/>
      <c r="G14" s="426"/>
      <c r="H14" s="427"/>
      <c r="I14" s="428"/>
    </row>
    <row r="15" spans="1:9">
      <c r="A15" s="266"/>
      <c r="B15" s="426"/>
      <c r="C15" s="429"/>
      <c r="D15" s="410"/>
      <c r="E15" s="408"/>
      <c r="F15" s="409"/>
      <c r="G15" s="426"/>
      <c r="H15" s="427"/>
      <c r="I15" s="428"/>
    </row>
    <row r="16" spans="1:9">
      <c r="A16" s="266"/>
      <c r="B16" s="426" t="s">
        <v>410</v>
      </c>
      <c r="C16" s="430"/>
      <c r="D16" s="270" t="s">
        <v>411</v>
      </c>
      <c r="E16" s="270" t="s">
        <v>412</v>
      </c>
      <c r="F16" s="270" t="s">
        <v>413</v>
      </c>
      <c r="G16" s="430"/>
      <c r="H16" s="427"/>
      <c r="I16" s="428"/>
    </row>
    <row r="17" spans="1:18">
      <c r="A17" s="266"/>
      <c r="B17" s="431" t="s">
        <v>414</v>
      </c>
      <c r="C17" s="432"/>
      <c r="D17" s="271">
        <f>285*105</f>
        <v>29925</v>
      </c>
      <c r="E17" s="271">
        <f>+D17/12</f>
        <v>2493.75</v>
      </c>
      <c r="F17" s="270"/>
      <c r="G17" s="430"/>
      <c r="H17" s="427"/>
      <c r="I17" s="428"/>
    </row>
    <row r="18" spans="1:18">
      <c r="A18" s="266"/>
      <c r="B18" s="433" t="s">
        <v>415</v>
      </c>
      <c r="C18" s="434"/>
      <c r="D18" s="271">
        <f>295*105</f>
        <v>30975</v>
      </c>
      <c r="E18" s="271">
        <f>+D18/12</f>
        <v>2581.25</v>
      </c>
      <c r="F18" s="270"/>
      <c r="G18" s="430"/>
      <c r="H18" s="427"/>
      <c r="I18" s="428"/>
    </row>
    <row r="19" spans="1:18">
      <c r="A19" s="266"/>
      <c r="B19" s="435" t="s">
        <v>416</v>
      </c>
      <c r="C19" s="436"/>
      <c r="D19" s="271">
        <f>305*105</f>
        <v>32025</v>
      </c>
      <c r="E19" s="271">
        <f>+D19/12</f>
        <v>2668.75</v>
      </c>
      <c r="F19" s="270"/>
      <c r="G19" s="430"/>
      <c r="H19" s="427"/>
      <c r="I19" s="428"/>
    </row>
    <row r="20" spans="1:18">
      <c r="A20" s="266"/>
      <c r="B20" s="437"/>
      <c r="C20" s="438"/>
      <c r="D20" s="272"/>
      <c r="E20" s="273"/>
      <c r="F20" s="274"/>
      <c r="G20" s="426"/>
      <c r="H20" s="427"/>
      <c r="I20" s="428"/>
    </row>
    <row r="21" spans="1:18">
      <c r="A21" s="266"/>
      <c r="B21" s="437" t="s">
        <v>417</v>
      </c>
      <c r="C21" s="438"/>
      <c r="D21" s="272">
        <f>+E21*12</f>
        <v>30430.92</v>
      </c>
      <c r="E21" s="273">
        <v>2535.91</v>
      </c>
      <c r="F21" s="274">
        <f>+E21*1.1</f>
        <v>2789.5010000000002</v>
      </c>
      <c r="G21" s="426"/>
      <c r="H21" s="427"/>
      <c r="I21" s="428"/>
      <c r="K21" s="275"/>
    </row>
    <row r="22" spans="1:18">
      <c r="A22" s="266"/>
      <c r="B22" s="437" t="s">
        <v>418</v>
      </c>
      <c r="C22" s="438"/>
      <c r="D22" s="272">
        <f>+E22*12</f>
        <v>31344</v>
      </c>
      <c r="E22" s="273">
        <v>2612</v>
      </c>
      <c r="F22" s="274">
        <f>+E22*1.1</f>
        <v>2873.2000000000003</v>
      </c>
      <c r="G22" s="439"/>
      <c r="H22" s="427"/>
      <c r="I22" s="428"/>
      <c r="K22" s="275"/>
    </row>
    <row r="23" spans="1:18">
      <c r="A23" s="266"/>
      <c r="B23" s="437" t="s">
        <v>419</v>
      </c>
      <c r="C23" s="438"/>
      <c r="D23" s="272">
        <f>+E23*12</f>
        <v>32284.32</v>
      </c>
      <c r="E23" s="273">
        <v>2690.36</v>
      </c>
      <c r="F23" s="274">
        <f>+E23*1.1</f>
        <v>2959.3960000000002</v>
      </c>
      <c r="G23" s="439"/>
      <c r="H23" s="427"/>
      <c r="I23" s="428"/>
      <c r="K23" s="275"/>
    </row>
    <row r="24" spans="1:18">
      <c r="A24" s="266"/>
      <c r="B24" s="437" t="s">
        <v>420</v>
      </c>
      <c r="C24" s="438"/>
      <c r="D24" s="272">
        <f>+E24*12</f>
        <v>33252.840000000004</v>
      </c>
      <c r="E24" s="273">
        <v>2771.07</v>
      </c>
      <c r="F24" s="274">
        <f>+E24*1.1</f>
        <v>3048.1770000000006</v>
      </c>
      <c r="G24" s="439"/>
      <c r="H24" s="427"/>
      <c r="I24" s="428"/>
      <c r="K24" s="275"/>
    </row>
    <row r="25" spans="1:18">
      <c r="A25" s="266"/>
      <c r="B25" s="426"/>
      <c r="C25" s="429"/>
      <c r="D25" s="269"/>
      <c r="E25" s="276"/>
      <c r="F25" s="276"/>
      <c r="G25" s="426"/>
      <c r="H25" s="427"/>
      <c r="I25" s="428"/>
      <c r="K25" s="275"/>
    </row>
    <row r="26" spans="1:18">
      <c r="A26" s="266"/>
      <c r="B26" s="440" t="s">
        <v>421</v>
      </c>
      <c r="C26" s="441"/>
      <c r="D26" s="278"/>
      <c r="E26" s="279"/>
      <c r="F26" s="279"/>
      <c r="G26" s="426"/>
      <c r="H26" s="427"/>
      <c r="I26" s="428"/>
      <c r="N26" s="223"/>
      <c r="O26" s="223"/>
    </row>
    <row r="27" spans="1:18">
      <c r="A27" s="266"/>
      <c r="B27" s="442" t="s">
        <v>422</v>
      </c>
      <c r="C27" s="429"/>
      <c r="D27" s="269">
        <f>+SUM(E27:F27)</f>
        <v>5918.7920000000004</v>
      </c>
      <c r="E27" s="276">
        <f>+F27*0.1</f>
        <v>538.072</v>
      </c>
      <c r="F27" s="276">
        <f>2690.36*2</f>
        <v>5380.72</v>
      </c>
      <c r="G27" s="426" t="s">
        <v>423</v>
      </c>
      <c r="H27" s="430"/>
      <c r="I27" s="429"/>
      <c r="N27" s="223"/>
      <c r="O27" s="223"/>
    </row>
    <row r="28" spans="1:18">
      <c r="A28" s="266"/>
      <c r="B28" s="426" t="s">
        <v>424</v>
      </c>
      <c r="C28" s="429"/>
      <c r="D28" s="269">
        <f>+SUM(E28:F28)</f>
        <v>30481.77</v>
      </c>
      <c r="E28" s="276">
        <f>+F28*0.1</f>
        <v>2771.07</v>
      </c>
      <c r="F28" s="269">
        <f>2771.07*10</f>
        <v>27710.7</v>
      </c>
      <c r="G28" s="426" t="s">
        <v>425</v>
      </c>
      <c r="H28" s="427"/>
      <c r="I28" s="428"/>
      <c r="N28" s="223"/>
      <c r="O28" s="223"/>
    </row>
    <row r="29" spans="1:18">
      <c r="A29" s="266"/>
      <c r="B29" s="426"/>
      <c r="C29" s="429"/>
      <c r="D29" s="269"/>
      <c r="E29" s="276"/>
      <c r="F29" s="269"/>
      <c r="G29" s="426"/>
      <c r="H29" s="427"/>
      <c r="I29" s="428"/>
      <c r="N29" s="223"/>
      <c r="O29" s="223"/>
      <c r="P29" s="223"/>
    </row>
    <row r="30" spans="1:18">
      <c r="A30" s="266"/>
      <c r="B30" s="440" t="s">
        <v>426</v>
      </c>
      <c r="C30" s="441"/>
      <c r="D30" s="280">
        <f>SUM(D26:D29)</f>
        <v>36400.561999999998</v>
      </c>
      <c r="E30" s="280">
        <f>SUM(E26:E29)</f>
        <v>3309.1420000000003</v>
      </c>
      <c r="F30" s="280">
        <f>SUM(F26:F29)</f>
        <v>33091.42</v>
      </c>
      <c r="G30" s="426"/>
      <c r="H30" s="427"/>
      <c r="I30" s="428"/>
      <c r="N30" s="223"/>
      <c r="O30" s="281"/>
      <c r="P30" s="281"/>
      <c r="Q30" s="221"/>
      <c r="R30" s="221"/>
    </row>
    <row r="31" spans="1:18">
      <c r="A31" s="266"/>
      <c r="B31" s="426"/>
      <c r="C31" s="429"/>
      <c r="D31" s="269"/>
      <c r="E31" s="276"/>
      <c r="F31" s="278"/>
      <c r="G31" s="426"/>
      <c r="H31" s="427"/>
      <c r="I31" s="428"/>
    </row>
    <row r="32" spans="1:18">
      <c r="A32" s="266"/>
      <c r="B32" s="440" t="s">
        <v>427</v>
      </c>
      <c r="C32" s="441"/>
      <c r="D32" s="269"/>
      <c r="E32" s="276"/>
      <c r="F32" s="278"/>
      <c r="G32" s="426"/>
      <c r="H32" s="427"/>
      <c r="I32" s="428"/>
    </row>
    <row r="33" spans="1:13">
      <c r="A33" s="282">
        <v>44426</v>
      </c>
      <c r="B33" s="426" t="s">
        <v>428</v>
      </c>
      <c r="C33" s="429"/>
      <c r="D33" s="283">
        <f>+F33+E33</f>
        <v>1377.53</v>
      </c>
      <c r="E33" s="284">
        <f>+F33*0.1</f>
        <v>125.23</v>
      </c>
      <c r="F33" s="283">
        <v>1252.3</v>
      </c>
      <c r="G33" s="426"/>
      <c r="H33" s="427"/>
      <c r="I33" s="428"/>
    </row>
    <row r="34" spans="1:13">
      <c r="A34" s="282">
        <v>44596</v>
      </c>
      <c r="B34" s="426" t="s">
        <v>428</v>
      </c>
      <c r="C34" s="429"/>
      <c r="D34" s="283">
        <f>+F34+E34</f>
        <v>1377.53</v>
      </c>
      <c r="E34" s="284">
        <f>+F34*0.1</f>
        <v>125.23</v>
      </c>
      <c r="F34" s="283">
        <v>1252.3</v>
      </c>
      <c r="G34" s="426"/>
      <c r="H34" s="427"/>
      <c r="I34" s="428"/>
    </row>
    <row r="35" spans="1:13">
      <c r="A35" s="266"/>
      <c r="B35" s="277" t="s">
        <v>429</v>
      </c>
      <c r="C35" s="268"/>
      <c r="D35" s="285">
        <f>SUM(D33:D34)</f>
        <v>2755.06</v>
      </c>
      <c r="E35" s="285">
        <f>SUM(E33:E34)</f>
        <v>250.46</v>
      </c>
      <c r="F35" s="285">
        <f>SUM(F33:F34)</f>
        <v>2504.6</v>
      </c>
      <c r="G35" s="426"/>
      <c r="H35" s="427"/>
      <c r="I35" s="428"/>
    </row>
    <row r="36" spans="1:13">
      <c r="A36" s="282">
        <v>44407</v>
      </c>
      <c r="B36" s="426" t="s">
        <v>430</v>
      </c>
      <c r="C36" s="429"/>
      <c r="D36" s="283">
        <f>+F36+E36</f>
        <v>2707.5949999999998</v>
      </c>
      <c r="E36" s="284">
        <f>+F36*0.1</f>
        <v>246.14499999999998</v>
      </c>
      <c r="F36" s="283">
        <v>2461.4499999999998</v>
      </c>
      <c r="G36" s="426"/>
      <c r="H36" s="430"/>
      <c r="I36" s="429"/>
    </row>
    <row r="37" spans="1:13">
      <c r="A37" s="282">
        <v>44537</v>
      </c>
      <c r="B37" s="426" t="s">
        <v>430</v>
      </c>
      <c r="C37" s="429"/>
      <c r="D37" s="283">
        <f>+F37+E37</f>
        <v>2793.0650000000001</v>
      </c>
      <c r="E37" s="284">
        <f>+F37*0.1</f>
        <v>253.91500000000002</v>
      </c>
      <c r="F37" s="283">
        <v>2539.15</v>
      </c>
      <c r="G37" s="426"/>
      <c r="H37" s="430"/>
      <c r="I37" s="429"/>
      <c r="L37" s="91"/>
      <c r="M37" s="91"/>
    </row>
    <row r="38" spans="1:13">
      <c r="A38" s="282">
        <v>44652</v>
      </c>
      <c r="B38" s="426" t="s">
        <v>430</v>
      </c>
      <c r="C38" s="429"/>
      <c r="D38" s="283">
        <f>+F38+E38</f>
        <v>2793.4389999999999</v>
      </c>
      <c r="E38" s="284">
        <f>+F38*0.1</f>
        <v>253.94899999999998</v>
      </c>
      <c r="F38" s="283">
        <v>2539.4899999999998</v>
      </c>
      <c r="G38" s="426"/>
      <c r="H38" s="430"/>
      <c r="I38" s="429"/>
    </row>
    <row r="39" spans="1:13">
      <c r="A39" s="266"/>
      <c r="B39" s="277" t="s">
        <v>431</v>
      </c>
      <c r="C39" s="268"/>
      <c r="D39" s="285">
        <f>SUM(D36:D38)</f>
        <v>8294.0990000000002</v>
      </c>
      <c r="E39" s="285">
        <f>SUM(E36:E38)</f>
        <v>754.00900000000001</v>
      </c>
      <c r="F39" s="285">
        <f>SUM(F36:F38)</f>
        <v>7540.09</v>
      </c>
      <c r="G39" s="426"/>
      <c r="H39" s="427"/>
      <c r="I39" s="428"/>
    </row>
    <row r="40" spans="1:13">
      <c r="A40" s="282">
        <v>44405</v>
      </c>
      <c r="B40" s="426" t="s">
        <v>432</v>
      </c>
      <c r="C40" s="429"/>
      <c r="D40" s="283">
        <f>+F40+E40</f>
        <v>254.43</v>
      </c>
      <c r="E40" s="284">
        <f>+F40*0.1</f>
        <v>23.130000000000003</v>
      </c>
      <c r="F40" s="283">
        <v>231.3</v>
      </c>
      <c r="G40" s="426"/>
      <c r="H40" s="427"/>
      <c r="I40" s="428"/>
    </row>
    <row r="41" spans="1:13">
      <c r="A41" s="282">
        <v>44474</v>
      </c>
      <c r="B41" s="426" t="s">
        <v>432</v>
      </c>
      <c r="C41" s="429"/>
      <c r="D41" s="283">
        <f>+F41+E41</f>
        <v>215.33599999999998</v>
      </c>
      <c r="E41" s="284">
        <f>+F41*0.1</f>
        <v>19.576000000000001</v>
      </c>
      <c r="F41" s="283">
        <v>195.76</v>
      </c>
      <c r="G41" s="426"/>
      <c r="H41" s="427"/>
      <c r="I41" s="428"/>
    </row>
    <row r="42" spans="1:13">
      <c r="A42" s="282">
        <v>44586</v>
      </c>
      <c r="B42" s="426" t="s">
        <v>432</v>
      </c>
      <c r="C42" s="429"/>
      <c r="D42" s="283">
        <f>+F42+E42</f>
        <v>440.35199999999998</v>
      </c>
      <c r="E42" s="284">
        <f>+F42*0.1</f>
        <v>40.032000000000004</v>
      </c>
      <c r="F42" s="283">
        <v>400.32</v>
      </c>
      <c r="G42" s="426"/>
      <c r="H42" s="430"/>
      <c r="I42" s="429"/>
    </row>
    <row r="43" spans="1:13">
      <c r="A43" s="282">
        <v>44684</v>
      </c>
      <c r="B43" s="426" t="s">
        <v>432</v>
      </c>
      <c r="C43" s="429"/>
      <c r="D43" s="283">
        <f>+F43+E43</f>
        <v>402.55599999999998</v>
      </c>
      <c r="E43" s="284">
        <f>+F43*0.1</f>
        <v>36.595999999999997</v>
      </c>
      <c r="F43" s="283">
        <v>365.96</v>
      </c>
      <c r="G43" s="426"/>
      <c r="H43" s="430"/>
      <c r="I43" s="429"/>
    </row>
    <row r="44" spans="1:13">
      <c r="A44" s="266"/>
      <c r="B44" s="440" t="s">
        <v>433</v>
      </c>
      <c r="C44" s="441"/>
      <c r="D44" s="285">
        <f>SUM(D40:D43)</f>
        <v>1312.674</v>
      </c>
      <c r="E44" s="285">
        <f>SUM(E40:E43)</f>
        <v>119.334</v>
      </c>
      <c r="F44" s="285">
        <f>SUM(F40:F43)</f>
        <v>1193.3399999999999</v>
      </c>
      <c r="G44" s="426"/>
      <c r="H44" s="430"/>
      <c r="I44" s="429"/>
    </row>
    <row r="45" spans="1:13">
      <c r="A45" s="266"/>
      <c r="B45" s="440" t="s">
        <v>434</v>
      </c>
      <c r="C45" s="441"/>
      <c r="D45" s="285">
        <f>+D35+D39+D44</f>
        <v>12361.832999999999</v>
      </c>
      <c r="E45" s="285">
        <f>+E35+E39+E44</f>
        <v>1123.8030000000001</v>
      </c>
      <c r="F45" s="285">
        <f>+F35+F39+F44</f>
        <v>11238.03</v>
      </c>
      <c r="G45" s="426"/>
      <c r="H45" s="430"/>
      <c r="I45" s="429"/>
    </row>
    <row r="46" spans="1:13">
      <c r="A46" s="266"/>
      <c r="B46" s="426"/>
      <c r="C46" s="429"/>
      <c r="D46" s="286"/>
      <c r="E46" s="286"/>
      <c r="F46" s="286"/>
      <c r="G46" s="426"/>
      <c r="H46" s="430"/>
      <c r="I46" s="429"/>
    </row>
    <row r="47" spans="1:13">
      <c r="A47" s="266"/>
      <c r="B47" s="440"/>
      <c r="C47" s="441"/>
      <c r="D47" s="286"/>
      <c r="E47" s="286"/>
      <c r="F47" s="286"/>
      <c r="G47" s="426"/>
      <c r="H47" s="430"/>
      <c r="I47" s="429"/>
    </row>
    <row r="48" spans="1:13">
      <c r="A48" s="287"/>
      <c r="B48" s="440"/>
      <c r="C48" s="441"/>
      <c r="D48" s="286"/>
      <c r="E48" s="286"/>
      <c r="F48" s="286"/>
      <c r="G48" s="426"/>
      <c r="H48" s="430"/>
      <c r="I48" s="429"/>
    </row>
    <row r="49" spans="1:9">
      <c r="A49" s="287"/>
      <c r="B49" s="440"/>
      <c r="C49" s="441"/>
      <c r="D49" s="286"/>
      <c r="E49" s="286"/>
      <c r="F49" s="286"/>
      <c r="G49" s="426"/>
      <c r="H49" s="430"/>
      <c r="I49" s="429"/>
    </row>
    <row r="50" spans="1:9">
      <c r="A50" s="287"/>
      <c r="B50" s="440"/>
      <c r="C50" s="441"/>
      <c r="D50" s="286"/>
      <c r="E50" s="286"/>
      <c r="F50" s="286"/>
      <c r="G50" s="426"/>
      <c r="H50" s="430"/>
      <c r="I50" s="429"/>
    </row>
    <row r="51" spans="1:9" ht="15.75" thickBot="1">
      <c r="A51" s="288"/>
      <c r="B51" s="443"/>
      <c r="C51" s="444"/>
      <c r="D51" s="289"/>
      <c r="E51" s="289"/>
      <c r="F51" s="289"/>
      <c r="G51" s="443"/>
      <c r="H51" s="445"/>
      <c r="I51" s="444"/>
    </row>
    <row r="52" spans="1:9">
      <c r="E52" s="9"/>
      <c r="F52" s="9"/>
    </row>
    <row r="53" spans="1:9">
      <c r="E53" s="114"/>
      <c r="F53" s="114"/>
    </row>
    <row r="54" spans="1:9">
      <c r="E54" s="114"/>
      <c r="F54" s="114"/>
    </row>
    <row r="55" spans="1:9">
      <c r="E55" s="114"/>
      <c r="F55" s="114"/>
    </row>
    <row r="56" spans="1:9">
      <c r="E56" s="114"/>
      <c r="F56" s="114"/>
    </row>
    <row r="57" spans="1:9">
      <c r="E57" s="114"/>
      <c r="F57" s="114"/>
    </row>
    <row r="58" spans="1:9">
      <c r="E58" s="114"/>
      <c r="F58" s="114"/>
    </row>
    <row r="59" spans="1:9">
      <c r="E59" s="114"/>
      <c r="F59" s="114"/>
    </row>
    <row r="60" spans="1:9">
      <c r="E60" s="114"/>
      <c r="F60" s="114"/>
    </row>
    <row r="61" spans="1:9">
      <c r="E61" s="114"/>
      <c r="F61" s="114"/>
    </row>
    <row r="62" spans="1:9">
      <c r="E62" s="114"/>
      <c r="F62" s="114"/>
    </row>
    <row r="63" spans="1:9">
      <c r="E63" s="114"/>
      <c r="F63" s="114"/>
    </row>
    <row r="64" spans="1:9">
      <c r="E64" s="114"/>
      <c r="F64" s="114"/>
    </row>
    <row r="65" spans="5:6">
      <c r="E65" s="114"/>
      <c r="F65" s="114"/>
    </row>
    <row r="66" spans="5:6">
      <c r="E66" s="114"/>
      <c r="F66" s="114"/>
    </row>
    <row r="67" spans="5:6">
      <c r="E67" s="114"/>
      <c r="F67" s="114"/>
    </row>
    <row r="68" spans="5:6">
      <c r="E68" s="114"/>
      <c r="F68" s="114"/>
    </row>
    <row r="69" spans="5:6">
      <c r="E69" s="114"/>
      <c r="F69" s="114"/>
    </row>
    <row r="70" spans="5:6">
      <c r="E70" s="114"/>
      <c r="F70" s="114"/>
    </row>
    <row r="71" spans="5:6">
      <c r="E71" s="114"/>
      <c r="F71" s="114"/>
    </row>
    <row r="72" spans="5:6">
      <c r="E72" s="114"/>
      <c r="F72" s="114"/>
    </row>
    <row r="73" spans="5:6">
      <c r="E73" s="114"/>
      <c r="F73" s="114"/>
    </row>
    <row r="74" spans="5:6">
      <c r="E74" s="114"/>
      <c r="F74" s="114"/>
    </row>
    <row r="75" spans="5:6">
      <c r="E75" s="114"/>
      <c r="F75" s="114"/>
    </row>
    <row r="76" spans="5:6">
      <c r="E76" s="114"/>
      <c r="F76" s="114"/>
    </row>
    <row r="77" spans="5:6">
      <c r="E77" s="114"/>
      <c r="F77" s="114"/>
    </row>
    <row r="78" spans="5:6">
      <c r="E78" s="114"/>
      <c r="F78" s="114"/>
    </row>
    <row r="79" spans="5:6">
      <c r="E79" s="114"/>
      <c r="F79" s="114"/>
    </row>
    <row r="80" spans="5:6">
      <c r="E80" s="114"/>
      <c r="F80" s="114"/>
    </row>
    <row r="81" spans="5:6">
      <c r="E81" s="114"/>
      <c r="F81" s="114"/>
    </row>
    <row r="82" spans="5:6">
      <c r="E82" s="114"/>
      <c r="F82" s="114"/>
    </row>
    <row r="83" spans="5:6">
      <c r="E83" s="114"/>
      <c r="F83" s="114"/>
    </row>
    <row r="84" spans="5:6">
      <c r="E84" s="114"/>
      <c r="F84" s="114"/>
    </row>
  </sheetData>
  <mergeCells count="97">
    <mergeCell ref="G31:I31"/>
    <mergeCell ref="B32:C32"/>
    <mergeCell ref="G32:I32"/>
    <mergeCell ref="B33:C33"/>
    <mergeCell ref="G18:I18"/>
    <mergeCell ref="B19:C19"/>
    <mergeCell ref="G19:I19"/>
    <mergeCell ref="B27:C27"/>
    <mergeCell ref="G27:I27"/>
    <mergeCell ref="B20:C20"/>
    <mergeCell ref="G20:I20"/>
    <mergeCell ref="B21:C21"/>
    <mergeCell ref="G21:I21"/>
    <mergeCell ref="G22:I22"/>
    <mergeCell ref="B23:C23"/>
    <mergeCell ref="G23:I23"/>
    <mergeCell ref="B24:C24"/>
    <mergeCell ref="G24:I24"/>
    <mergeCell ref="B25:C25"/>
    <mergeCell ref="G15:I15"/>
    <mergeCell ref="B16:C16"/>
    <mergeCell ref="G16:I16"/>
    <mergeCell ref="B17:C17"/>
    <mergeCell ref="G17:I17"/>
    <mergeCell ref="G14:I14"/>
    <mergeCell ref="C1:E1"/>
    <mergeCell ref="C2:E2"/>
    <mergeCell ref="C3:E3"/>
    <mergeCell ref="B8:C8"/>
    <mergeCell ref="G8:I8"/>
    <mergeCell ref="G9:I9"/>
    <mergeCell ref="B11:C11"/>
    <mergeCell ref="G11:I11"/>
    <mergeCell ref="B12:C12"/>
    <mergeCell ref="G12:I12"/>
    <mergeCell ref="B14:C14"/>
    <mergeCell ref="B7:C7"/>
    <mergeCell ref="G13:I13"/>
    <mergeCell ref="G7:I7"/>
    <mergeCell ref="C9:F9"/>
    <mergeCell ref="B10:C10"/>
    <mergeCell ref="D10:F10"/>
    <mergeCell ref="G10:I10"/>
    <mergeCell ref="D11:F11"/>
    <mergeCell ref="D12:F12"/>
    <mergeCell ref="D13:F13"/>
    <mergeCell ref="D14:F14"/>
    <mergeCell ref="D15:F15"/>
    <mergeCell ref="B22:C22"/>
    <mergeCell ref="B13:C13"/>
    <mergeCell ref="B15:C15"/>
    <mergeCell ref="B18:C18"/>
    <mergeCell ref="B26:C26"/>
    <mergeCell ref="B34:C34"/>
    <mergeCell ref="B36:C36"/>
    <mergeCell ref="G36:I36"/>
    <mergeCell ref="G25:I25"/>
    <mergeCell ref="G26:I26"/>
    <mergeCell ref="G33:I33"/>
    <mergeCell ref="B28:C28"/>
    <mergeCell ref="G28:I28"/>
    <mergeCell ref="B29:C29"/>
    <mergeCell ref="G29:I29"/>
    <mergeCell ref="B30:C30"/>
    <mergeCell ref="G30:I30"/>
    <mergeCell ref="G34:I34"/>
    <mergeCell ref="G35:I35"/>
    <mergeCell ref="B31:C31"/>
    <mergeCell ref="B37:C37"/>
    <mergeCell ref="G37:I37"/>
    <mergeCell ref="B38:C38"/>
    <mergeCell ref="G38:I38"/>
    <mergeCell ref="B40:C40"/>
    <mergeCell ref="G40:I40"/>
    <mergeCell ref="G39:I39"/>
    <mergeCell ref="B41:C41"/>
    <mergeCell ref="G41:I41"/>
    <mergeCell ref="B42:C42"/>
    <mergeCell ref="G42:I42"/>
    <mergeCell ref="B43:C43"/>
    <mergeCell ref="G43:I43"/>
    <mergeCell ref="B44:C44"/>
    <mergeCell ref="G44:I44"/>
    <mergeCell ref="B45:C45"/>
    <mergeCell ref="G45:I45"/>
    <mergeCell ref="B46:C46"/>
    <mergeCell ref="G46:I46"/>
    <mergeCell ref="B50:C50"/>
    <mergeCell ref="G50:I50"/>
    <mergeCell ref="B51:C51"/>
    <mergeCell ref="G51:I51"/>
    <mergeCell ref="B47:C47"/>
    <mergeCell ref="G47:I47"/>
    <mergeCell ref="B48:C48"/>
    <mergeCell ref="G48:I48"/>
    <mergeCell ref="B49:C49"/>
    <mergeCell ref="G49:I4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9E146-CF93-42B5-87EE-60D3B59493A2}">
  <sheetPr>
    <tabColor rgb="FF92D050"/>
  </sheetPr>
  <dimension ref="A1:N34"/>
  <sheetViews>
    <sheetView workbookViewId="0">
      <selection activeCell="A11" sqref="A11:XFD31"/>
    </sheetView>
  </sheetViews>
  <sheetFormatPr defaultColWidth="8.7109375" defaultRowHeight="1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14.42578125" customWidth="1"/>
  </cols>
  <sheetData>
    <row r="1" spans="1:14" ht="18">
      <c r="A1" s="121" t="s">
        <v>0</v>
      </c>
      <c r="B1" s="53"/>
      <c r="C1" s="355" t="str">
        <f>Index!$C$1</f>
        <v>The LM &amp; SM Lever Super Fund</v>
      </c>
      <c r="D1" s="355"/>
      <c r="E1" s="355"/>
      <c r="F1" s="54"/>
      <c r="H1" s="56" t="s">
        <v>2</v>
      </c>
      <c r="I1" s="56" t="s">
        <v>3</v>
      </c>
    </row>
    <row r="2" spans="1:14" ht="18">
      <c r="A2" s="121" t="s">
        <v>4</v>
      </c>
      <c r="B2" s="53"/>
      <c r="C2" s="355" t="str">
        <f>Index!$C$2</f>
        <v>LEVL</v>
      </c>
      <c r="D2" s="355"/>
      <c r="E2" s="355"/>
      <c r="F2" s="55"/>
      <c r="G2" s="59" t="s">
        <v>6</v>
      </c>
      <c r="H2" s="60" t="s">
        <v>10</v>
      </c>
      <c r="I2" s="61">
        <v>44735</v>
      </c>
    </row>
    <row r="3" spans="1:14" ht="18">
      <c r="A3" s="121" t="s">
        <v>8</v>
      </c>
      <c r="B3" s="53"/>
      <c r="C3" s="356">
        <f>Index!$C$3</f>
        <v>44742</v>
      </c>
      <c r="D3" s="355"/>
      <c r="E3" s="355"/>
      <c r="F3" s="55"/>
      <c r="G3" s="59" t="s">
        <v>9</v>
      </c>
      <c r="H3" s="60" t="str">
        <f>Index!$H$3</f>
        <v>DB</v>
      </c>
      <c r="I3" s="61">
        <f>Index!$I$3</f>
        <v>45035</v>
      </c>
    </row>
    <row r="4" spans="1:14" ht="18">
      <c r="D4" s="53"/>
      <c r="E4" s="53"/>
      <c r="F4" s="64"/>
      <c r="G4" s="65"/>
      <c r="I4" s="66"/>
    </row>
    <row r="5" spans="1:14" ht="18">
      <c r="A5" s="123" t="s">
        <v>350</v>
      </c>
      <c r="D5" s="53"/>
      <c r="E5" s="53"/>
      <c r="F5" s="64"/>
      <c r="G5" s="65"/>
      <c r="I5" s="66"/>
    </row>
    <row r="6" spans="1:14" ht="18">
      <c r="D6" s="53"/>
      <c r="E6" s="53"/>
      <c r="F6" s="64"/>
      <c r="G6" s="65"/>
      <c r="I6" s="66"/>
    </row>
    <row r="8" spans="1:14" s="69" customFormat="1" ht="25.5">
      <c r="A8" s="67" t="s">
        <v>102</v>
      </c>
      <c r="B8" s="415" t="s">
        <v>103</v>
      </c>
      <c r="C8" s="416"/>
      <c r="D8" s="416"/>
      <c r="E8" s="417"/>
      <c r="F8" s="68" t="s">
        <v>104</v>
      </c>
      <c r="G8" s="415" t="s">
        <v>152</v>
      </c>
      <c r="H8" s="366"/>
      <c r="I8" s="367"/>
    </row>
    <row r="10" spans="1:14">
      <c r="F10" s="70"/>
    </row>
    <row r="11" spans="1:14">
      <c r="A11" s="65"/>
      <c r="B11" s="65"/>
      <c r="C11" s="65" t="s">
        <v>435</v>
      </c>
      <c r="G11" s="85" t="s">
        <v>84</v>
      </c>
      <c r="I11" s="47" t="s">
        <v>436</v>
      </c>
    </row>
    <row r="12" spans="1:14">
      <c r="A12" s="65"/>
      <c r="B12" s="65"/>
      <c r="C12" t="s">
        <v>437</v>
      </c>
      <c r="G12" s="86">
        <f>550*1.1</f>
        <v>605</v>
      </c>
      <c r="I12" s="58">
        <v>0</v>
      </c>
    </row>
    <row r="13" spans="1:14">
      <c r="A13" s="65"/>
      <c r="B13" s="65"/>
      <c r="C13" t="s">
        <v>438</v>
      </c>
      <c r="G13" s="86">
        <v>0</v>
      </c>
      <c r="I13" s="58">
        <f>+G13/11*0.75</f>
        <v>0</v>
      </c>
    </row>
    <row r="14" spans="1:14">
      <c r="C14" t="s">
        <v>439</v>
      </c>
      <c r="G14" s="86">
        <f>920*1.1</f>
        <v>1012.0000000000001</v>
      </c>
      <c r="I14" s="58">
        <v>0</v>
      </c>
    </row>
    <row r="15" spans="1:14">
      <c r="C15" t="s">
        <v>440</v>
      </c>
      <c r="G15" s="87">
        <f>650*1.1</f>
        <v>715.00000000000011</v>
      </c>
      <c r="I15" s="88">
        <f>+G15/11*0.75</f>
        <v>48.750000000000014</v>
      </c>
      <c r="K15" t="s">
        <v>441</v>
      </c>
      <c r="N15" s="89">
        <f>+G15/G16</f>
        <v>0.3066037735849057</v>
      </c>
    </row>
    <row r="16" spans="1:14">
      <c r="G16" s="70">
        <f>SUM(G12:G15)</f>
        <v>2332</v>
      </c>
      <c r="I16" s="70">
        <f>SUM(I12:I15)</f>
        <v>48.750000000000014</v>
      </c>
      <c r="K16" t="s">
        <v>442</v>
      </c>
      <c r="N16" s="90">
        <v>654.5</v>
      </c>
    </row>
    <row r="17" spans="1:14">
      <c r="A17" s="65"/>
      <c r="B17" s="65"/>
      <c r="C17" s="65"/>
      <c r="F17" s="70"/>
      <c r="K17" t="s">
        <v>443</v>
      </c>
      <c r="N17">
        <f>ROUND(N16-N18,0)</f>
        <v>455</v>
      </c>
    </row>
    <row r="18" spans="1:14">
      <c r="A18" s="77"/>
      <c r="B18" s="77"/>
      <c r="C18" s="65"/>
      <c r="F18" s="70"/>
      <c r="K18" t="s">
        <v>444</v>
      </c>
      <c r="N18">
        <f>ROUNDDOWN(N16*N15,0)</f>
        <v>200</v>
      </c>
    </row>
    <row r="19" spans="1:14">
      <c r="C19" s="77" t="s">
        <v>445</v>
      </c>
      <c r="E19" s="47" t="s">
        <v>443</v>
      </c>
      <c r="F19" s="85" t="s">
        <v>444</v>
      </c>
      <c r="G19" s="47" t="s">
        <v>84</v>
      </c>
      <c r="I19" s="47" t="s">
        <v>446</v>
      </c>
    </row>
    <row r="20" spans="1:14">
      <c r="C20" s="73">
        <v>44105</v>
      </c>
      <c r="E20" s="86">
        <v>377</v>
      </c>
      <c r="F20" s="86">
        <f>583-377</f>
        <v>206</v>
      </c>
      <c r="G20" s="91">
        <f>SUM(E20:F20)</f>
        <v>583</v>
      </c>
      <c r="I20" s="58">
        <f>+F20/11*0.75</f>
        <v>14.045454545454545</v>
      </c>
    </row>
    <row r="21" spans="1:14">
      <c r="C21" s="73">
        <v>44197</v>
      </c>
      <c r="E21" s="70">
        <f>+E20</f>
        <v>377</v>
      </c>
      <c r="F21" s="70">
        <f>+F20</f>
        <v>206</v>
      </c>
      <c r="G21" s="91">
        <f>SUM(E21:F21)</f>
        <v>583</v>
      </c>
      <c r="I21" s="58">
        <f>+F21/11*0.75</f>
        <v>14.045454545454545</v>
      </c>
    </row>
    <row r="22" spans="1:14">
      <c r="C22" s="73">
        <v>44287</v>
      </c>
      <c r="E22" s="70">
        <f>+E20</f>
        <v>377</v>
      </c>
      <c r="F22" s="70">
        <f>+F20</f>
        <v>206</v>
      </c>
      <c r="G22" s="91">
        <f>SUM(E22:F22)</f>
        <v>583</v>
      </c>
      <c r="I22" s="70">
        <f>+F22/11*0.75</f>
        <v>14.045454545454545</v>
      </c>
    </row>
    <row r="23" spans="1:14">
      <c r="C23" s="73">
        <v>44378</v>
      </c>
      <c r="E23" s="88">
        <f>+E20</f>
        <v>377</v>
      </c>
      <c r="F23" s="88">
        <f>+F20</f>
        <v>206</v>
      </c>
      <c r="G23" s="92">
        <f>SUM(E23:F23)</f>
        <v>583</v>
      </c>
      <c r="I23" s="88">
        <f>+F23/11*0.75</f>
        <v>14.045454545454545</v>
      </c>
    </row>
    <row r="24" spans="1:14">
      <c r="E24" s="91">
        <f t="shared" ref="E24:G24" si="0">SUM(E20:E23)</f>
        <v>1508</v>
      </c>
      <c r="F24" s="91">
        <f t="shared" si="0"/>
        <v>824</v>
      </c>
      <c r="G24" s="91">
        <f t="shared" si="0"/>
        <v>2332</v>
      </c>
      <c r="I24" s="91">
        <f>SUM(I20:I23)</f>
        <v>56.18181818181818</v>
      </c>
    </row>
    <row r="25" spans="1:14">
      <c r="F25" s="70"/>
    </row>
    <row r="26" spans="1:14">
      <c r="C26" s="77" t="s">
        <v>447</v>
      </c>
      <c r="F26" s="80"/>
    </row>
    <row r="27" spans="1:14">
      <c r="C27" t="s">
        <v>448</v>
      </c>
      <c r="G27" s="91">
        <f>+G12</f>
        <v>605</v>
      </c>
    </row>
    <row r="28" spans="1:14">
      <c r="C28" t="s">
        <v>449</v>
      </c>
      <c r="F28" s="80"/>
      <c r="G28" s="91">
        <f>+G13</f>
        <v>0</v>
      </c>
      <c r="I28" s="58">
        <f>+G28/11*0.75</f>
        <v>0</v>
      </c>
    </row>
    <row r="29" spans="1:14">
      <c r="C29" t="s">
        <v>443</v>
      </c>
      <c r="F29" s="79"/>
      <c r="G29" s="91">
        <f>+G14-E24</f>
        <v>-495.99999999999989</v>
      </c>
    </row>
    <row r="30" spans="1:14">
      <c r="C30" t="s">
        <v>444</v>
      </c>
      <c r="F30" s="70"/>
      <c r="G30" s="92">
        <f>+G15-F24</f>
        <v>-108.99999999999989</v>
      </c>
      <c r="I30" s="88">
        <f>+G30/11*0.75</f>
        <v>-7.4318181818181746</v>
      </c>
    </row>
    <row r="31" spans="1:14">
      <c r="G31" s="91">
        <f>SUM(G27:G30)</f>
        <v>2.2737367544323206E-13</v>
      </c>
      <c r="I31" s="58">
        <f>SUM(I27:I30)</f>
        <v>-7.4318181818181746</v>
      </c>
    </row>
    <row r="34" spans="3:3">
      <c r="C34" s="93"/>
    </row>
  </sheetData>
  <mergeCells count="5">
    <mergeCell ref="B8:E8"/>
    <mergeCell ref="G8:I8"/>
    <mergeCell ref="C1:E1"/>
    <mergeCell ref="C2:E2"/>
    <mergeCell ref="C3:E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1D65B-0D1A-4FCE-B3D8-834316A2792E}">
  <sheetPr>
    <tabColor rgb="FF92D050"/>
  </sheetPr>
  <dimension ref="A1:J20"/>
  <sheetViews>
    <sheetView workbookViewId="0"/>
  </sheetViews>
  <sheetFormatPr defaultColWidth="8.7109375" defaultRowHeight="1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5.7109375" customWidth="1"/>
    <col min="11" max="11" width="24" bestFit="1" customWidth="1"/>
    <col min="12" max="12" width="14.28515625" customWidth="1"/>
  </cols>
  <sheetData>
    <row r="1" spans="1:10" ht="18">
      <c r="A1" s="121" t="s">
        <v>0</v>
      </c>
      <c r="B1" s="53"/>
      <c r="C1" s="355" t="str">
        <f>Index!$C$1</f>
        <v>The LM &amp; SM Lever Super Fund</v>
      </c>
      <c r="D1" s="355"/>
      <c r="E1" s="355"/>
      <c r="F1" s="54"/>
      <c r="H1" s="56" t="s">
        <v>2</v>
      </c>
      <c r="I1" s="56" t="s">
        <v>3</v>
      </c>
      <c r="J1" s="230"/>
    </row>
    <row r="2" spans="1:10" ht="18">
      <c r="A2" s="121" t="s">
        <v>4</v>
      </c>
      <c r="B2" s="53"/>
      <c r="C2" s="355" t="str">
        <f>Index!$C$2</f>
        <v>LEVL</v>
      </c>
      <c r="D2" s="355"/>
      <c r="E2" s="355"/>
      <c r="F2" s="55"/>
      <c r="G2" s="59" t="s">
        <v>6</v>
      </c>
      <c r="H2" s="60" t="str">
        <f>Index!$H$2</f>
        <v>CM</v>
      </c>
      <c r="I2" s="61">
        <f>Index!$I$2</f>
        <v>44993</v>
      </c>
      <c r="J2" s="66"/>
    </row>
    <row r="3" spans="1:10" ht="18">
      <c r="A3" s="121" t="s">
        <v>8</v>
      </c>
      <c r="B3" s="53"/>
      <c r="C3" s="356">
        <f>Index!$C$3</f>
        <v>44742</v>
      </c>
      <c r="D3" s="355"/>
      <c r="E3" s="355"/>
      <c r="F3" s="55"/>
      <c r="G3" s="59" t="s">
        <v>9</v>
      </c>
      <c r="H3" s="60" t="str">
        <f>Index!$H$3</f>
        <v>DB</v>
      </c>
      <c r="I3" s="61">
        <f>Index!$I$3</f>
        <v>45035</v>
      </c>
      <c r="J3" s="66"/>
    </row>
    <row r="4" spans="1:10" ht="18">
      <c r="D4" s="53"/>
      <c r="E4" s="53"/>
      <c r="F4" s="64"/>
      <c r="G4" s="65"/>
      <c r="I4" s="66"/>
      <c r="J4" s="66"/>
    </row>
    <row r="5" spans="1:10" ht="18">
      <c r="A5" s="123" t="s">
        <v>450</v>
      </c>
      <c r="D5" s="53"/>
      <c r="E5" s="53"/>
      <c r="F5" s="64"/>
      <c r="G5" s="65"/>
      <c r="I5" s="66"/>
      <c r="J5" s="66"/>
    </row>
    <row r="6" spans="1:10" ht="18.75">
      <c r="D6" s="1"/>
      <c r="E6" s="1"/>
      <c r="F6" s="134"/>
      <c r="G6" s="4"/>
      <c r="I6" s="66"/>
      <c r="J6" s="66"/>
    </row>
    <row r="8" spans="1:10" s="69" customFormat="1" ht="25.5">
      <c r="A8" s="128" t="s">
        <v>102</v>
      </c>
      <c r="B8" s="400" t="s">
        <v>103</v>
      </c>
      <c r="C8" s="401"/>
      <c r="D8" s="401"/>
      <c r="E8" s="418"/>
      <c r="F8" s="129" t="s">
        <v>104</v>
      </c>
      <c r="G8" s="400" t="s">
        <v>152</v>
      </c>
      <c r="H8" s="366"/>
      <c r="I8" s="367"/>
    </row>
    <row r="10" spans="1:10">
      <c r="F10" s="70"/>
    </row>
    <row r="11" spans="1:10">
      <c r="A11" s="77">
        <v>30900</v>
      </c>
      <c r="B11" s="77"/>
      <c r="C11" s="77" t="s">
        <v>451</v>
      </c>
      <c r="F11" s="70"/>
    </row>
    <row r="12" spans="1:10">
      <c r="C12" t="s">
        <v>452</v>
      </c>
      <c r="G12" s="225">
        <v>775.72</v>
      </c>
    </row>
    <row r="13" spans="1:10">
      <c r="C13" t="s">
        <v>453</v>
      </c>
      <c r="G13" s="225">
        <v>645.70000000000005</v>
      </c>
    </row>
    <row r="14" spans="1:10">
      <c r="C14" t="s">
        <v>454</v>
      </c>
      <c r="G14" s="70">
        <f>(G12+G13)/11*0.75</f>
        <v>96.914999999999992</v>
      </c>
    </row>
    <row r="15" spans="1:10">
      <c r="C15" t="s">
        <v>455</v>
      </c>
      <c r="G15" s="84">
        <f>+G12+G13-G14</f>
        <v>1324.5050000000001</v>
      </c>
      <c r="H15" t="s">
        <v>456</v>
      </c>
    </row>
    <row r="20" spans="7:7">
      <c r="G20" s="221"/>
    </row>
  </sheetData>
  <mergeCells count="5">
    <mergeCell ref="B8:E8"/>
    <mergeCell ref="G8:I8"/>
    <mergeCell ref="C1:E1"/>
    <mergeCell ref="C2:E2"/>
    <mergeCell ref="C3:E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8CF74-5D9A-4619-B79A-7B21F81CC796}">
  <dimension ref="A1:N37"/>
  <sheetViews>
    <sheetView workbookViewId="0">
      <selection activeCell="D10" sqref="D10"/>
    </sheetView>
  </sheetViews>
  <sheetFormatPr defaultRowHeight="15"/>
  <cols>
    <col min="3" max="3" width="14" customWidth="1"/>
    <col min="4" max="7" width="12.42578125" customWidth="1"/>
    <col min="8" max="8" width="6.140625" customWidth="1"/>
    <col min="9" max="12" width="12.42578125" customWidth="1"/>
    <col min="13" max="13" width="4.7109375" customWidth="1"/>
    <col min="14" max="14" width="13" customWidth="1"/>
  </cols>
  <sheetData>
    <row r="1" spans="1:14" ht="18">
      <c r="A1" s="121" t="s">
        <v>0</v>
      </c>
      <c r="B1" s="53"/>
      <c r="C1" s="355" t="str">
        <f>Index!$C$1</f>
        <v>The LM &amp; SM Lever Super Fund</v>
      </c>
      <c r="D1" s="355"/>
      <c r="E1" s="355"/>
      <c r="F1" s="54"/>
      <c r="H1" s="56" t="s">
        <v>2</v>
      </c>
      <c r="I1" s="56" t="s">
        <v>3</v>
      </c>
    </row>
    <row r="2" spans="1:14" ht="18">
      <c r="A2" s="121" t="s">
        <v>4</v>
      </c>
      <c r="B2" s="53"/>
      <c r="C2" s="355" t="str">
        <f>Index!$C$2</f>
        <v>LEVL</v>
      </c>
      <c r="D2" s="355"/>
      <c r="E2" s="355"/>
      <c r="F2" s="55"/>
      <c r="G2" s="59" t="s">
        <v>6</v>
      </c>
      <c r="H2" s="60" t="str">
        <f>Index!$H$2</f>
        <v>CM</v>
      </c>
      <c r="I2" s="61">
        <f>Index!$I$2</f>
        <v>44993</v>
      </c>
    </row>
    <row r="3" spans="1:14" ht="18">
      <c r="A3" s="121" t="s">
        <v>8</v>
      </c>
      <c r="B3" s="53"/>
      <c r="C3" s="356">
        <f>Index!$C$3</f>
        <v>44742</v>
      </c>
      <c r="D3" s="355"/>
      <c r="E3" s="355"/>
      <c r="F3" s="55"/>
      <c r="G3" s="59" t="s">
        <v>9</v>
      </c>
      <c r="H3" s="60" t="str">
        <f>Index!$H$3</f>
        <v>DB</v>
      </c>
      <c r="I3" s="61">
        <f>Index!$I$3</f>
        <v>45035</v>
      </c>
    </row>
    <row r="4" spans="1:14" ht="18">
      <c r="D4" s="53"/>
      <c r="E4" s="53"/>
      <c r="F4" s="64"/>
      <c r="G4" s="65"/>
      <c r="I4" s="66"/>
    </row>
    <row r="5" spans="1:14" ht="18">
      <c r="A5" s="123" t="s">
        <v>78</v>
      </c>
      <c r="D5" s="53"/>
      <c r="E5" s="53"/>
      <c r="F5" s="64"/>
      <c r="G5" s="65"/>
      <c r="I5" s="66"/>
    </row>
    <row r="6" spans="1:14" ht="18.75">
      <c r="B6" s="1"/>
      <c r="C6" s="3"/>
      <c r="D6" s="1"/>
      <c r="E6" s="1"/>
      <c r="F6" s="124"/>
    </row>
    <row r="8" spans="1:14">
      <c r="H8" s="47"/>
    </row>
    <row r="9" spans="1:14">
      <c r="B9" t="s">
        <v>79</v>
      </c>
      <c r="D9" s="354" t="s">
        <v>80</v>
      </c>
      <c r="E9" s="354"/>
      <c r="F9" s="354"/>
      <c r="G9" s="354"/>
      <c r="I9" s="354" t="s">
        <v>81</v>
      </c>
      <c r="J9" s="354"/>
      <c r="K9" s="354"/>
      <c r="L9" s="354"/>
      <c r="N9" s="353" t="s">
        <v>82</v>
      </c>
    </row>
    <row r="10" spans="1:14">
      <c r="B10" t="s">
        <v>83</v>
      </c>
      <c r="D10" s="125"/>
      <c r="E10" s="126">
        <f>+D10</f>
        <v>0</v>
      </c>
      <c r="F10" s="126">
        <f>+D10</f>
        <v>0</v>
      </c>
      <c r="G10" s="47" t="s">
        <v>84</v>
      </c>
      <c r="I10" s="125"/>
      <c r="J10" s="126">
        <f>+I10</f>
        <v>0</v>
      </c>
      <c r="K10" s="126">
        <f>+I10</f>
        <v>0</v>
      </c>
      <c r="L10" s="47" t="s">
        <v>84</v>
      </c>
      <c r="N10" s="353"/>
    </row>
    <row r="11" spans="1:14">
      <c r="B11" t="s">
        <v>85</v>
      </c>
      <c r="D11" s="127">
        <f>(D14-D10)/365.25</f>
        <v>122.4996577686516</v>
      </c>
      <c r="E11" s="127">
        <f>(E14-E10)/365.25</f>
        <v>122.4996577686516</v>
      </c>
      <c r="F11" s="127">
        <f>(F14-F10)/365.25</f>
        <v>122.4996577686516</v>
      </c>
      <c r="G11" s="127"/>
      <c r="I11" s="127">
        <f>(I14-I10)/365.25</f>
        <v>122.4996577686516</v>
      </c>
      <c r="J11" s="127">
        <f>(J14-J10)/365.25</f>
        <v>122.4996577686516</v>
      </c>
      <c r="K11" s="127">
        <f>(K14-K10)/365.25</f>
        <v>122.4996577686516</v>
      </c>
      <c r="N11" s="353"/>
    </row>
    <row r="14" spans="1:14">
      <c r="B14" t="s">
        <v>86</v>
      </c>
      <c r="D14" s="126">
        <v>44743</v>
      </c>
      <c r="E14" s="126">
        <v>44743</v>
      </c>
      <c r="F14" s="126">
        <v>44743</v>
      </c>
      <c r="G14" s="126"/>
      <c r="I14" s="126">
        <v>44743</v>
      </c>
      <c r="J14" s="126">
        <v>44743</v>
      </c>
      <c r="K14" s="126">
        <v>44743</v>
      </c>
    </row>
    <row r="16" spans="1:14">
      <c r="B16" t="s">
        <v>87</v>
      </c>
      <c r="D16" s="222"/>
      <c r="E16" s="222"/>
      <c r="F16" s="222"/>
      <c r="I16" s="222"/>
      <c r="J16" s="222"/>
      <c r="K16" s="222"/>
    </row>
    <row r="17" spans="1:14">
      <c r="B17" t="s">
        <v>88</v>
      </c>
      <c r="D17" s="222" t="s">
        <v>89</v>
      </c>
      <c r="E17" s="222" t="s">
        <v>89</v>
      </c>
      <c r="F17" s="222" t="s">
        <v>89</v>
      </c>
      <c r="I17" s="222" t="s">
        <v>90</v>
      </c>
      <c r="J17" s="222" t="s">
        <v>89</v>
      </c>
      <c r="K17" s="222" t="s">
        <v>89</v>
      </c>
    </row>
    <row r="18" spans="1:14">
      <c r="B18" t="s">
        <v>91</v>
      </c>
      <c r="D18" s="222"/>
      <c r="E18" s="222"/>
      <c r="F18" s="222"/>
      <c r="G18" s="223"/>
      <c r="I18" s="222"/>
      <c r="J18" s="222"/>
      <c r="K18" s="222"/>
    </row>
    <row r="20" spans="1:14">
      <c r="B20" t="s">
        <v>92</v>
      </c>
      <c r="D20" s="45">
        <f>(IF(D11&lt;=$A$30,$C$29,0))+(IF((AND(D11&gt;=$A$30,D11&lt;=$A$31)),$C$30,0))+(IF((AND(D11&gt;=$A$31,D11&lt;=$A$32)),$C$31,0))+(IF((AND(D11&gt;=$A$32,D11&lt;=$A$33)),$C$32,0))+(IF((AND(D11&gt;=$A$33,D11&lt;=$A$34)),$C$33,0))+(IF((AND(D11&gt;=$A$34,D11&lt;=$A$35)),$C$34,0))+(IF((AND(D11&gt;=$A$35,D11&lt;=$B$35)),$C$35,0))</f>
        <v>0</v>
      </c>
      <c r="E20" s="45">
        <f>(IF(E11&lt;=$A$30,$C$29,0))+(IF((AND(E11&gt;=$A$30,E11&lt;=$A$31)),$C$30,0))+(IF((AND(E11&gt;=$A$31,E11&lt;=$A$32)),$C$31,0))+(IF((AND(E11&gt;=$A$32,E11&lt;=$A$33)),$C$32,0))+(IF((AND(E11&gt;=$A$33,E11&lt;=$A$34)),$C$33,0))+(IF((AND(E11&gt;=$A$34,E11&lt;=$A$35)),$C$34,0))+(IF((AND(E11&gt;=$A$35,E11&lt;=$B$35)),$C$35,0))</f>
        <v>0</v>
      </c>
      <c r="F20" s="45">
        <f>(IF(F11&lt;=$A$30,$C$29,0))+(IF((AND(F11&gt;=$A$30,F11&lt;=$A$31)),$C$30,0))+(IF((AND(F11&gt;=$A$31,F11&lt;=$A$32)),$C$31,0))+(IF((AND(F11&gt;=$A$32,F11&lt;=$A$33)),$C$32,0))+(IF((AND(F11&gt;=$A$33,F11&lt;=$A$34)),$C$33,0))+(IF((AND(F11&gt;=$A$34,F11&lt;=$A$35)),$C$34,0))+(IF((AND(F11&gt;=$A$35,F11&lt;=$B$35)),$C$35,0))</f>
        <v>0</v>
      </c>
      <c r="G20" s="45"/>
      <c r="I20" s="45">
        <f>(IF(I11&lt;=$A$30,$C$29,0))+(IF((AND(I11&gt;=$A$30,I11&lt;=$A$31)),$C$30,0))+(IF((AND(I11&gt;=$A$31,I11&lt;=$A$32)),$C$31,0))+(IF((AND(I11&gt;=$A$32,I11&lt;=$A$33)),$C$32,0))+(IF((AND(I11&gt;=$A$33,I11&lt;=$A$34)),$C$33,0))+(IF((AND(I11&gt;=$A$34,I11&lt;=$A$35)),$C$34,0))+(IF((AND(I11&gt;=$A$35,I11&lt;=$B$35)),$C$35,0))</f>
        <v>0</v>
      </c>
      <c r="J20" s="45">
        <f>(IF(J11&lt;=$A$30,$C$29,0))+(IF((AND(J11&gt;=$A$30,J11&lt;=$A$31)),$C$30,0))+(IF((AND(J11&gt;=$A$31,J11&lt;=$A$32)),$C$31,0))+(IF((AND(J11&gt;=$A$32,J11&lt;=$A$33)),$C$32,0))+(IF((AND(J11&gt;=$A$33,J11&lt;=$A$34)),$C$33,0))+(IF((AND(J11&gt;=$A$34,J11&lt;=$A$35)),$C$34,0))+(IF((AND(J11&gt;=$A$35,J11&lt;=$B$35)),$C$35,0))</f>
        <v>0</v>
      </c>
      <c r="K20" s="45">
        <f>(IF(K11&lt;=$A$30,$C$29,0))+(IF((AND(K11&gt;=$A$30,K11&lt;=$A$31)),$C$30,0))+(IF((AND(K11&gt;=$A$31,K11&lt;=$A$32)),$C$31,0))+(IF((AND(K11&gt;=$A$32,K11&lt;=$A$33)),$C$32,0))+(IF((AND(K11&gt;=$A$33,K11&lt;=$A$34)),$C$33,0))+(IF((AND(K11&gt;=$A$34,K11&lt;=$A$35)),$C$34,0))+(IF((AND(K11&gt;=$A$35,K11&lt;=$B$35)),$C$35,0))</f>
        <v>0</v>
      </c>
    </row>
    <row r="22" spans="1:14">
      <c r="B22" t="s">
        <v>93</v>
      </c>
      <c r="D22" s="91">
        <f>D18*D20</f>
        <v>0</v>
      </c>
      <c r="E22" s="91">
        <f>E18*E20</f>
        <v>0</v>
      </c>
      <c r="F22" s="91">
        <f>F18*F20</f>
        <v>0</v>
      </c>
      <c r="G22" s="91"/>
      <c r="I22" s="91">
        <f>I18*I20</f>
        <v>0</v>
      </c>
      <c r="J22" s="91">
        <f>J18*J20</f>
        <v>0</v>
      </c>
      <c r="K22" s="91">
        <f>K18*K20</f>
        <v>0</v>
      </c>
    </row>
    <row r="23" spans="1:14" s="42" customFormat="1">
      <c r="B23" s="42" t="s">
        <v>94</v>
      </c>
      <c r="D23" s="43">
        <f>D18*(D20/2)</f>
        <v>0</v>
      </c>
      <c r="E23" s="43">
        <f>E18*(E20/2)</f>
        <v>0</v>
      </c>
      <c r="F23" s="43">
        <f>F18*(F20/2)</f>
        <v>0</v>
      </c>
      <c r="G23" s="43"/>
      <c r="I23" s="43">
        <f>I18*(I20/2)</f>
        <v>0</v>
      </c>
      <c r="J23" s="43">
        <f>J18*(J20/2)</f>
        <v>0</v>
      </c>
      <c r="K23" s="43">
        <f>K18*(K20/2)</f>
        <v>0</v>
      </c>
    </row>
    <row r="24" spans="1:14" s="44" customFormat="1" ht="15.75" thickBot="1">
      <c r="B24" s="44" t="s">
        <v>95</v>
      </c>
      <c r="D24" s="51">
        <f>ROUND(D23,-1)</f>
        <v>0</v>
      </c>
      <c r="E24" s="51">
        <f>ROUND(E23,-1)</f>
        <v>0</v>
      </c>
      <c r="F24" s="51">
        <f>ROUND(F23,-1)</f>
        <v>0</v>
      </c>
      <c r="G24" s="46">
        <f>SUM(D24:F24)</f>
        <v>0</v>
      </c>
      <c r="I24" s="51">
        <f>ROUND(I23,-1)</f>
        <v>0</v>
      </c>
      <c r="J24" s="51">
        <f>ROUND(J23,-1)</f>
        <v>0</v>
      </c>
      <c r="K24" s="51">
        <f>ROUND(K23,-1)</f>
        <v>0</v>
      </c>
      <c r="L24" s="46">
        <f>SUM(I24:K24)</f>
        <v>0</v>
      </c>
      <c r="N24" s="52">
        <f>G24+L24</f>
        <v>0</v>
      </c>
    </row>
    <row r="25" spans="1:14" ht="15.75" thickTop="1"/>
    <row r="26" spans="1:14">
      <c r="B26" t="s">
        <v>96</v>
      </c>
      <c r="D26" s="91">
        <f>IF(D17="ABP",D18,D18*0.1)</f>
        <v>0</v>
      </c>
      <c r="E26" s="91">
        <f t="shared" ref="E26:F26" si="0">IF(E17="ABP",E18,E18*0.1)</f>
        <v>0</v>
      </c>
      <c r="F26" s="91">
        <f t="shared" si="0"/>
        <v>0</v>
      </c>
      <c r="G26" s="91"/>
      <c r="I26" s="91">
        <f t="shared" ref="I26:K26" si="1">IF(I17="ABP",I18,I18*0.1)</f>
        <v>0</v>
      </c>
      <c r="J26" s="91">
        <f t="shared" si="1"/>
        <v>0</v>
      </c>
      <c r="K26" s="91">
        <f t="shared" si="1"/>
        <v>0</v>
      </c>
    </row>
    <row r="30" spans="1:14">
      <c r="A30" s="49" t="s">
        <v>97</v>
      </c>
      <c r="B30" s="49" t="s">
        <v>98</v>
      </c>
      <c r="C30" s="49" t="s">
        <v>99</v>
      </c>
      <c r="D30" s="49" t="s">
        <v>100</v>
      </c>
    </row>
    <row r="31" spans="1:14">
      <c r="A31">
        <v>0</v>
      </c>
      <c r="B31">
        <v>64.989999999999995</v>
      </c>
      <c r="C31" s="48">
        <v>0.04</v>
      </c>
      <c r="D31" s="48">
        <f>+C31/2</f>
        <v>0.02</v>
      </c>
    </row>
    <row r="32" spans="1:14">
      <c r="A32">
        <v>64.989999999999995</v>
      </c>
      <c r="B32">
        <v>74</v>
      </c>
      <c r="C32" s="48">
        <v>0.05</v>
      </c>
      <c r="D32" s="48">
        <f t="shared" ref="D32:D37" si="2">+C32/2</f>
        <v>2.5000000000000001E-2</v>
      </c>
    </row>
    <row r="33" spans="1:4">
      <c r="A33">
        <v>74.989999999999995</v>
      </c>
      <c r="B33">
        <v>79</v>
      </c>
      <c r="C33" s="48">
        <v>0.06</v>
      </c>
      <c r="D33" s="48">
        <f t="shared" si="2"/>
        <v>0.03</v>
      </c>
    </row>
    <row r="34" spans="1:4">
      <c r="A34">
        <v>79.989999999999995</v>
      </c>
      <c r="B34">
        <v>84</v>
      </c>
      <c r="C34" s="50">
        <v>7.0000000000000007E-2</v>
      </c>
      <c r="D34" s="48">
        <f t="shared" si="2"/>
        <v>3.5000000000000003E-2</v>
      </c>
    </row>
    <row r="35" spans="1:4">
      <c r="A35">
        <v>84.99</v>
      </c>
      <c r="B35">
        <v>89</v>
      </c>
      <c r="C35" s="50">
        <v>0.09</v>
      </c>
      <c r="D35" s="48">
        <f t="shared" si="2"/>
        <v>4.4999999999999998E-2</v>
      </c>
    </row>
    <row r="36" spans="1:4">
      <c r="A36">
        <v>89.99</v>
      </c>
      <c r="B36">
        <v>94</v>
      </c>
      <c r="C36" s="50">
        <v>0.11</v>
      </c>
      <c r="D36" s="48">
        <f t="shared" si="2"/>
        <v>5.5E-2</v>
      </c>
    </row>
    <row r="37" spans="1:4">
      <c r="A37">
        <v>94.99</v>
      </c>
      <c r="B37">
        <v>122</v>
      </c>
      <c r="C37" s="48">
        <v>0.14000000000000001</v>
      </c>
      <c r="D37" s="48">
        <f t="shared" si="2"/>
        <v>7.0000000000000007E-2</v>
      </c>
    </row>
  </sheetData>
  <mergeCells count="6">
    <mergeCell ref="N9:N11"/>
    <mergeCell ref="D9:G9"/>
    <mergeCell ref="I9:L9"/>
    <mergeCell ref="C1:E1"/>
    <mergeCell ref="C2:E2"/>
    <mergeCell ref="C3:E3"/>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BD928-9D9A-4D00-A8A5-A57CDCB86218}">
  <sheetPr>
    <tabColor rgb="FF92D050"/>
  </sheetPr>
  <dimension ref="A1:J21"/>
  <sheetViews>
    <sheetView workbookViewId="0">
      <selection activeCell="I24" sqref="I24"/>
    </sheetView>
  </sheetViews>
  <sheetFormatPr defaultRowHeight="15"/>
  <cols>
    <col min="3" max="3" width="21" customWidth="1"/>
    <col min="4" max="6" width="12.85546875" customWidth="1"/>
  </cols>
  <sheetData>
    <row r="1" spans="1:10" ht="18">
      <c r="A1" s="121" t="s">
        <v>0</v>
      </c>
      <c r="B1" s="53"/>
      <c r="C1" s="355" t="str">
        <f>Index!$C$1</f>
        <v>The LM &amp; SM Lever Super Fund</v>
      </c>
      <c r="D1" s="355"/>
      <c r="E1" s="355"/>
      <c r="F1" s="54"/>
      <c r="H1" s="56" t="s">
        <v>2</v>
      </c>
      <c r="I1" s="56" t="s">
        <v>3</v>
      </c>
      <c r="J1" s="230"/>
    </row>
    <row r="2" spans="1:10" ht="18">
      <c r="A2" s="121" t="s">
        <v>4</v>
      </c>
      <c r="B2" s="53"/>
      <c r="C2" s="355" t="str">
        <f>Index!$C$2</f>
        <v>LEVL</v>
      </c>
      <c r="D2" s="355"/>
      <c r="E2" s="355"/>
      <c r="F2" s="55"/>
      <c r="G2" s="59" t="s">
        <v>6</v>
      </c>
      <c r="H2" s="60" t="str">
        <f>Index!$H$2</f>
        <v>CM</v>
      </c>
      <c r="I2" s="61">
        <f>Index!$I$2</f>
        <v>44993</v>
      </c>
      <c r="J2" s="66"/>
    </row>
    <row r="3" spans="1:10" ht="18">
      <c r="A3" s="121" t="s">
        <v>8</v>
      </c>
      <c r="B3" s="53"/>
      <c r="C3" s="356">
        <f>Index!$C$3</f>
        <v>44742</v>
      </c>
      <c r="D3" s="355"/>
      <c r="E3" s="355"/>
      <c r="F3" s="55"/>
      <c r="G3" s="59" t="s">
        <v>9</v>
      </c>
      <c r="H3" s="60" t="str">
        <f>Index!$H$3</f>
        <v>DB</v>
      </c>
      <c r="I3" s="61">
        <f>Index!$I$3</f>
        <v>45035</v>
      </c>
      <c r="J3" s="66"/>
    </row>
    <row r="4" spans="1:10" ht="18">
      <c r="D4" s="53"/>
      <c r="E4" s="53"/>
      <c r="F4" s="64"/>
      <c r="G4" s="65"/>
      <c r="I4" s="66"/>
      <c r="J4" s="66"/>
    </row>
    <row r="5" spans="1:10" ht="18">
      <c r="A5" s="123" t="s">
        <v>457</v>
      </c>
      <c r="D5" s="53"/>
      <c r="E5" s="53"/>
      <c r="F5" s="64"/>
      <c r="G5" s="65"/>
      <c r="I5" s="66"/>
      <c r="J5" s="66"/>
    </row>
    <row r="6" spans="1:10" ht="18.75">
      <c r="D6" s="1"/>
      <c r="E6" s="1"/>
      <c r="F6" s="134"/>
      <c r="G6" s="4"/>
      <c r="I6" s="66"/>
      <c r="J6" s="66"/>
    </row>
    <row r="7" spans="1:10">
      <c r="F7" s="58"/>
    </row>
    <row r="8" spans="1:10" s="69" customFormat="1" ht="25.5">
      <c r="A8" s="128" t="s">
        <v>102</v>
      </c>
      <c r="B8" s="400" t="s">
        <v>103</v>
      </c>
      <c r="C8" s="401"/>
      <c r="D8" s="401"/>
      <c r="E8" s="418"/>
      <c r="F8" s="129" t="s">
        <v>104</v>
      </c>
      <c r="G8" s="400" t="s">
        <v>152</v>
      </c>
      <c r="H8" s="366"/>
      <c r="I8" s="367"/>
    </row>
    <row r="9" spans="1:10">
      <c r="D9" s="47"/>
      <c r="E9" s="47"/>
    </row>
    <row r="10" spans="1:10">
      <c r="B10" s="77" t="s">
        <v>458</v>
      </c>
      <c r="D10" s="238" t="s">
        <v>459</v>
      </c>
      <c r="E10" s="47" t="s">
        <v>460</v>
      </c>
      <c r="F10" s="42" t="s">
        <v>175</v>
      </c>
    </row>
    <row r="11" spans="1:10">
      <c r="B11" t="s">
        <v>461</v>
      </c>
      <c r="D11" s="93">
        <v>1338.27</v>
      </c>
      <c r="E11">
        <v>2273.14</v>
      </c>
      <c r="F11" s="42"/>
    </row>
    <row r="12" spans="1:10">
      <c r="D12" s="93">
        <v>1123.1300000000001</v>
      </c>
      <c r="E12">
        <v>188.26</v>
      </c>
      <c r="F12" s="42"/>
    </row>
    <row r="13" spans="1:10">
      <c r="D13" s="291">
        <f>+D11+D12</f>
        <v>2461.4</v>
      </c>
      <c r="E13" s="291">
        <f>+E11+E12</f>
        <v>2461.3999999999996</v>
      </c>
      <c r="F13" s="94">
        <f>+D13-E13</f>
        <v>0</v>
      </c>
    </row>
    <row r="14" spans="1:10">
      <c r="D14" s="93"/>
      <c r="F14" s="42"/>
    </row>
    <row r="15" spans="1:10">
      <c r="D15" s="93"/>
      <c r="F15" s="42"/>
    </row>
    <row r="16" spans="1:10">
      <c r="D16" s="93"/>
      <c r="F16" s="42"/>
    </row>
    <row r="17" spans="2:6">
      <c r="B17" s="77" t="s">
        <v>462</v>
      </c>
      <c r="D17" s="238" t="s">
        <v>459</v>
      </c>
      <c r="E17" s="47" t="s">
        <v>460</v>
      </c>
      <c r="F17" s="42" t="s">
        <v>175</v>
      </c>
    </row>
    <row r="18" spans="2:6">
      <c r="B18" t="s">
        <v>461</v>
      </c>
      <c r="D18" s="93">
        <v>3221.83</v>
      </c>
      <c r="F18" s="42"/>
    </row>
    <row r="19" spans="2:6">
      <c r="D19" s="93">
        <v>4524.83</v>
      </c>
      <c r="E19">
        <v>7746.66</v>
      </c>
      <c r="F19" s="42"/>
    </row>
    <row r="20" spans="2:6">
      <c r="D20" s="291">
        <f>+D18+D19</f>
        <v>7746.66</v>
      </c>
      <c r="E20" s="291">
        <f>+E18+E19</f>
        <v>7746.66</v>
      </c>
      <c r="F20" s="94">
        <f>+D20-E20</f>
        <v>0</v>
      </c>
    </row>
    <row r="21" spans="2:6">
      <c r="D21" s="93"/>
      <c r="F21" s="42"/>
    </row>
  </sheetData>
  <mergeCells count="5">
    <mergeCell ref="C1:E1"/>
    <mergeCell ref="C2:E2"/>
    <mergeCell ref="C3:E3"/>
    <mergeCell ref="B8:E8"/>
    <mergeCell ref="G8:I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626BD-853C-4B10-894B-1C8D5B6AAD11}">
  <sheetPr>
    <tabColor rgb="FF92D050"/>
  </sheetPr>
  <dimension ref="A1:L38"/>
  <sheetViews>
    <sheetView tabSelected="1" topLeftCell="A22" workbookViewId="0">
      <selection activeCell="F15" sqref="F15"/>
    </sheetView>
  </sheetViews>
  <sheetFormatPr defaultColWidth="8.7109375" defaultRowHeight="15"/>
  <cols>
    <col min="1" max="1" width="11.85546875" customWidth="1"/>
    <col min="2" max="2" width="3" customWidth="1"/>
    <col min="3" max="3" width="19.7109375" customWidth="1"/>
    <col min="4" max="4" width="14.7109375" customWidth="1"/>
    <col min="5" max="5" width="17" customWidth="1"/>
    <col min="6" max="6" width="15.5703125" style="58" customWidth="1"/>
    <col min="7" max="7" width="14.28515625" customWidth="1"/>
    <col min="8" max="9" width="15.7109375" customWidth="1"/>
  </cols>
  <sheetData>
    <row r="1" spans="1:9" ht="18">
      <c r="A1" s="121" t="s">
        <v>0</v>
      </c>
      <c r="B1" s="53"/>
      <c r="C1" s="355" t="str">
        <f>Index!$C$1</f>
        <v>The LM &amp; SM Lever Super Fund</v>
      </c>
      <c r="D1" s="355"/>
      <c r="E1" s="355"/>
      <c r="F1" s="54"/>
      <c r="H1" s="56" t="s">
        <v>2</v>
      </c>
      <c r="I1" s="56" t="s">
        <v>3</v>
      </c>
    </row>
    <row r="2" spans="1:9" ht="18">
      <c r="A2" s="121" t="s">
        <v>4</v>
      </c>
      <c r="B2" s="53"/>
      <c r="C2" s="355" t="str">
        <f>Index!$C$2</f>
        <v>LEVL</v>
      </c>
      <c r="D2" s="355"/>
      <c r="E2" s="355"/>
      <c r="F2" s="55"/>
      <c r="G2" s="59" t="s">
        <v>6</v>
      </c>
      <c r="H2" s="60" t="str">
        <f>Index!$H$2</f>
        <v>CM</v>
      </c>
      <c r="I2" s="61">
        <f>Index!$I$2</f>
        <v>44993</v>
      </c>
    </row>
    <row r="3" spans="1:9" ht="18">
      <c r="A3" s="121" t="s">
        <v>8</v>
      </c>
      <c r="B3" s="53"/>
      <c r="C3" s="356">
        <f>Index!$C$3</f>
        <v>44742</v>
      </c>
      <c r="D3" s="355"/>
      <c r="E3" s="355"/>
      <c r="F3" s="55"/>
      <c r="G3" s="59" t="s">
        <v>9</v>
      </c>
      <c r="H3" s="60" t="str">
        <f>Index!$H$3</f>
        <v>DB</v>
      </c>
      <c r="I3" s="61">
        <f>Index!$I$3</f>
        <v>45035</v>
      </c>
    </row>
    <row r="4" spans="1:9" ht="18">
      <c r="D4" s="53"/>
      <c r="E4" s="53"/>
      <c r="F4" s="64"/>
      <c r="G4" s="65"/>
      <c r="I4" s="66"/>
    </row>
    <row r="5" spans="1:9" ht="18">
      <c r="A5" s="123" t="s">
        <v>101</v>
      </c>
      <c r="D5" s="53"/>
      <c r="E5" s="53"/>
      <c r="F5" s="64"/>
      <c r="G5" s="65"/>
      <c r="I5" s="66"/>
    </row>
    <row r="6" spans="1:9" ht="18">
      <c r="A6" s="123"/>
      <c r="D6" s="53"/>
      <c r="E6" s="53"/>
      <c r="F6" s="64"/>
      <c r="G6" s="65"/>
      <c r="I6" s="66"/>
    </row>
    <row r="8" spans="1:9" s="69" customFormat="1" ht="30">
      <c r="A8" s="135" t="s">
        <v>102</v>
      </c>
      <c r="B8" s="357" t="s">
        <v>103</v>
      </c>
      <c r="C8" s="358"/>
      <c r="D8" s="358"/>
      <c r="E8" s="359"/>
      <c r="F8" s="136" t="s">
        <v>104</v>
      </c>
      <c r="G8" s="136" t="s">
        <v>104</v>
      </c>
      <c r="H8" s="136" t="s">
        <v>104</v>
      </c>
      <c r="I8" s="83"/>
    </row>
    <row r="10" spans="1:9">
      <c r="F10" s="70"/>
    </row>
    <row r="11" spans="1:9">
      <c r="A11" s="71"/>
      <c r="B11" s="71"/>
      <c r="C11" s="71" t="s">
        <v>105</v>
      </c>
      <c r="F11" s="72" t="s">
        <v>106</v>
      </c>
      <c r="G11" s="47" t="s">
        <v>107</v>
      </c>
      <c r="H11" s="47" t="s">
        <v>84</v>
      </c>
    </row>
    <row r="12" spans="1:9">
      <c r="A12" s="71"/>
      <c r="B12" s="71"/>
      <c r="C12" s="71"/>
      <c r="F12" s="72"/>
      <c r="G12" s="47"/>
      <c r="H12" s="47"/>
    </row>
    <row r="13" spans="1:9">
      <c r="C13" s="73">
        <v>44805</v>
      </c>
      <c r="F13" s="74">
        <v>921</v>
      </c>
      <c r="G13" s="130">
        <v>2108</v>
      </c>
      <c r="H13" s="131">
        <f>SUM(F13:G13)</f>
        <v>3029</v>
      </c>
      <c r="I13" t="s">
        <v>108</v>
      </c>
    </row>
    <row r="14" spans="1:9">
      <c r="C14" s="73">
        <v>44896</v>
      </c>
      <c r="F14" s="74">
        <v>840</v>
      </c>
      <c r="G14" s="130">
        <v>2108</v>
      </c>
      <c r="H14" s="131">
        <f>SUM(F14:G14)</f>
        <v>2948</v>
      </c>
      <c r="I14" t="s">
        <v>109</v>
      </c>
    </row>
    <row r="15" spans="1:9">
      <c r="C15" s="73">
        <v>44986</v>
      </c>
      <c r="F15" s="74">
        <v>814</v>
      </c>
      <c r="G15" s="130">
        <v>2108</v>
      </c>
      <c r="H15" s="131">
        <f>SUM(F15:G15)</f>
        <v>2922</v>
      </c>
      <c r="I15" t="s">
        <v>110</v>
      </c>
    </row>
    <row r="16" spans="1:9">
      <c r="F16" s="75"/>
      <c r="G16" s="131"/>
      <c r="H16" s="131"/>
      <c r="I16" t="s">
        <v>111</v>
      </c>
    </row>
    <row r="17" spans="3:9" ht="15.75" thickBot="1">
      <c r="F17" s="76">
        <f>SUM(F13:F16)</f>
        <v>2575</v>
      </c>
      <c r="G17" s="76">
        <f>SUM(G13:G16)</f>
        <v>6324</v>
      </c>
      <c r="H17" s="76">
        <f>SUM(H13:H16)</f>
        <v>8899</v>
      </c>
    </row>
    <row r="19" spans="3:9">
      <c r="C19" s="77" t="s">
        <v>112</v>
      </c>
      <c r="F19">
        <f>COUNT(F13:F15)</f>
        <v>3</v>
      </c>
      <c r="G19">
        <f>COUNT(G13:G15)</f>
        <v>3</v>
      </c>
    </row>
    <row r="21" spans="3:9">
      <c r="C21" t="s">
        <v>113</v>
      </c>
      <c r="F21" s="74">
        <v>3534.52</v>
      </c>
      <c r="I21" t="s">
        <v>114</v>
      </c>
    </row>
    <row r="23" spans="3:9">
      <c r="C23" t="s">
        <v>115</v>
      </c>
      <c r="F23" s="78"/>
      <c r="G23" s="132">
        <v>9017.7000000000007</v>
      </c>
      <c r="H23" s="79"/>
      <c r="I23" t="s">
        <v>116</v>
      </c>
    </row>
    <row r="24" spans="3:9">
      <c r="C24" t="s">
        <v>117</v>
      </c>
      <c r="F24" s="80"/>
      <c r="G24" s="132">
        <v>710.35</v>
      </c>
      <c r="H24" s="79"/>
    </row>
    <row r="25" spans="3:9">
      <c r="C25" t="s">
        <v>118</v>
      </c>
      <c r="F25" s="79"/>
      <c r="G25" s="133">
        <v>145.63999999999999</v>
      </c>
      <c r="H25" s="79"/>
    </row>
    <row r="26" spans="3:9">
      <c r="C26" t="s">
        <v>119</v>
      </c>
      <c r="F26" s="81"/>
      <c r="G26" s="79">
        <f>G23-SUM(G24:G25)</f>
        <v>8161.7100000000009</v>
      </c>
      <c r="H26" s="79"/>
    </row>
    <row r="27" spans="3:9">
      <c r="F27" s="78"/>
      <c r="G27" s="79"/>
      <c r="H27" s="79"/>
    </row>
    <row r="28" spans="3:9">
      <c r="F28" s="78"/>
      <c r="G28" s="79"/>
      <c r="H28" s="79"/>
    </row>
    <row r="29" spans="3:9">
      <c r="C29" t="s">
        <v>120</v>
      </c>
      <c r="F29" s="75">
        <f>ROUND(F21/4,0)</f>
        <v>884</v>
      </c>
      <c r="G29" s="131">
        <f>ROUND(G26/4,0)</f>
        <v>2040</v>
      </c>
      <c r="H29" s="79"/>
    </row>
    <row r="30" spans="3:9">
      <c r="C30" t="s">
        <v>121</v>
      </c>
      <c r="F30" s="75">
        <f>(F29*F19)-F17</f>
        <v>77</v>
      </c>
      <c r="G30" s="75">
        <f>(G29*G19)-G17</f>
        <v>-204</v>
      </c>
      <c r="H30" s="79"/>
    </row>
    <row r="31" spans="3:9">
      <c r="F31" s="78"/>
      <c r="G31" s="79"/>
      <c r="H31" s="79"/>
    </row>
    <row r="32" spans="3:9">
      <c r="C32" s="77" t="s">
        <v>122</v>
      </c>
      <c r="F32" s="78"/>
      <c r="G32" s="79"/>
      <c r="H32" s="79"/>
    </row>
    <row r="33" spans="3:12">
      <c r="C33" s="73">
        <v>44805</v>
      </c>
      <c r="F33" s="82">
        <f>IF(F19&gt;0,F13,0)</f>
        <v>921</v>
      </c>
      <c r="G33" s="82">
        <f>IF(G19&gt;0,G13,0)</f>
        <v>2108</v>
      </c>
      <c r="H33" s="131">
        <f t="shared" ref="H33:H36" si="0">SUM(F33:G33)</f>
        <v>3029</v>
      </c>
      <c r="L33" s="131"/>
    </row>
    <row r="34" spans="3:12">
      <c r="C34" s="73">
        <v>44896</v>
      </c>
      <c r="F34" s="82">
        <f>IF(F19=1,F29+F30,F14)</f>
        <v>840</v>
      </c>
      <c r="G34" s="82">
        <f>IF(G19=1,G29+G30,G14)</f>
        <v>2108</v>
      </c>
      <c r="H34" s="131">
        <f t="shared" si="0"/>
        <v>2948</v>
      </c>
      <c r="L34" s="131"/>
    </row>
    <row r="35" spans="3:12">
      <c r="C35" s="73">
        <v>44986</v>
      </c>
      <c r="F35" s="82">
        <f>IF(F19=1,F29,IF(F19=2,F29+F30,F14))</f>
        <v>840</v>
      </c>
      <c r="G35" s="82">
        <f>IF(G19=1,G29,IF(G19=2,G29+G30,G14))</f>
        <v>2108</v>
      </c>
      <c r="H35" s="131">
        <f t="shared" si="0"/>
        <v>2948</v>
      </c>
    </row>
    <row r="36" spans="3:12">
      <c r="C36" s="73">
        <v>45078</v>
      </c>
      <c r="F36" s="82">
        <f>F21-SUM(F33:F35)</f>
        <v>933.52</v>
      </c>
      <c r="G36" s="82">
        <f>ROUND(G26,0)-SUM(G33:G35)</f>
        <v>1838</v>
      </c>
      <c r="H36" s="131">
        <f t="shared" si="0"/>
        <v>2771.52</v>
      </c>
    </row>
    <row r="38" spans="3:12" ht="15.75" thickBot="1">
      <c r="F38" s="76">
        <f>SUM(F33:F37)</f>
        <v>3534.52</v>
      </c>
      <c r="G38" s="76">
        <f>SUM(G33:G37)</f>
        <v>8162</v>
      </c>
      <c r="H38" s="76">
        <f>SUM(H33:H37)</f>
        <v>11696.52</v>
      </c>
    </row>
  </sheetData>
  <mergeCells count="4">
    <mergeCell ref="B8:E8"/>
    <mergeCell ref="C1:E1"/>
    <mergeCell ref="C2:E2"/>
    <mergeCell ref="C3:E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5326A-872F-4132-B5AA-39417B0B3AF9}">
  <sheetPr>
    <tabColor rgb="FF92D050"/>
  </sheetPr>
  <dimension ref="A1:J54"/>
  <sheetViews>
    <sheetView zoomScaleNormal="100" workbookViewId="0">
      <selection activeCell="C48" sqref="C48"/>
    </sheetView>
  </sheetViews>
  <sheetFormatPr defaultColWidth="11.42578125" defaultRowHeight="16.5"/>
  <cols>
    <col min="1" max="1" width="13.7109375" style="109" customWidth="1"/>
    <col min="2" max="2" width="34.7109375" style="106" customWidth="1"/>
    <col min="3" max="8" width="14.5703125" style="106" customWidth="1"/>
    <col min="9" max="9" width="14.5703125" style="110" customWidth="1"/>
    <col min="10" max="10" width="9.5703125" style="106" customWidth="1"/>
    <col min="11" max="11" width="8.28515625" style="106" customWidth="1"/>
    <col min="12" max="16384" width="11.42578125" style="106"/>
  </cols>
  <sheetData>
    <row r="1" spans="1:10" customFormat="1" ht="18">
      <c r="A1" s="121" t="s">
        <v>0</v>
      </c>
      <c r="B1" s="355" t="str">
        <f>Index!$C$1</f>
        <v>The LM &amp; SM Lever Super Fund</v>
      </c>
      <c r="C1" s="355"/>
      <c r="D1" s="355"/>
      <c r="F1" s="54"/>
      <c r="H1" s="56" t="s">
        <v>2</v>
      </c>
      <c r="I1" s="56" t="s">
        <v>3</v>
      </c>
    </row>
    <row r="2" spans="1:10" customFormat="1" ht="18">
      <c r="A2" s="121" t="s">
        <v>4</v>
      </c>
      <c r="B2" s="355" t="str">
        <f>Index!$C$2</f>
        <v>LEVL</v>
      </c>
      <c r="C2" s="355"/>
      <c r="D2" s="355"/>
      <c r="F2" s="55"/>
      <c r="G2" s="59" t="s">
        <v>6</v>
      </c>
      <c r="H2" s="60" t="str">
        <f>Index!$H$2</f>
        <v>CM</v>
      </c>
      <c r="I2" s="61">
        <f>Index!$I$2</f>
        <v>44993</v>
      </c>
    </row>
    <row r="3" spans="1:10" customFormat="1" ht="18">
      <c r="A3" s="121" t="s">
        <v>8</v>
      </c>
      <c r="B3" s="356">
        <f>Index!$C$3</f>
        <v>44742</v>
      </c>
      <c r="C3" s="356"/>
      <c r="D3" s="356"/>
      <c r="F3" s="55"/>
      <c r="G3" s="59" t="s">
        <v>9</v>
      </c>
      <c r="H3" s="60" t="str">
        <f>Index!$H$3</f>
        <v>DB</v>
      </c>
      <c r="I3" s="61">
        <f>Index!$I$3</f>
        <v>45035</v>
      </c>
    </row>
    <row r="4" spans="1:10" customFormat="1" ht="18">
      <c r="A4" s="121"/>
      <c r="B4" s="53"/>
      <c r="D4" s="53"/>
      <c r="E4" s="53"/>
      <c r="F4" s="55"/>
      <c r="G4" s="122"/>
      <c r="H4" s="65"/>
      <c r="I4" s="66"/>
    </row>
    <row r="5" spans="1:10" customFormat="1" ht="18">
      <c r="A5" s="53" t="s">
        <v>123</v>
      </c>
      <c r="C5" s="57"/>
      <c r="F5" s="58"/>
      <c r="G5" s="58"/>
      <c r="H5" s="65"/>
      <c r="J5" s="66"/>
    </row>
    <row r="6" spans="1:10" ht="18">
      <c r="A6" s="62"/>
      <c r="B6" s="63"/>
      <c r="C6" s="107"/>
      <c r="D6" s="53"/>
      <c r="E6" s="53"/>
      <c r="F6" s="65"/>
      <c r="G6" s="65"/>
      <c r="H6" s="65"/>
      <c r="I6" s="108"/>
    </row>
    <row r="7" spans="1:10" s="142" customFormat="1" ht="15.75" thickBot="1">
      <c r="A7" s="144"/>
      <c r="C7" s="161"/>
      <c r="D7" s="161"/>
      <c r="E7" s="161"/>
      <c r="F7" s="114"/>
      <c r="G7" s="161"/>
      <c r="H7" s="161"/>
      <c r="I7" s="161"/>
    </row>
    <row r="8" spans="1:10" s="142" customFormat="1" ht="30.75" thickBot="1">
      <c r="A8" s="362" t="s">
        <v>124</v>
      </c>
      <c r="B8" s="363"/>
      <c r="C8" s="162" t="s">
        <v>125</v>
      </c>
      <c r="D8" s="162" t="s">
        <v>126</v>
      </c>
      <c r="E8" s="162" t="s">
        <v>127</v>
      </c>
      <c r="F8" s="162" t="s">
        <v>128</v>
      </c>
      <c r="G8" s="162" t="s">
        <v>129</v>
      </c>
      <c r="H8" s="162" t="s">
        <v>130</v>
      </c>
      <c r="I8" s="163" t="s">
        <v>131</v>
      </c>
    </row>
    <row r="9" spans="1:10" s="142" customFormat="1" ht="15">
      <c r="A9" s="164" t="s">
        <v>132</v>
      </c>
      <c r="B9" s="165"/>
      <c r="C9" s="166">
        <v>1209</v>
      </c>
      <c r="D9" s="166">
        <v>314</v>
      </c>
      <c r="E9" s="166"/>
      <c r="F9" s="167">
        <v>1630</v>
      </c>
      <c r="G9" s="166"/>
      <c r="H9" s="166"/>
      <c r="I9" s="166">
        <f>C9-D9+E9+F9+G9+H9</f>
        <v>2525</v>
      </c>
      <c r="J9" s="290"/>
    </row>
    <row r="10" spans="1:10" s="142" customFormat="1" ht="15">
      <c r="A10" s="168" t="s">
        <v>133</v>
      </c>
      <c r="B10" s="169"/>
      <c r="C10" s="166">
        <v>1104</v>
      </c>
      <c r="D10" s="170">
        <v>313</v>
      </c>
      <c r="E10" s="170"/>
      <c r="F10" s="171">
        <v>1630</v>
      </c>
      <c r="G10" s="170"/>
      <c r="H10" s="170"/>
      <c r="I10" s="166">
        <f>C10-D10+E10+F10+G10+H10</f>
        <v>2421</v>
      </c>
      <c r="J10" s="290"/>
    </row>
    <row r="11" spans="1:10" s="142" customFormat="1" ht="15">
      <c r="A11" s="168" t="s">
        <v>134</v>
      </c>
      <c r="B11" s="169"/>
      <c r="C11" s="166">
        <v>996</v>
      </c>
      <c r="D11" s="170">
        <v>59</v>
      </c>
      <c r="E11" s="170"/>
      <c r="F11" s="171">
        <v>1630</v>
      </c>
      <c r="G11" s="170"/>
      <c r="H11" s="170"/>
      <c r="I11" s="166">
        <f>C11-D11+E11+F11+G11+H11</f>
        <v>2567</v>
      </c>
      <c r="J11" s="290"/>
    </row>
    <row r="12" spans="1:10" s="142" customFormat="1" ht="15">
      <c r="A12" s="168" t="s">
        <v>135</v>
      </c>
      <c r="B12" s="169"/>
      <c r="C12" s="166">
        <v>1121</v>
      </c>
      <c r="D12" s="170">
        <v>313</v>
      </c>
      <c r="E12" s="170"/>
      <c r="F12" s="171">
        <v>3377</v>
      </c>
      <c r="G12" s="170"/>
      <c r="H12" s="170"/>
      <c r="I12" s="166">
        <f>C12-D12+E12+F12+G12+H12</f>
        <v>4185</v>
      </c>
      <c r="J12" s="290"/>
    </row>
    <row r="13" spans="1:10" s="142" customFormat="1" ht="15">
      <c r="A13" s="172"/>
      <c r="B13" s="161" t="s">
        <v>136</v>
      </c>
      <c r="C13" s="173">
        <f t="shared" ref="C13:I13" si="0">SUM(C9:C12)</f>
        <v>4430</v>
      </c>
      <c r="D13" s="173">
        <f t="shared" si="0"/>
        <v>999</v>
      </c>
      <c r="E13" s="173">
        <f t="shared" si="0"/>
        <v>0</v>
      </c>
      <c r="F13" s="173">
        <f t="shared" si="0"/>
        <v>8267</v>
      </c>
      <c r="G13" s="173">
        <f t="shared" si="0"/>
        <v>0</v>
      </c>
      <c r="H13" s="173">
        <f t="shared" si="0"/>
        <v>0</v>
      </c>
      <c r="I13" s="173">
        <f t="shared" si="0"/>
        <v>11698</v>
      </c>
    </row>
    <row r="14" spans="1:10" s="142" customFormat="1" ht="15.75" thickBot="1">
      <c r="A14" s="172"/>
      <c r="B14" s="172"/>
      <c r="C14" s="161"/>
      <c r="D14" s="161"/>
      <c r="E14" s="161"/>
      <c r="F14" s="114"/>
      <c r="G14" s="161"/>
      <c r="H14" s="161"/>
      <c r="I14" s="161"/>
      <c r="J14" s="290"/>
    </row>
    <row r="15" spans="1:10" s="142" customFormat="1" ht="30.75" thickBot="1">
      <c r="A15" s="362" t="s">
        <v>137</v>
      </c>
      <c r="B15" s="419"/>
      <c r="C15" s="162" t="s">
        <v>125</v>
      </c>
      <c r="D15" s="162" t="s">
        <v>126</v>
      </c>
      <c r="E15" s="162" t="s">
        <v>127</v>
      </c>
      <c r="F15" s="162" t="s">
        <v>128</v>
      </c>
      <c r="G15" s="162" t="s">
        <v>129</v>
      </c>
      <c r="H15" s="162" t="s">
        <v>130</v>
      </c>
      <c r="I15" s="163" t="s">
        <v>131</v>
      </c>
    </row>
    <row r="16" spans="1:10" s="142" customFormat="1" ht="15">
      <c r="A16" s="174" t="s">
        <v>132</v>
      </c>
      <c r="B16" s="165"/>
      <c r="C16" s="166"/>
      <c r="D16" s="166"/>
      <c r="E16" s="166"/>
      <c r="F16" s="167"/>
      <c r="G16" s="166"/>
      <c r="H16" s="166"/>
      <c r="I16" s="166">
        <f>C16-D16+E16+F16+G16+H16</f>
        <v>0</v>
      </c>
    </row>
    <row r="17" spans="1:9" s="142" customFormat="1" ht="15">
      <c r="A17" s="175" t="s">
        <v>133</v>
      </c>
      <c r="B17" s="169"/>
      <c r="C17" s="166"/>
      <c r="D17" s="170"/>
      <c r="E17" s="170"/>
      <c r="F17" s="171"/>
      <c r="G17" s="170"/>
      <c r="H17" s="170"/>
      <c r="I17" s="166">
        <f>C17-D17+E17+F17+G17+H17</f>
        <v>0</v>
      </c>
    </row>
    <row r="18" spans="1:9" s="142" customFormat="1" ht="15">
      <c r="A18" s="175" t="s">
        <v>134</v>
      </c>
      <c r="B18" s="169"/>
      <c r="C18" s="166"/>
      <c r="D18" s="170"/>
      <c r="E18" s="170"/>
      <c r="F18" s="171"/>
      <c r="G18" s="170"/>
      <c r="H18" s="170"/>
      <c r="I18" s="166">
        <f>C18-D18+E18+F18+G18+H18</f>
        <v>0</v>
      </c>
    </row>
    <row r="19" spans="1:9" s="142" customFormat="1" ht="15">
      <c r="A19" s="175" t="s">
        <v>138</v>
      </c>
      <c r="B19" s="169"/>
      <c r="C19" s="166">
        <v>4432</v>
      </c>
      <c r="D19" s="170">
        <v>909</v>
      </c>
      <c r="E19" s="170"/>
      <c r="F19" s="171">
        <v>8267</v>
      </c>
      <c r="G19" s="170"/>
      <c r="H19" s="170"/>
      <c r="I19" s="166">
        <f>C19-D19+E19+F19+G19+H19</f>
        <v>11790</v>
      </c>
    </row>
    <row r="20" spans="1:9" s="142" customFormat="1" ht="15">
      <c r="A20" s="172"/>
      <c r="B20" s="161" t="s">
        <v>136</v>
      </c>
      <c r="C20" s="176">
        <f t="shared" ref="C20:I20" si="1">SUM(C16:C19)</f>
        <v>4432</v>
      </c>
      <c r="D20" s="176">
        <f t="shared" si="1"/>
        <v>909</v>
      </c>
      <c r="E20" s="176">
        <f t="shared" si="1"/>
        <v>0</v>
      </c>
      <c r="F20" s="176">
        <f t="shared" si="1"/>
        <v>8267</v>
      </c>
      <c r="G20" s="176">
        <f t="shared" si="1"/>
        <v>0</v>
      </c>
      <c r="H20" s="176">
        <f t="shared" si="1"/>
        <v>0</v>
      </c>
      <c r="I20" s="176">
        <f>SUM(I16:I19)</f>
        <v>11790</v>
      </c>
    </row>
    <row r="21" spans="1:9" s="142" customFormat="1" ht="15">
      <c r="A21" s="144"/>
    </row>
    <row r="22" spans="1:9" s="142" customFormat="1" ht="15">
      <c r="A22" s="364" t="s">
        <v>139</v>
      </c>
      <c r="B22" s="365"/>
      <c r="C22" s="177">
        <f t="shared" ref="C22:I22" si="2">+C13-C20</f>
        <v>-2</v>
      </c>
      <c r="D22" s="177">
        <f>+D13-D20</f>
        <v>90</v>
      </c>
      <c r="E22" s="177">
        <f t="shared" si="2"/>
        <v>0</v>
      </c>
      <c r="F22" s="177">
        <f t="shared" si="2"/>
        <v>0</v>
      </c>
      <c r="G22" s="177">
        <f t="shared" si="2"/>
        <v>0</v>
      </c>
      <c r="H22" s="177">
        <f t="shared" si="2"/>
        <v>0</v>
      </c>
      <c r="I22" s="177">
        <f>+I13-I20</f>
        <v>-92</v>
      </c>
    </row>
    <row r="23" spans="1:9" s="142" customFormat="1" ht="15">
      <c r="A23" s="144"/>
    </row>
    <row r="24" spans="1:9" s="142" customFormat="1" ht="15">
      <c r="A24" s="142" t="s">
        <v>140</v>
      </c>
      <c r="B24" s="143"/>
      <c r="G24" s="143"/>
    </row>
    <row r="25" spans="1:9" s="142" customFormat="1" ht="15">
      <c r="B25" s="143"/>
      <c r="C25" s="360" t="s">
        <v>141</v>
      </c>
      <c r="D25" s="360"/>
      <c r="E25" s="360" t="s">
        <v>142</v>
      </c>
      <c r="F25" s="360"/>
      <c r="G25" s="361" t="s">
        <v>143</v>
      </c>
      <c r="H25" s="361"/>
    </row>
    <row r="26" spans="1:9" s="142" customFormat="1" ht="15">
      <c r="A26" s="144" t="s">
        <v>3</v>
      </c>
      <c r="B26" s="142" t="s">
        <v>144</v>
      </c>
      <c r="C26" s="142" t="s">
        <v>125</v>
      </c>
      <c r="D26" s="142" t="s">
        <v>126</v>
      </c>
      <c r="E26" s="142" t="s">
        <v>125</v>
      </c>
      <c r="F26" s="142" t="s">
        <v>126</v>
      </c>
      <c r="G26" s="142" t="s">
        <v>125</v>
      </c>
      <c r="H26" s="142" t="s">
        <v>126</v>
      </c>
    </row>
    <row r="27" spans="1:9" s="142" customFormat="1" ht="15">
      <c r="A27" s="145"/>
      <c r="C27" s="146"/>
      <c r="D27" s="146"/>
      <c r="E27" s="146"/>
      <c r="F27" s="146"/>
      <c r="G27" s="146"/>
      <c r="H27" s="146">
        <f>D27-F27</f>
        <v>0</v>
      </c>
    </row>
    <row r="28" spans="1:9" s="142" customFormat="1" ht="15">
      <c r="A28" s="147"/>
      <c r="C28" s="146"/>
      <c r="D28" s="146"/>
      <c r="E28" s="146"/>
      <c r="F28" s="146"/>
      <c r="G28" s="146"/>
      <c r="H28" s="146">
        <f t="shared" ref="H28:H40" si="3">D28-F28</f>
        <v>0</v>
      </c>
    </row>
    <row r="29" spans="1:9" s="142" customFormat="1" ht="15">
      <c r="A29" s="145"/>
      <c r="B29" s="148"/>
      <c r="C29" s="146"/>
      <c r="D29" s="146"/>
      <c r="E29" s="146"/>
      <c r="F29" s="146"/>
      <c r="G29" s="146"/>
      <c r="H29" s="146">
        <f t="shared" si="3"/>
        <v>0</v>
      </c>
    </row>
    <row r="30" spans="1:9" s="142" customFormat="1" ht="15">
      <c r="A30" s="147"/>
      <c r="C30" s="146"/>
      <c r="D30" s="146"/>
      <c r="E30" s="146"/>
      <c r="F30" s="146"/>
      <c r="G30" s="146"/>
      <c r="H30" s="146">
        <f t="shared" si="3"/>
        <v>0</v>
      </c>
    </row>
    <row r="31" spans="1:9" s="142" customFormat="1" ht="15">
      <c r="A31" s="145"/>
      <c r="B31" s="148"/>
      <c r="C31" s="146"/>
      <c r="D31" s="146"/>
      <c r="E31" s="146"/>
      <c r="F31" s="146"/>
      <c r="G31" s="146"/>
      <c r="H31" s="146">
        <f t="shared" si="3"/>
        <v>0</v>
      </c>
    </row>
    <row r="32" spans="1:9" s="142" customFormat="1" ht="15">
      <c r="A32" s="147"/>
      <c r="B32" s="148"/>
      <c r="C32" s="146"/>
      <c r="D32" s="146"/>
      <c r="E32" s="146"/>
      <c r="F32" s="146"/>
      <c r="G32" s="146"/>
      <c r="H32" s="146">
        <f t="shared" si="3"/>
        <v>0</v>
      </c>
    </row>
    <row r="33" spans="1:8" s="142" customFormat="1" ht="15">
      <c r="A33" s="145"/>
      <c r="B33" s="148"/>
      <c r="C33" s="146"/>
      <c r="D33" s="146"/>
      <c r="E33" s="146"/>
      <c r="F33" s="146"/>
      <c r="G33" s="146"/>
      <c r="H33" s="146">
        <f t="shared" si="3"/>
        <v>0</v>
      </c>
    </row>
    <row r="34" spans="1:8" s="142" customFormat="1" ht="15">
      <c r="A34" s="144"/>
      <c r="B34" s="148"/>
      <c r="C34" s="146"/>
      <c r="D34" s="146"/>
      <c r="E34" s="146"/>
      <c r="F34" s="146"/>
      <c r="G34" s="146"/>
      <c r="H34" s="146">
        <f t="shared" si="3"/>
        <v>0</v>
      </c>
    </row>
    <row r="35" spans="1:8" s="142" customFormat="1" ht="15">
      <c r="A35" s="145"/>
      <c r="C35" s="146"/>
      <c r="D35" s="146"/>
      <c r="E35" s="146"/>
      <c r="F35" s="146"/>
      <c r="G35" s="146"/>
      <c r="H35" s="146">
        <f t="shared" si="3"/>
        <v>0</v>
      </c>
    </row>
    <row r="36" spans="1:8" s="142" customFormat="1" ht="15">
      <c r="A36" s="144"/>
      <c r="C36" s="146"/>
      <c r="D36" s="146"/>
      <c r="E36" s="146"/>
      <c r="F36" s="146"/>
      <c r="G36" s="146"/>
      <c r="H36" s="146">
        <f t="shared" si="3"/>
        <v>0</v>
      </c>
    </row>
    <row r="37" spans="1:8" s="142" customFormat="1" ht="15">
      <c r="A37" s="144"/>
      <c r="B37" s="148"/>
      <c r="C37" s="146"/>
      <c r="D37" s="146"/>
      <c r="E37" s="146"/>
      <c r="F37" s="146"/>
      <c r="G37" s="146"/>
      <c r="H37" s="146">
        <f>E37-C37</f>
        <v>0</v>
      </c>
    </row>
    <row r="38" spans="1:8" s="142" customFormat="1" ht="15">
      <c r="A38" s="144"/>
      <c r="C38" s="146"/>
      <c r="D38" s="146"/>
      <c r="E38" s="146"/>
      <c r="F38" s="146"/>
      <c r="G38" s="146"/>
      <c r="H38" s="146">
        <f t="shared" si="3"/>
        <v>0</v>
      </c>
    </row>
    <row r="39" spans="1:8" s="142" customFormat="1" ht="15">
      <c r="A39" s="144"/>
      <c r="B39" s="149" t="s">
        <v>84</v>
      </c>
      <c r="H39" s="150">
        <f>SUM(H27:H38)</f>
        <v>0</v>
      </c>
    </row>
    <row r="40" spans="1:8" s="142" customFormat="1" ht="15">
      <c r="A40" s="144"/>
      <c r="H40" s="142">
        <f t="shared" si="3"/>
        <v>0</v>
      </c>
    </row>
    <row r="41" spans="1:8" s="142" customFormat="1" ht="15.75" thickBot="1">
      <c r="A41" s="144"/>
      <c r="G41" s="142" t="s">
        <v>145</v>
      </c>
      <c r="H41" s="151">
        <f>I22+H39</f>
        <v>-92</v>
      </c>
    </row>
    <row r="42" spans="1:8" s="142" customFormat="1" ht="15">
      <c r="A42" s="144"/>
      <c r="B42" s="152" t="s">
        <v>146</v>
      </c>
      <c r="C42" s="153">
        <f>I13</f>
        <v>11698</v>
      </c>
      <c r="D42" s="154"/>
    </row>
    <row r="43" spans="1:8" s="142" customFormat="1" ht="15">
      <c r="A43" s="144"/>
      <c r="B43" s="155" t="s">
        <v>147</v>
      </c>
      <c r="C43" s="150">
        <f>I20</f>
        <v>11790</v>
      </c>
      <c r="D43" s="156"/>
    </row>
    <row r="44" spans="1:8" s="142" customFormat="1" ht="15">
      <c r="A44" s="144"/>
      <c r="B44" s="157" t="s">
        <v>143</v>
      </c>
      <c r="C44" s="151">
        <f>C42-C43</f>
        <v>-92</v>
      </c>
      <c r="D44" s="156"/>
    </row>
    <row r="45" spans="1:8" s="142" customFormat="1" ht="15">
      <c r="A45" s="144"/>
      <c r="B45" s="155"/>
      <c r="D45" s="156"/>
    </row>
    <row r="46" spans="1:8" s="142" customFormat="1" ht="15">
      <c r="A46" s="144"/>
      <c r="B46" s="155" t="s">
        <v>148</v>
      </c>
      <c r="C46" s="151">
        <v>327.95</v>
      </c>
      <c r="D46" s="156"/>
    </row>
    <row r="47" spans="1:8" s="142" customFormat="1" ht="15.75" thickBot="1">
      <c r="A47" s="144"/>
      <c r="B47" s="158" t="s">
        <v>149</v>
      </c>
      <c r="C47" s="159">
        <f>C46-C44</f>
        <v>419.95</v>
      </c>
      <c r="D47" s="160" t="s">
        <v>150</v>
      </c>
    </row>
    <row r="48" spans="1:8" s="142" customFormat="1" ht="15">
      <c r="A48" s="144"/>
    </row>
    <row r="49" spans="1:1" s="142" customFormat="1" ht="15">
      <c r="A49" s="144"/>
    </row>
    <row r="50" spans="1:1" s="142" customFormat="1" ht="15">
      <c r="A50" s="144"/>
    </row>
    <row r="51" spans="1:1" s="142" customFormat="1" ht="15">
      <c r="A51" s="144"/>
    </row>
    <row r="52" spans="1:1" s="142" customFormat="1" ht="15">
      <c r="A52" s="144"/>
    </row>
    <row r="53" spans="1:1" s="142" customFormat="1" ht="15">
      <c r="A53" s="144"/>
    </row>
    <row r="54" spans="1:1" s="142" customFormat="1" ht="15">
      <c r="A54" s="144"/>
    </row>
  </sheetData>
  <mergeCells count="9">
    <mergeCell ref="E25:F25"/>
    <mergeCell ref="G25:H25"/>
    <mergeCell ref="B2:D2"/>
    <mergeCell ref="B3:D3"/>
    <mergeCell ref="B1:D1"/>
    <mergeCell ref="A8:B8"/>
    <mergeCell ref="A15:B15"/>
    <mergeCell ref="A22:B22"/>
    <mergeCell ref="C25:D25"/>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C2EFB-A7A5-4451-922F-1A5445305197}">
  <sheetPr>
    <tabColor rgb="FF92D050"/>
  </sheetPr>
  <dimension ref="A1:J18"/>
  <sheetViews>
    <sheetView workbookViewId="0">
      <selection activeCell="H29" sqref="H29"/>
    </sheetView>
  </sheetViews>
  <sheetFormatPr defaultColWidth="8.7109375" defaultRowHeight="15"/>
  <cols>
    <col min="1" max="1" width="13.140625" customWidth="1"/>
    <col min="2" max="2" width="3" customWidth="1"/>
    <col min="3" max="3" width="19.7109375" customWidth="1"/>
    <col min="4" max="4" width="14.7109375" customWidth="1"/>
    <col min="5" max="5" width="18.28515625" bestFit="1" customWidth="1"/>
    <col min="6" max="6" width="18.28515625" style="58" customWidth="1"/>
    <col min="7" max="7" width="14.28515625" customWidth="1"/>
    <col min="8" max="9" width="15.7109375" customWidth="1"/>
    <col min="10" max="10" width="14.42578125" customWidth="1"/>
  </cols>
  <sheetData>
    <row r="1" spans="1:10" ht="18">
      <c r="A1" s="121" t="s">
        <v>0</v>
      </c>
      <c r="B1" s="53"/>
      <c r="C1" s="355" t="str">
        <f>Index!$C$1</f>
        <v>The LM &amp; SM Lever Super Fund</v>
      </c>
      <c r="D1" s="355"/>
      <c r="E1" s="355"/>
      <c r="F1" s="54"/>
      <c r="H1" s="56" t="s">
        <v>2</v>
      </c>
      <c r="I1" s="56" t="s">
        <v>3</v>
      </c>
    </row>
    <row r="2" spans="1:10" ht="18">
      <c r="A2" s="121" t="s">
        <v>4</v>
      </c>
      <c r="B2" s="53"/>
      <c r="C2" s="355" t="str">
        <f>Index!$C$2</f>
        <v>LEVL</v>
      </c>
      <c r="D2" s="355"/>
      <c r="E2" s="355"/>
      <c r="F2" s="55"/>
      <c r="G2" s="59" t="s">
        <v>6</v>
      </c>
      <c r="H2" s="60" t="str">
        <f>Index!$H$2</f>
        <v>CM</v>
      </c>
      <c r="I2" s="61">
        <f>Index!$I$2</f>
        <v>44993</v>
      </c>
    </row>
    <row r="3" spans="1:10" ht="18">
      <c r="A3" s="121" t="s">
        <v>8</v>
      </c>
      <c r="B3" s="53"/>
      <c r="C3" s="356">
        <f>Index!$C$3</f>
        <v>44742</v>
      </c>
      <c r="D3" s="355"/>
      <c r="E3" s="355"/>
      <c r="F3" s="55"/>
      <c r="G3" s="59" t="s">
        <v>9</v>
      </c>
      <c r="H3" s="60" t="str">
        <f>Index!$H$3</f>
        <v>DB</v>
      </c>
      <c r="I3" s="61">
        <f>Index!$I$3</f>
        <v>45035</v>
      </c>
    </row>
    <row r="4" spans="1:10" ht="18">
      <c r="A4" s="121"/>
      <c r="B4" s="53"/>
      <c r="D4" s="53"/>
      <c r="E4" s="53"/>
      <c r="F4" s="55"/>
      <c r="G4" s="122"/>
      <c r="H4" s="65"/>
      <c r="I4" s="66"/>
    </row>
    <row r="5" spans="1:10" ht="18">
      <c r="A5" s="53" t="s">
        <v>151</v>
      </c>
      <c r="C5" s="57"/>
      <c r="G5" s="58"/>
      <c r="H5" s="65"/>
      <c r="J5" s="66"/>
    </row>
    <row r="6" spans="1:10" ht="18">
      <c r="D6" s="53"/>
      <c r="E6" s="53"/>
      <c r="F6" s="64"/>
      <c r="G6" s="64"/>
    </row>
    <row r="7" spans="1:10">
      <c r="D7" s="71"/>
      <c r="E7" s="71"/>
      <c r="F7" s="141"/>
      <c r="G7" s="141"/>
    </row>
    <row r="8" spans="1:10" s="69" customFormat="1" ht="30">
      <c r="A8" s="135" t="s">
        <v>102</v>
      </c>
      <c r="B8" s="357" t="s">
        <v>103</v>
      </c>
      <c r="C8" s="358"/>
      <c r="D8" s="359"/>
      <c r="E8" s="136" t="s">
        <v>104</v>
      </c>
      <c r="F8" s="136" t="s">
        <v>104</v>
      </c>
      <c r="G8" s="136" t="s">
        <v>104</v>
      </c>
      <c r="H8" s="357" t="s">
        <v>152</v>
      </c>
      <c r="I8" s="359"/>
    </row>
    <row r="11" spans="1:10">
      <c r="A11" s="77">
        <v>60400</v>
      </c>
      <c r="B11" s="77"/>
      <c r="C11" s="77" t="s">
        <v>153</v>
      </c>
      <c r="E11" s="47" t="s">
        <v>154</v>
      </c>
      <c r="F11" s="85" t="s">
        <v>155</v>
      </c>
      <c r="G11" s="85" t="s">
        <v>156</v>
      </c>
    </row>
    <row r="12" spans="1:10">
      <c r="A12" t="s">
        <v>157</v>
      </c>
      <c r="C12" t="s">
        <v>158</v>
      </c>
      <c r="E12" s="93">
        <v>74163.12</v>
      </c>
      <c r="F12" s="93">
        <v>74163.12</v>
      </c>
      <c r="G12" s="93">
        <f>+E12-F12</f>
        <v>0</v>
      </c>
      <c r="H12" s="93"/>
    </row>
    <row r="13" spans="1:10">
      <c r="E13" s="93"/>
      <c r="F13" s="93"/>
      <c r="G13" s="93">
        <f>+E13-F13</f>
        <v>0</v>
      </c>
      <c r="H13" s="93"/>
    </row>
    <row r="14" spans="1:10">
      <c r="E14" s="93"/>
      <c r="F14" s="93"/>
      <c r="G14" s="93"/>
      <c r="H14" s="93"/>
    </row>
    <row r="16" spans="1:10">
      <c r="A16" s="42"/>
    </row>
    <row r="17" spans="1:1">
      <c r="A17" s="42"/>
    </row>
    <row r="18" spans="1:1">
      <c r="A18" s="42"/>
    </row>
  </sheetData>
  <mergeCells count="5">
    <mergeCell ref="C1:E1"/>
    <mergeCell ref="C2:E2"/>
    <mergeCell ref="C3:E3"/>
    <mergeCell ref="H8:I8"/>
    <mergeCell ref="B8:D8"/>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3DF56-654D-44FD-9F84-A159A2F9681B}">
  <dimension ref="A1:J46"/>
  <sheetViews>
    <sheetView topLeftCell="A13" workbookViewId="0">
      <selection activeCell="E44" sqref="E44"/>
    </sheetView>
  </sheetViews>
  <sheetFormatPr defaultColWidth="8.7109375" defaultRowHeight="15"/>
  <cols>
    <col min="1" max="1" width="11.85546875" customWidth="1"/>
    <col min="2" max="2" width="3" customWidth="1"/>
    <col min="3" max="3" width="19.7109375" customWidth="1"/>
    <col min="4" max="4" width="14.7109375" customWidth="1"/>
    <col min="5" max="5" width="18.28515625" bestFit="1" customWidth="1"/>
    <col min="6" max="6" width="16.85546875" style="58" bestFit="1" customWidth="1"/>
    <col min="7" max="7" width="14.28515625" customWidth="1"/>
    <col min="8" max="9" width="15.7109375" customWidth="1"/>
    <col min="10" max="10" width="14.42578125" customWidth="1"/>
  </cols>
  <sheetData>
    <row r="1" spans="1:10" ht="18">
      <c r="A1" s="121" t="s">
        <v>0</v>
      </c>
      <c r="B1" s="53"/>
      <c r="C1" s="355" t="str">
        <f>Index!$C$1</f>
        <v>The LM &amp; SM Lever Super Fund</v>
      </c>
      <c r="D1" s="355"/>
      <c r="E1" s="355"/>
      <c r="F1" s="54"/>
      <c r="H1" s="56" t="s">
        <v>2</v>
      </c>
      <c r="I1" s="56" t="s">
        <v>3</v>
      </c>
    </row>
    <row r="2" spans="1:10" ht="18">
      <c r="A2" s="121" t="s">
        <v>4</v>
      </c>
      <c r="B2" s="53"/>
      <c r="C2" s="355" t="str">
        <f>Index!$C$2</f>
        <v>LEVL</v>
      </c>
      <c r="D2" s="355"/>
      <c r="E2" s="355"/>
      <c r="F2" s="55"/>
      <c r="G2" s="59" t="s">
        <v>6</v>
      </c>
      <c r="H2" s="60" t="str">
        <f>Index!$H$2</f>
        <v>CM</v>
      </c>
      <c r="I2" s="61">
        <f>Index!$I$2</f>
        <v>44993</v>
      </c>
    </row>
    <row r="3" spans="1:10" ht="18">
      <c r="A3" s="121" t="s">
        <v>8</v>
      </c>
      <c r="B3" s="53"/>
      <c r="C3" s="356">
        <f>Index!$C$3</f>
        <v>44742</v>
      </c>
      <c r="D3" s="355"/>
      <c r="E3" s="355"/>
      <c r="F3" s="55"/>
      <c r="G3" s="59" t="s">
        <v>9</v>
      </c>
      <c r="H3" s="60" t="str">
        <f>Index!$H$3</f>
        <v>DB</v>
      </c>
      <c r="I3" s="61">
        <f>Index!$I$3</f>
        <v>45035</v>
      </c>
    </row>
    <row r="4" spans="1:10" ht="18">
      <c r="A4" s="121"/>
      <c r="B4" s="53"/>
      <c r="D4" s="53"/>
      <c r="E4" s="53"/>
      <c r="F4" s="55"/>
      <c r="G4" s="122"/>
      <c r="H4" s="65"/>
      <c r="I4" s="66"/>
    </row>
    <row r="5" spans="1:10" ht="18">
      <c r="A5" s="53" t="s">
        <v>159</v>
      </c>
      <c r="C5" s="57"/>
      <c r="G5" s="58"/>
      <c r="H5" s="65"/>
      <c r="J5" s="66"/>
    </row>
    <row r="6" spans="1:10" ht="18">
      <c r="D6" s="53"/>
      <c r="E6" s="53"/>
      <c r="F6" s="64"/>
      <c r="G6" s="64"/>
    </row>
    <row r="7" spans="1:10">
      <c r="D7" s="71"/>
      <c r="E7" s="71"/>
      <c r="F7" s="141"/>
      <c r="G7" s="141"/>
    </row>
    <row r="8" spans="1:10" s="69" customFormat="1" ht="30">
      <c r="A8" s="135" t="s">
        <v>102</v>
      </c>
      <c r="B8" s="357" t="s">
        <v>103</v>
      </c>
      <c r="C8" s="358"/>
      <c r="D8" s="358"/>
      <c r="E8" s="359"/>
      <c r="F8" s="136" t="s">
        <v>104</v>
      </c>
      <c r="G8" s="357" t="s">
        <v>152</v>
      </c>
      <c r="H8" s="366"/>
      <c r="I8" s="367"/>
    </row>
    <row r="10" spans="1:10">
      <c r="F10" s="80"/>
    </row>
    <row r="11" spans="1:10">
      <c r="C11" t="s">
        <v>160</v>
      </c>
      <c r="F11" s="93"/>
      <c r="G11" s="42" t="s">
        <v>161</v>
      </c>
    </row>
    <row r="12" spans="1:10">
      <c r="C12" t="s">
        <v>162</v>
      </c>
      <c r="F12" s="115"/>
    </row>
    <row r="13" spans="1:10">
      <c r="C13" t="s">
        <v>163</v>
      </c>
      <c r="F13" s="93">
        <f>+F11-F12</f>
        <v>0</v>
      </c>
      <c r="H13" t="s">
        <v>164</v>
      </c>
      <c r="I13" s="96" t="e">
        <f>+F13/F12</f>
        <v>#DIV/0!</v>
      </c>
    </row>
    <row r="14" spans="1:10">
      <c r="C14" s="241" t="s">
        <v>165</v>
      </c>
      <c r="F14" s="243">
        <f>G45</f>
        <v>0</v>
      </c>
    </row>
    <row r="15" spans="1:10">
      <c r="C15" s="42" t="s">
        <v>166</v>
      </c>
      <c r="F15" s="242"/>
      <c r="H15" s="42" t="s">
        <v>167</v>
      </c>
      <c r="I15" s="42" t="e">
        <f>+F15/F12</f>
        <v>#DIV/0!</v>
      </c>
      <c r="J15" s="42" t="s">
        <v>168</v>
      </c>
    </row>
    <row r="16" spans="1:10">
      <c r="F16" s="95"/>
      <c r="H16" s="42"/>
      <c r="I16" s="97"/>
    </row>
    <row r="17" spans="3:7">
      <c r="C17" t="s">
        <v>169</v>
      </c>
      <c r="F17"/>
    </row>
    <row r="18" spans="3:7">
      <c r="C18" t="s">
        <v>170</v>
      </c>
    </row>
    <row r="19" spans="3:7">
      <c r="C19" t="s">
        <v>171</v>
      </c>
    </row>
    <row r="22" spans="3:7">
      <c r="C22" s="98" t="s">
        <v>172</v>
      </c>
      <c r="E22" s="47" t="s">
        <v>173</v>
      </c>
      <c r="F22" s="47" t="s">
        <v>174</v>
      </c>
      <c r="G22" s="99" t="s">
        <v>175</v>
      </c>
    </row>
    <row r="23" spans="3:7">
      <c r="C23" t="s">
        <v>176</v>
      </c>
      <c r="E23" s="93"/>
      <c r="F23" s="93"/>
      <c r="G23" s="93">
        <f t="shared" ref="G23:G44" si="0">+E23-F23</f>
        <v>0</v>
      </c>
    </row>
    <row r="24" spans="3:7">
      <c r="C24" t="s">
        <v>177</v>
      </c>
      <c r="E24" s="93"/>
      <c r="F24" s="93"/>
      <c r="G24" s="93">
        <f t="shared" si="0"/>
        <v>0</v>
      </c>
    </row>
    <row r="25" spans="3:7">
      <c r="C25" t="s">
        <v>178</v>
      </c>
      <c r="E25" s="93"/>
      <c r="F25" s="93"/>
      <c r="G25" s="93">
        <f t="shared" si="0"/>
        <v>0</v>
      </c>
    </row>
    <row r="26" spans="3:7">
      <c r="C26" t="s">
        <v>179</v>
      </c>
      <c r="E26" s="93"/>
      <c r="F26" s="93"/>
      <c r="G26" s="93">
        <f t="shared" si="0"/>
        <v>0</v>
      </c>
    </row>
    <row r="27" spans="3:7">
      <c r="C27" t="s">
        <v>180</v>
      </c>
      <c r="E27" s="93"/>
      <c r="F27" s="93"/>
      <c r="G27" s="93">
        <f t="shared" si="0"/>
        <v>0</v>
      </c>
    </row>
    <row r="28" spans="3:7">
      <c r="C28" t="s">
        <v>181</v>
      </c>
      <c r="E28" s="93"/>
      <c r="F28" s="93"/>
      <c r="G28" s="93">
        <f t="shared" si="0"/>
        <v>0</v>
      </c>
    </row>
    <row r="29" spans="3:7">
      <c r="C29" t="s">
        <v>182</v>
      </c>
      <c r="E29" s="93"/>
      <c r="F29" s="93"/>
      <c r="G29" s="93">
        <f t="shared" si="0"/>
        <v>0</v>
      </c>
    </row>
    <row r="30" spans="3:7">
      <c r="C30" t="s">
        <v>183</v>
      </c>
      <c r="E30" s="93"/>
      <c r="F30" s="93"/>
      <c r="G30" s="93">
        <f t="shared" si="0"/>
        <v>0</v>
      </c>
    </row>
    <row r="31" spans="3:7">
      <c r="C31" t="s">
        <v>184</v>
      </c>
      <c r="E31" s="93"/>
      <c r="F31" s="93"/>
      <c r="G31" s="93">
        <f t="shared" si="0"/>
        <v>0</v>
      </c>
    </row>
    <row r="32" spans="3:7">
      <c r="C32" t="s">
        <v>185</v>
      </c>
      <c r="E32" s="93"/>
      <c r="F32" s="93"/>
      <c r="G32" s="93">
        <f t="shared" si="0"/>
        <v>0</v>
      </c>
    </row>
    <row r="33" spans="3:7">
      <c r="C33" t="s">
        <v>186</v>
      </c>
      <c r="E33" s="93"/>
      <c r="F33" s="93"/>
      <c r="G33" s="93">
        <f t="shared" si="0"/>
        <v>0</v>
      </c>
    </row>
    <row r="34" spans="3:7">
      <c r="C34" t="s">
        <v>187</v>
      </c>
      <c r="E34" s="93"/>
      <c r="F34" s="93"/>
      <c r="G34" s="93">
        <f t="shared" si="0"/>
        <v>0</v>
      </c>
    </row>
    <row r="35" spans="3:7">
      <c r="C35" t="s">
        <v>188</v>
      </c>
      <c r="E35" s="93"/>
      <c r="F35" s="93"/>
      <c r="G35" s="93">
        <f t="shared" si="0"/>
        <v>0</v>
      </c>
    </row>
    <row r="36" spans="3:7">
      <c r="C36" t="s">
        <v>189</v>
      </c>
      <c r="E36" s="93"/>
      <c r="F36" s="93"/>
      <c r="G36" s="93">
        <f t="shared" si="0"/>
        <v>0</v>
      </c>
    </row>
    <row r="37" spans="3:7">
      <c r="C37" t="s">
        <v>190</v>
      </c>
      <c r="E37" s="93"/>
      <c r="F37" s="93"/>
      <c r="G37" s="93">
        <f t="shared" si="0"/>
        <v>0</v>
      </c>
    </row>
    <row r="38" spans="3:7">
      <c r="C38" t="s">
        <v>191</v>
      </c>
      <c r="E38" s="93"/>
      <c r="F38" s="93"/>
      <c r="G38" s="93">
        <f t="shared" si="0"/>
        <v>0</v>
      </c>
    </row>
    <row r="39" spans="3:7">
      <c r="C39" t="s">
        <v>192</v>
      </c>
      <c r="E39" s="93"/>
      <c r="F39" s="93"/>
      <c r="G39" s="93">
        <f t="shared" si="0"/>
        <v>0</v>
      </c>
    </row>
    <row r="40" spans="3:7">
      <c r="C40" t="s">
        <v>193</v>
      </c>
      <c r="E40" s="93"/>
      <c r="F40" s="93"/>
      <c r="G40" s="93">
        <f t="shared" si="0"/>
        <v>0</v>
      </c>
    </row>
    <row r="41" spans="3:7">
      <c r="C41" t="s">
        <v>194</v>
      </c>
      <c r="E41" s="93"/>
      <c r="F41" s="93"/>
      <c r="G41" s="93">
        <f t="shared" si="0"/>
        <v>0</v>
      </c>
    </row>
    <row r="42" spans="3:7">
      <c r="C42" t="s">
        <v>195</v>
      </c>
      <c r="E42" s="93"/>
      <c r="F42" s="93"/>
      <c r="G42" s="93">
        <f t="shared" si="0"/>
        <v>0</v>
      </c>
    </row>
    <row r="43" spans="3:7">
      <c r="C43" t="s">
        <v>196</v>
      </c>
      <c r="E43" s="93"/>
      <c r="F43" s="93"/>
      <c r="G43" s="93">
        <f t="shared" si="0"/>
        <v>0</v>
      </c>
    </row>
    <row r="44" spans="3:7">
      <c r="C44" t="s">
        <v>197</v>
      </c>
      <c r="E44" s="226"/>
      <c r="F44" s="226"/>
      <c r="G44" s="93">
        <f t="shared" si="0"/>
        <v>0</v>
      </c>
    </row>
    <row r="45" spans="3:7" ht="15.75" thickBot="1">
      <c r="E45" s="224">
        <f>SUM(E23:E44)</f>
        <v>0</v>
      </c>
      <c r="F45" s="224">
        <f>SUM(F23:F44)</f>
        <v>0</v>
      </c>
      <c r="G45" s="224">
        <f>SUM(G23:G44)</f>
        <v>0</v>
      </c>
    </row>
    <row r="46" spans="3:7" ht="15.75" thickTop="1"/>
  </sheetData>
  <mergeCells count="5">
    <mergeCell ref="B8:E8"/>
    <mergeCell ref="G8:I8"/>
    <mergeCell ref="C1:E1"/>
    <mergeCell ref="C2:E2"/>
    <mergeCell ref="C3:E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636A8-34F9-4400-A56F-260F6C3966E0}">
  <sheetPr>
    <tabColor rgb="FF92D050"/>
  </sheetPr>
  <dimension ref="A1:O39"/>
  <sheetViews>
    <sheetView topLeftCell="A3" zoomScale="115" zoomScaleNormal="115" workbookViewId="0">
      <selection activeCell="E17" sqref="E17"/>
    </sheetView>
  </sheetViews>
  <sheetFormatPr defaultColWidth="8.7109375" defaultRowHeight="15"/>
  <cols>
    <col min="1" max="1" width="11.85546875" customWidth="1"/>
    <col min="2" max="2" width="24.42578125" customWidth="1"/>
    <col min="3" max="3" width="11" customWidth="1"/>
    <col min="4" max="4" width="14.7109375" customWidth="1"/>
    <col min="5" max="5" width="18.28515625" bestFit="1" customWidth="1"/>
    <col min="6" max="6" width="8.7109375" style="58" customWidth="1"/>
    <col min="7" max="7" width="14.28515625" customWidth="1"/>
    <col min="8" max="8" width="6.85546875" customWidth="1"/>
    <col min="9" max="9" width="15.7109375" customWidth="1"/>
    <col min="10" max="10" width="3.140625" customWidth="1"/>
    <col min="11" max="11" width="13.42578125" customWidth="1"/>
    <col min="12" max="12" width="12.85546875" bestFit="1" customWidth="1"/>
  </cols>
  <sheetData>
    <row r="1" spans="1:15" ht="18">
      <c r="A1" s="121" t="s">
        <v>0</v>
      </c>
      <c r="B1" s="53"/>
      <c r="C1" s="355" t="str">
        <f>Index!$C$1</f>
        <v>The LM &amp; SM Lever Super Fund</v>
      </c>
      <c r="D1" s="355"/>
      <c r="E1" s="355"/>
      <c r="F1" s="54"/>
      <c r="H1" s="56" t="s">
        <v>2</v>
      </c>
      <c r="I1" s="56" t="s">
        <v>3</v>
      </c>
    </row>
    <row r="2" spans="1:15" ht="18">
      <c r="A2" s="121" t="s">
        <v>4</v>
      </c>
      <c r="B2" s="53"/>
      <c r="C2" s="355" t="str">
        <f>Index!$C$2</f>
        <v>LEVL</v>
      </c>
      <c r="D2" s="355"/>
      <c r="E2" s="355"/>
      <c r="F2" s="55"/>
      <c r="G2" s="59" t="s">
        <v>6</v>
      </c>
      <c r="H2" s="60" t="str">
        <f>Index!$H$2</f>
        <v>CM</v>
      </c>
      <c r="I2" s="61">
        <f>Index!$I$2</f>
        <v>44993</v>
      </c>
    </row>
    <row r="3" spans="1:15" ht="18">
      <c r="A3" s="121" t="s">
        <v>8</v>
      </c>
      <c r="B3" s="53"/>
      <c r="C3" s="356">
        <f>Index!$C$3</f>
        <v>44742</v>
      </c>
      <c r="D3" s="355"/>
      <c r="E3" s="355"/>
      <c r="F3" s="55"/>
      <c r="G3" s="59" t="s">
        <v>9</v>
      </c>
      <c r="H3" s="60" t="str">
        <f>Index!$H$3</f>
        <v>DB</v>
      </c>
      <c r="I3" s="61">
        <f>Index!$I$3</f>
        <v>45035</v>
      </c>
    </row>
    <row r="4" spans="1:15" ht="18">
      <c r="A4" s="121"/>
      <c r="B4" s="53"/>
      <c r="D4" s="53"/>
      <c r="E4" s="53"/>
      <c r="F4" s="55"/>
      <c r="G4" s="122"/>
      <c r="H4" s="65"/>
      <c r="I4" s="66"/>
    </row>
    <row r="5" spans="1:15" ht="18">
      <c r="A5" s="53" t="s">
        <v>198</v>
      </c>
      <c r="C5" s="57"/>
      <c r="G5" s="58"/>
      <c r="H5" s="65"/>
      <c r="J5" s="66"/>
    </row>
    <row r="6" spans="1:15" ht="18">
      <c r="D6" s="53"/>
      <c r="E6" s="53"/>
      <c r="F6" s="64"/>
      <c r="G6" s="64"/>
    </row>
    <row r="7" spans="1:15">
      <c r="D7" s="71"/>
      <c r="E7" s="71"/>
      <c r="F7" s="141"/>
      <c r="G7" s="141"/>
    </row>
    <row r="8" spans="1:15" s="69" customFormat="1" ht="30">
      <c r="A8" s="135" t="s">
        <v>102</v>
      </c>
      <c r="B8" s="357" t="s">
        <v>103</v>
      </c>
      <c r="C8" s="358"/>
      <c r="D8" s="358"/>
      <c r="E8" s="359"/>
      <c r="F8" s="136" t="s">
        <v>104</v>
      </c>
      <c r="G8" s="357" t="s">
        <v>152</v>
      </c>
      <c r="H8" s="366"/>
      <c r="I8" s="367"/>
    </row>
    <row r="10" spans="1:15">
      <c r="A10" s="228"/>
      <c r="F10" s="70"/>
    </row>
    <row r="11" spans="1:15">
      <c r="B11" t="s">
        <v>199</v>
      </c>
      <c r="E11" s="223">
        <v>122585.74</v>
      </c>
      <c r="F11" s="137" t="s">
        <v>200</v>
      </c>
      <c r="G11" t="s">
        <v>201</v>
      </c>
      <c r="I11" t="s">
        <v>202</v>
      </c>
      <c r="K11" s="223">
        <v>4838.6000000000004</v>
      </c>
      <c r="L11" t="s">
        <v>203</v>
      </c>
    </row>
    <row r="12" spans="1:15">
      <c r="E12" s="223"/>
      <c r="F12"/>
      <c r="I12" t="s">
        <v>204</v>
      </c>
      <c r="K12" s="223">
        <v>117747.14</v>
      </c>
      <c r="L12" t="s">
        <v>203</v>
      </c>
    </row>
    <row r="13" spans="1:15">
      <c r="B13" t="s">
        <v>205</v>
      </c>
      <c r="E13" s="223">
        <v>7008.69</v>
      </c>
      <c r="F13"/>
      <c r="K13" s="223"/>
    </row>
    <row r="14" spans="1:15">
      <c r="B14" t="s">
        <v>206</v>
      </c>
      <c r="E14" s="223">
        <v>-1421.42</v>
      </c>
      <c r="F14"/>
    </row>
    <row r="15" spans="1:15">
      <c r="B15" t="s">
        <v>207</v>
      </c>
      <c r="E15" s="223">
        <v>-8545.09</v>
      </c>
      <c r="F15"/>
    </row>
    <row r="16" spans="1:15">
      <c r="E16" s="223"/>
      <c r="F16"/>
      <c r="O16" s="91"/>
    </row>
    <row r="17" spans="1:12">
      <c r="B17" t="s">
        <v>208</v>
      </c>
      <c r="E17" s="223">
        <f>SUM(E11:E16)</f>
        <v>119627.92000000001</v>
      </c>
      <c r="F17" s="137" t="s">
        <v>200</v>
      </c>
      <c r="G17" t="s">
        <v>201</v>
      </c>
      <c r="I17" t="s">
        <v>202</v>
      </c>
      <c r="K17" s="223">
        <f>Debtors!F26</f>
        <v>7996.32</v>
      </c>
    </row>
    <row r="18" spans="1:12">
      <c r="E18" s="223"/>
      <c r="F18"/>
      <c r="I18" t="s">
        <v>204</v>
      </c>
      <c r="K18" s="223">
        <f>E17-K17</f>
        <v>111631.6</v>
      </c>
      <c r="L18" s="91"/>
    </row>
    <row r="19" spans="1:12">
      <c r="E19" s="58"/>
      <c r="F19"/>
    </row>
    <row r="20" spans="1:12">
      <c r="B20" t="s">
        <v>209</v>
      </c>
      <c r="C20" t="s">
        <v>210</v>
      </c>
      <c r="D20" t="s">
        <v>211</v>
      </c>
      <c r="E20" s="58" t="s">
        <v>212</v>
      </c>
      <c r="F20"/>
    </row>
    <row r="21" spans="1:12">
      <c r="E21" s="58"/>
      <c r="F21"/>
    </row>
    <row r="22" spans="1:12">
      <c r="A22" s="227">
        <v>1</v>
      </c>
      <c r="B22" t="s">
        <v>213</v>
      </c>
      <c r="C22">
        <v>61800</v>
      </c>
      <c r="E22" s="58">
        <f>K11</f>
        <v>4838.6000000000004</v>
      </c>
      <c r="F22"/>
    </row>
    <row r="23" spans="1:12">
      <c r="A23" s="227"/>
      <c r="B23" t="s">
        <v>214</v>
      </c>
      <c r="C23">
        <v>61800</v>
      </c>
      <c r="D23" s="58">
        <f>Debtors!F26</f>
        <v>7996.32</v>
      </c>
      <c r="E23" s="58"/>
      <c r="F23"/>
      <c r="I23" t="s">
        <v>215</v>
      </c>
      <c r="K23" s="58">
        <f>E13</f>
        <v>7008.69</v>
      </c>
    </row>
    <row r="24" spans="1:12">
      <c r="A24" s="227"/>
      <c r="B24" t="s">
        <v>216</v>
      </c>
      <c r="C24">
        <v>23800</v>
      </c>
      <c r="E24" s="258">
        <f>'Distbn Income - NORTH'!H99</f>
        <v>10166.44</v>
      </c>
      <c r="F24"/>
      <c r="I24" t="s">
        <v>217</v>
      </c>
      <c r="K24" s="92">
        <f>-E22</f>
        <v>-4838.6000000000004</v>
      </c>
    </row>
    <row r="25" spans="1:12">
      <c r="A25" s="227"/>
      <c r="B25" t="s">
        <v>218</v>
      </c>
      <c r="C25">
        <v>74700</v>
      </c>
      <c r="D25" s="223">
        <f>SUM(E22:E24)-D23</f>
        <v>7008.7200000000012</v>
      </c>
      <c r="E25" s="58"/>
      <c r="F25"/>
      <c r="K25" s="91">
        <f>+K23+K24</f>
        <v>2170.0899999999992</v>
      </c>
    </row>
    <row r="26" spans="1:12">
      <c r="A26" s="227"/>
      <c r="D26" s="58"/>
      <c r="E26" s="58"/>
      <c r="F26"/>
      <c r="I26" t="s">
        <v>219</v>
      </c>
      <c r="K26" s="92">
        <f>+D23</f>
        <v>7996.32</v>
      </c>
    </row>
    <row r="27" spans="1:12">
      <c r="A27" s="227">
        <v>2</v>
      </c>
      <c r="B27" t="s">
        <v>220</v>
      </c>
      <c r="C27">
        <v>30900</v>
      </c>
      <c r="D27" s="104">
        <v>1421.42</v>
      </c>
      <c r="E27" s="223"/>
      <c r="F27"/>
      <c r="G27" s="91"/>
      <c r="K27" s="91">
        <f>+K25+K26</f>
        <v>10166.41</v>
      </c>
    </row>
    <row r="28" spans="1:12">
      <c r="B28" t="s">
        <v>218</v>
      </c>
      <c r="C28">
        <v>74700</v>
      </c>
      <c r="D28" s="257"/>
      <c r="E28" s="240">
        <v>1421.42</v>
      </c>
      <c r="F28"/>
      <c r="I28" t="s">
        <v>221</v>
      </c>
      <c r="K28" s="88"/>
    </row>
    <row r="29" spans="1:12">
      <c r="D29" s="257">
        <f>SUM(D22:D28)</f>
        <v>16426.46</v>
      </c>
      <c r="E29" s="257">
        <f>SUM(E22:E28)</f>
        <v>16426.46</v>
      </c>
      <c r="F29"/>
      <c r="K29" s="259">
        <f>+K27+K28</f>
        <v>10166.41</v>
      </c>
      <c r="L29" s="91"/>
    </row>
    <row r="30" spans="1:12">
      <c r="E30" s="223"/>
      <c r="F30"/>
    </row>
    <row r="31" spans="1:12">
      <c r="A31" s="227">
        <v>3</v>
      </c>
      <c r="B31" s="330" t="s">
        <v>222</v>
      </c>
      <c r="C31" s="330">
        <v>74700</v>
      </c>
      <c r="D31" s="331"/>
      <c r="E31" s="332"/>
      <c r="F31" s="330" t="s">
        <v>223</v>
      </c>
      <c r="G31" s="91"/>
    </row>
    <row r="32" spans="1:12">
      <c r="B32" s="330" t="s">
        <v>218</v>
      </c>
      <c r="C32" s="330">
        <v>74700</v>
      </c>
      <c r="D32" s="330"/>
      <c r="E32" s="332">
        <f>D31</f>
        <v>0</v>
      </c>
      <c r="F32" s="330"/>
    </row>
    <row r="33" spans="2:6">
      <c r="B33" s="330" t="s">
        <v>224</v>
      </c>
      <c r="C33" s="330"/>
      <c r="D33" s="333"/>
      <c r="E33" s="332"/>
      <c r="F33" s="330"/>
    </row>
    <row r="34" spans="2:6">
      <c r="B34" s="330"/>
      <c r="C34" s="330"/>
      <c r="D34" s="330"/>
      <c r="E34" s="332"/>
      <c r="F34" s="330"/>
    </row>
    <row r="35" spans="2:6">
      <c r="B35" s="330" t="s">
        <v>222</v>
      </c>
      <c r="C35" s="330">
        <v>94910</v>
      </c>
      <c r="D35" s="330"/>
      <c r="E35" s="332"/>
      <c r="F35" s="330" t="s">
        <v>225</v>
      </c>
    </row>
    <row r="36" spans="2:6">
      <c r="B36" s="330" t="s">
        <v>218</v>
      </c>
      <c r="C36" s="330">
        <v>74700</v>
      </c>
      <c r="D36" s="333"/>
      <c r="E36" s="332"/>
      <c r="F36" s="330"/>
    </row>
    <row r="37" spans="2:6">
      <c r="B37" s="330" t="s">
        <v>226</v>
      </c>
      <c r="C37" s="330"/>
      <c r="D37" s="330"/>
      <c r="E37" s="332"/>
      <c r="F37" s="330"/>
    </row>
    <row r="38" spans="2:6">
      <c r="B38" s="330" t="s">
        <v>227</v>
      </c>
      <c r="C38" s="330"/>
      <c r="D38" s="330"/>
      <c r="E38" s="332"/>
      <c r="F38" s="330"/>
    </row>
    <row r="39" spans="2:6">
      <c r="B39" s="334" t="s">
        <v>228</v>
      </c>
      <c r="C39" s="330"/>
      <c r="D39" s="330"/>
      <c r="E39" s="332"/>
      <c r="F39" s="330"/>
    </row>
  </sheetData>
  <mergeCells count="5">
    <mergeCell ref="C1:E1"/>
    <mergeCell ref="C2:E2"/>
    <mergeCell ref="C3:E3"/>
    <mergeCell ref="B8:E8"/>
    <mergeCell ref="G8:I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B843C-EF17-4B67-B764-9C2183B15CB8}">
  <sheetPr>
    <tabColor rgb="FF92D050"/>
  </sheetPr>
  <dimension ref="A1:U73"/>
  <sheetViews>
    <sheetView topLeftCell="A7" workbookViewId="0">
      <selection activeCell="B15" sqref="B15"/>
    </sheetView>
  </sheetViews>
  <sheetFormatPr defaultRowHeight="15"/>
  <cols>
    <col min="1" max="1" width="11" customWidth="1"/>
    <col min="2" max="2" width="12.85546875" customWidth="1"/>
    <col min="3" max="3" width="39.85546875" customWidth="1"/>
    <col min="4" max="4" width="9.85546875" bestFit="1" customWidth="1"/>
    <col min="5" max="5" width="20" customWidth="1"/>
    <col min="6" max="7" width="10.5703125" bestFit="1" customWidth="1"/>
    <col min="9" max="9" width="10.85546875" bestFit="1" customWidth="1"/>
    <col min="10" max="10" width="13.7109375" bestFit="1" customWidth="1"/>
    <col min="13" max="14" width="10.5703125" bestFit="1" customWidth="1"/>
    <col min="17" max="17" width="9.85546875" bestFit="1" customWidth="1"/>
    <col min="18" max="18" width="9.5703125" bestFit="1" customWidth="1"/>
  </cols>
  <sheetData>
    <row r="1" spans="1:10" ht="18">
      <c r="A1" s="62" t="s">
        <v>229</v>
      </c>
      <c r="B1" s="292" t="s">
        <v>1</v>
      </c>
      <c r="F1" s="293" t="s">
        <v>230</v>
      </c>
      <c r="G1" s="293"/>
    </row>
    <row r="2" spans="1:10" ht="18">
      <c r="A2" s="294"/>
      <c r="B2" s="53"/>
      <c r="C2" s="53"/>
      <c r="D2" s="53"/>
      <c r="F2" s="56" t="s">
        <v>2</v>
      </c>
      <c r="G2" s="56" t="s">
        <v>3</v>
      </c>
    </row>
    <row r="3" spans="1:10" ht="18">
      <c r="A3" s="53" t="s">
        <v>231</v>
      </c>
      <c r="E3" s="59" t="s">
        <v>6</v>
      </c>
      <c r="F3" s="60" t="s">
        <v>7</v>
      </c>
      <c r="G3" s="61">
        <v>44623</v>
      </c>
    </row>
    <row r="4" spans="1:10" ht="15.75">
      <c r="A4" s="62" t="s">
        <v>8</v>
      </c>
      <c r="B4" s="368">
        <v>44377</v>
      </c>
      <c r="C4" s="420"/>
      <c r="D4" s="295"/>
      <c r="E4" s="59" t="s">
        <v>9</v>
      </c>
      <c r="F4" s="60"/>
      <c r="G4" s="61"/>
    </row>
    <row r="5" spans="1:10">
      <c r="C5" s="65"/>
      <c r="F5" s="59" t="s">
        <v>232</v>
      </c>
      <c r="G5" s="296"/>
    </row>
    <row r="6" spans="1:10" ht="15.75" thickBot="1"/>
    <row r="7" spans="1:10" ht="33.75">
      <c r="A7" s="297" t="s">
        <v>233</v>
      </c>
      <c r="B7" s="298" t="s">
        <v>234</v>
      </c>
      <c r="C7" s="298" t="s">
        <v>235</v>
      </c>
      <c r="D7" s="299" t="s">
        <v>236</v>
      </c>
      <c r="E7" s="298" t="s">
        <v>237</v>
      </c>
      <c r="F7" s="298" t="s">
        <v>238</v>
      </c>
      <c r="G7" s="300" t="s">
        <v>239</v>
      </c>
    </row>
    <row r="8" spans="1:10">
      <c r="A8" s="301">
        <v>44742</v>
      </c>
      <c r="B8" s="302">
        <v>4</v>
      </c>
      <c r="C8" s="302" t="s">
        <v>240</v>
      </c>
      <c r="D8" s="302" t="s">
        <v>241</v>
      </c>
      <c r="E8" s="303">
        <v>74700</v>
      </c>
      <c r="F8" s="304">
        <f>+M71</f>
        <v>0</v>
      </c>
      <c r="G8" s="305"/>
      <c r="I8" t="s">
        <v>242</v>
      </c>
      <c r="J8" t="s">
        <v>243</v>
      </c>
    </row>
    <row r="9" spans="1:10">
      <c r="A9" s="306"/>
      <c r="B9" s="302"/>
      <c r="C9" s="302" t="s">
        <v>244</v>
      </c>
      <c r="D9" s="302" t="s">
        <v>241</v>
      </c>
      <c r="E9" s="303">
        <v>74700</v>
      </c>
      <c r="F9" s="304">
        <f>+Q71</f>
        <v>0</v>
      </c>
      <c r="G9" s="305"/>
      <c r="J9" s="126">
        <v>44012</v>
      </c>
    </row>
    <row r="10" spans="1:10">
      <c r="A10" s="306"/>
      <c r="B10" s="302"/>
      <c r="C10" s="302" t="s">
        <v>245</v>
      </c>
      <c r="D10" s="302" t="s">
        <v>241</v>
      </c>
      <c r="E10" s="303">
        <v>74700</v>
      </c>
      <c r="F10" s="304">
        <f>+O71</f>
        <v>0</v>
      </c>
      <c r="G10" s="305"/>
      <c r="J10" t="s">
        <v>243</v>
      </c>
    </row>
    <row r="11" spans="1:10">
      <c r="A11" s="306"/>
      <c r="B11" s="302"/>
      <c r="C11" s="302" t="s">
        <v>246</v>
      </c>
      <c r="D11" s="302" t="s">
        <v>241</v>
      </c>
      <c r="E11" s="307">
        <v>74700</v>
      </c>
      <c r="F11" s="308"/>
      <c r="G11" s="309">
        <f>+F71</f>
        <v>0</v>
      </c>
    </row>
    <row r="12" spans="1:10">
      <c r="A12" s="306"/>
      <c r="B12" s="302"/>
      <c r="C12" s="302" t="s">
        <v>247</v>
      </c>
      <c r="D12" s="302"/>
      <c r="E12" s="307"/>
      <c r="F12" s="310">
        <f>SUM(F8:F11)</f>
        <v>0</v>
      </c>
      <c r="G12" s="311">
        <f>SUM(G8:G11)</f>
        <v>0</v>
      </c>
    </row>
    <row r="13" spans="1:10">
      <c r="A13" s="306"/>
      <c r="B13" s="302"/>
      <c r="C13" s="302"/>
      <c r="D13" s="302"/>
      <c r="E13" s="307"/>
      <c r="F13" s="312">
        <f>+F12-G12</f>
        <v>0</v>
      </c>
      <c r="G13" s="305"/>
    </row>
    <row r="14" spans="1:10">
      <c r="A14" s="306"/>
      <c r="B14" s="302"/>
      <c r="C14" s="302"/>
      <c r="D14" s="302"/>
      <c r="E14" s="307"/>
      <c r="F14" s="312"/>
      <c r="G14" s="305"/>
    </row>
    <row r="15" spans="1:10">
      <c r="A15" s="301">
        <v>44742</v>
      </c>
      <c r="B15" s="302">
        <v>5</v>
      </c>
      <c r="C15" s="302" t="s">
        <v>248</v>
      </c>
      <c r="D15" s="302" t="s">
        <v>241</v>
      </c>
      <c r="E15" s="307">
        <v>74700</v>
      </c>
      <c r="F15" s="312"/>
      <c r="G15" s="313">
        <f>+N71</f>
        <v>0</v>
      </c>
    </row>
    <row r="16" spans="1:10">
      <c r="A16" s="306"/>
      <c r="B16" s="302"/>
      <c r="C16" s="302" t="s">
        <v>249</v>
      </c>
      <c r="D16" s="302" t="s">
        <v>241</v>
      </c>
      <c r="E16" s="307">
        <v>74700</v>
      </c>
      <c r="F16" s="312"/>
      <c r="G16" s="313">
        <f>+R71</f>
        <v>0</v>
      </c>
      <c r="I16" s="314"/>
    </row>
    <row r="17" spans="1:21">
      <c r="A17" s="306"/>
      <c r="B17" s="302"/>
      <c r="C17" s="302" t="s">
        <v>250</v>
      </c>
      <c r="D17" s="302" t="s">
        <v>241</v>
      </c>
      <c r="E17" s="307">
        <v>74700</v>
      </c>
      <c r="F17" s="312"/>
      <c r="G17" s="313">
        <f>+P71</f>
        <v>0</v>
      </c>
    </row>
    <row r="18" spans="1:21">
      <c r="A18" s="306"/>
      <c r="B18" s="302"/>
      <c r="C18" s="302" t="s">
        <v>251</v>
      </c>
      <c r="D18" s="302" t="s">
        <v>241</v>
      </c>
      <c r="E18" s="307">
        <v>94910</v>
      </c>
      <c r="F18" s="304">
        <f>+G71</f>
        <v>0</v>
      </c>
      <c r="G18" s="305"/>
    </row>
    <row r="19" spans="1:21">
      <c r="A19" s="306"/>
      <c r="B19" s="302"/>
      <c r="C19" s="302" t="s">
        <v>252</v>
      </c>
      <c r="D19" s="302"/>
      <c r="E19" s="307"/>
      <c r="F19" s="315">
        <f>SUM(F15:F18)</f>
        <v>0</v>
      </c>
      <c r="G19" s="311">
        <f>SUM(G15:G18)</f>
        <v>0</v>
      </c>
    </row>
    <row r="20" spans="1:21">
      <c r="A20" s="306"/>
      <c r="B20" s="302"/>
      <c r="C20" s="302"/>
      <c r="D20" s="302"/>
      <c r="E20" s="307"/>
      <c r="F20" s="312">
        <f>+F19-G19</f>
        <v>0</v>
      </c>
      <c r="G20" s="305"/>
    </row>
    <row r="24" spans="1:21">
      <c r="B24" s="77" t="s">
        <v>253</v>
      </c>
      <c r="E24" s="316" t="s">
        <v>254</v>
      </c>
      <c r="F24" s="316"/>
      <c r="G24" s="316"/>
    </row>
    <row r="25" spans="1:21">
      <c r="H25" s="369" t="s">
        <v>255</v>
      </c>
      <c r="I25" s="370"/>
      <c r="J25" s="371"/>
      <c r="M25" s="372" t="s">
        <v>256</v>
      </c>
      <c r="N25" s="372"/>
      <c r="O25" s="372" t="s">
        <v>257</v>
      </c>
      <c r="P25" s="372"/>
      <c r="Q25" s="372" t="s">
        <v>258</v>
      </c>
      <c r="R25" s="372"/>
    </row>
    <row r="26" spans="1:21">
      <c r="B26" s="317" t="s">
        <v>259</v>
      </c>
      <c r="C26" s="60" t="s">
        <v>260</v>
      </c>
      <c r="D26" s="60" t="s">
        <v>261</v>
      </c>
      <c r="E26" s="60" t="s">
        <v>262</v>
      </c>
      <c r="F26" s="60" t="s">
        <v>263</v>
      </c>
      <c r="G26" s="60" t="s">
        <v>264</v>
      </c>
      <c r="H26" s="318" t="s">
        <v>265</v>
      </c>
      <c r="I26" s="310" t="s">
        <v>266</v>
      </c>
      <c r="J26" s="319" t="s">
        <v>267</v>
      </c>
      <c r="M26" s="60" t="s">
        <v>263</v>
      </c>
      <c r="N26" s="60" t="s">
        <v>264</v>
      </c>
      <c r="O26" s="60" t="s">
        <v>263</v>
      </c>
      <c r="P26" s="60" t="s">
        <v>264</v>
      </c>
      <c r="Q26" s="60" t="s">
        <v>263</v>
      </c>
      <c r="R26" s="60" t="s">
        <v>264</v>
      </c>
      <c r="T26" s="60" t="s">
        <v>268</v>
      </c>
      <c r="U26" s="60" t="s">
        <v>268</v>
      </c>
    </row>
    <row r="27" spans="1:21">
      <c r="B27" s="320"/>
      <c r="C27" s="321"/>
      <c r="D27" s="322">
        <f>C27-B27</f>
        <v>0</v>
      </c>
      <c r="E27" s="323"/>
      <c r="F27" s="324"/>
      <c r="G27" s="324"/>
      <c r="H27" s="325">
        <f>IF((G27-F27)&lt;0,G27-F27,0)</f>
        <v>0</v>
      </c>
      <c r="I27" s="326"/>
      <c r="J27" s="327">
        <f>IF(D27&gt;365,G27-F27,0)</f>
        <v>0</v>
      </c>
      <c r="M27" s="93">
        <f t="shared" ref="M27:M69" si="0">IF(H27&lt;0,F27,0)</f>
        <v>0</v>
      </c>
      <c r="N27" s="93">
        <f>IF(H27&lt;0,G27,0)</f>
        <v>0</v>
      </c>
      <c r="O27" s="93">
        <f>IF(I27&gt;0,F27,0)</f>
        <v>0</v>
      </c>
      <c r="P27" s="93">
        <f>IF(I27&gt;0,G27,0)</f>
        <v>0</v>
      </c>
      <c r="Q27" s="93">
        <f t="shared" ref="Q27:Q69" si="1">IF(J27&gt;0,F27,0)</f>
        <v>0</v>
      </c>
      <c r="R27" s="93">
        <f>IF(J27&gt;0,G27,0)</f>
        <v>0</v>
      </c>
      <c r="T27" s="79">
        <f t="shared" ref="T27:U45" si="2">+F27-M27-O27-Q27</f>
        <v>0</v>
      </c>
      <c r="U27" s="79">
        <f t="shared" si="2"/>
        <v>0</v>
      </c>
    </row>
    <row r="28" spans="1:21">
      <c r="B28" s="320"/>
      <c r="C28" s="321"/>
      <c r="D28" s="322">
        <f t="shared" ref="D28:D69" si="3">C28-B28</f>
        <v>0</v>
      </c>
      <c r="E28" s="323"/>
      <c r="F28" s="324"/>
      <c r="G28" s="324"/>
      <c r="H28" s="325">
        <f>IF((G28-F28)&lt;0,G28-F28,0)</f>
        <v>0</v>
      </c>
      <c r="I28" s="326"/>
      <c r="J28" s="327">
        <f>IF(D28&gt;365,G28-F28,0)</f>
        <v>0</v>
      </c>
      <c r="M28" s="93">
        <f t="shared" si="0"/>
        <v>0</v>
      </c>
      <c r="N28" s="93">
        <f>IF(H28&lt;0,G28,0)</f>
        <v>0</v>
      </c>
      <c r="O28" s="93">
        <f>IF(I28&gt;0,F28,0)</f>
        <v>0</v>
      </c>
      <c r="P28" s="93">
        <f t="shared" ref="P28:P69" si="4">IF(I28&gt;0,G28,0)</f>
        <v>0</v>
      </c>
      <c r="Q28" s="93">
        <f t="shared" si="1"/>
        <v>0</v>
      </c>
      <c r="R28" s="93">
        <f>IF(J28&gt;0,G28,0)</f>
        <v>0</v>
      </c>
      <c r="T28" s="79">
        <f t="shared" si="2"/>
        <v>0</v>
      </c>
      <c r="U28" s="79">
        <f t="shared" si="2"/>
        <v>0</v>
      </c>
    </row>
    <row r="29" spans="1:21">
      <c r="B29" s="320"/>
      <c r="C29" s="321"/>
      <c r="D29" s="322">
        <f t="shared" si="3"/>
        <v>0</v>
      </c>
      <c r="E29" s="323"/>
      <c r="F29" s="324"/>
      <c r="G29" s="324"/>
      <c r="H29" s="325">
        <f t="shared" ref="H29:H69" si="5">IF((G29-F29)&lt;0,G29-F29,0)</f>
        <v>0</v>
      </c>
      <c r="I29" s="326"/>
      <c r="J29" s="327">
        <f>IF(D29&gt;365,G29-F29,0)</f>
        <v>0</v>
      </c>
      <c r="M29" s="93">
        <f t="shared" si="0"/>
        <v>0</v>
      </c>
      <c r="N29" s="93">
        <f t="shared" ref="N29:N69" si="6">IF(H29&lt;0,G29,0)</f>
        <v>0</v>
      </c>
      <c r="O29" s="93">
        <f>IF(I29&gt;0,F29,0)</f>
        <v>0</v>
      </c>
      <c r="P29" s="93">
        <f t="shared" si="4"/>
        <v>0</v>
      </c>
      <c r="Q29" s="93">
        <f t="shared" si="1"/>
        <v>0</v>
      </c>
      <c r="R29" s="93">
        <f>IF(J29&gt;0,G29,0)</f>
        <v>0</v>
      </c>
      <c r="T29" s="79">
        <f t="shared" si="2"/>
        <v>0</v>
      </c>
      <c r="U29" s="79">
        <f t="shared" si="2"/>
        <v>0</v>
      </c>
    </row>
    <row r="30" spans="1:21">
      <c r="B30" s="320"/>
      <c r="C30" s="321"/>
      <c r="D30" s="322">
        <f t="shared" si="3"/>
        <v>0</v>
      </c>
      <c r="E30" s="323"/>
      <c r="F30" s="324"/>
      <c r="G30" s="324"/>
      <c r="H30" s="325">
        <f t="shared" si="5"/>
        <v>0</v>
      </c>
      <c r="I30" s="326"/>
      <c r="J30" s="327">
        <f>IF(D30&gt;365,G30-F30,0)</f>
        <v>0</v>
      </c>
      <c r="M30" s="93">
        <f t="shared" si="0"/>
        <v>0</v>
      </c>
      <c r="N30" s="93">
        <f t="shared" si="6"/>
        <v>0</v>
      </c>
      <c r="O30" s="93">
        <f t="shared" ref="O30:O69" si="7">IF(I30&gt;0,F30,0)</f>
        <v>0</v>
      </c>
      <c r="P30" s="93">
        <f t="shared" si="4"/>
        <v>0</v>
      </c>
      <c r="Q30" s="93">
        <f t="shared" si="1"/>
        <v>0</v>
      </c>
      <c r="R30" s="93">
        <f>IF(J30&gt;0,G30,0)</f>
        <v>0</v>
      </c>
      <c r="T30" s="79">
        <f t="shared" si="2"/>
        <v>0</v>
      </c>
      <c r="U30" s="79">
        <f t="shared" si="2"/>
        <v>0</v>
      </c>
    </row>
    <row r="31" spans="1:21">
      <c r="B31" s="320"/>
      <c r="C31" s="321"/>
      <c r="D31" s="322">
        <f t="shared" si="3"/>
        <v>0</v>
      </c>
      <c r="E31" s="323"/>
      <c r="F31" s="324"/>
      <c r="G31" s="324"/>
      <c r="H31" s="325">
        <f t="shared" si="5"/>
        <v>0</v>
      </c>
      <c r="I31" s="326"/>
      <c r="J31" s="327">
        <f>IF(D31&gt;365,G31-F31,0)</f>
        <v>0</v>
      </c>
      <c r="M31" s="93">
        <f t="shared" si="0"/>
        <v>0</v>
      </c>
      <c r="N31" s="93">
        <f t="shared" si="6"/>
        <v>0</v>
      </c>
      <c r="O31" s="93">
        <f t="shared" si="7"/>
        <v>0</v>
      </c>
      <c r="P31" s="93">
        <f t="shared" si="4"/>
        <v>0</v>
      </c>
      <c r="Q31" s="93">
        <f t="shared" si="1"/>
        <v>0</v>
      </c>
      <c r="R31" s="93">
        <f>IF(J31&gt;0,G31,0)</f>
        <v>0</v>
      </c>
      <c r="T31" s="79">
        <f t="shared" si="2"/>
        <v>0</v>
      </c>
      <c r="U31" s="79">
        <f t="shared" si="2"/>
        <v>0</v>
      </c>
    </row>
    <row r="32" spans="1:21">
      <c r="B32" s="320"/>
      <c r="C32" s="321"/>
      <c r="D32" s="322">
        <f t="shared" si="3"/>
        <v>0</v>
      </c>
      <c r="E32" s="323"/>
      <c r="F32" s="324"/>
      <c r="G32" s="324"/>
      <c r="H32" s="325">
        <f t="shared" si="5"/>
        <v>0</v>
      </c>
      <c r="I32" s="326"/>
      <c r="J32" s="327">
        <v>0</v>
      </c>
      <c r="M32" s="93">
        <f t="shared" si="0"/>
        <v>0</v>
      </c>
      <c r="N32" s="93">
        <f t="shared" si="6"/>
        <v>0</v>
      </c>
      <c r="O32" s="93">
        <f t="shared" si="7"/>
        <v>0</v>
      </c>
      <c r="P32" s="93">
        <f t="shared" si="4"/>
        <v>0</v>
      </c>
      <c r="Q32" s="93">
        <f t="shared" si="1"/>
        <v>0</v>
      </c>
      <c r="R32" s="93">
        <f>IF(J32&gt;0,G32-#REF!,0)</f>
        <v>0</v>
      </c>
      <c r="T32" s="79">
        <f t="shared" si="2"/>
        <v>0</v>
      </c>
      <c r="U32" s="79">
        <f t="shared" si="2"/>
        <v>0</v>
      </c>
    </row>
    <row r="33" spans="2:21">
      <c r="B33" s="320"/>
      <c r="C33" s="321"/>
      <c r="D33" s="322">
        <f t="shared" si="3"/>
        <v>0</v>
      </c>
      <c r="E33" s="323"/>
      <c r="F33" s="324"/>
      <c r="G33" s="324"/>
      <c r="H33" s="325">
        <f t="shared" si="5"/>
        <v>0</v>
      </c>
      <c r="I33" s="326"/>
      <c r="J33" s="327">
        <v>0</v>
      </c>
      <c r="M33" s="93">
        <f t="shared" si="0"/>
        <v>0</v>
      </c>
      <c r="N33" s="93">
        <f t="shared" si="6"/>
        <v>0</v>
      </c>
      <c r="O33" s="93">
        <f t="shared" si="7"/>
        <v>0</v>
      </c>
      <c r="P33" s="93">
        <f t="shared" si="4"/>
        <v>0</v>
      </c>
      <c r="Q33" s="93">
        <f t="shared" si="1"/>
        <v>0</v>
      </c>
      <c r="R33" s="93">
        <f>IF(J33&gt;0,G33-#REF!,0)</f>
        <v>0</v>
      </c>
      <c r="T33" s="79">
        <f t="shared" si="2"/>
        <v>0</v>
      </c>
      <c r="U33" s="79">
        <f t="shared" si="2"/>
        <v>0</v>
      </c>
    </row>
    <row r="34" spans="2:21">
      <c r="B34" s="320"/>
      <c r="C34" s="321"/>
      <c r="D34" s="322">
        <f t="shared" si="3"/>
        <v>0</v>
      </c>
      <c r="E34" s="323"/>
      <c r="F34" s="324"/>
      <c r="G34" s="324"/>
      <c r="H34" s="325">
        <f t="shared" si="5"/>
        <v>0</v>
      </c>
      <c r="I34" s="326">
        <f t="shared" ref="I34:I61" si="8">IF(D34&lt;365,G34-F34,0)</f>
        <v>0</v>
      </c>
      <c r="J34" s="327">
        <f>IF(D34&gt;365,G34-F34,0)</f>
        <v>0</v>
      </c>
      <c r="M34" s="93">
        <f t="shared" si="0"/>
        <v>0</v>
      </c>
      <c r="N34" s="93">
        <f t="shared" si="6"/>
        <v>0</v>
      </c>
      <c r="O34" s="93">
        <f t="shared" si="7"/>
        <v>0</v>
      </c>
      <c r="P34" s="93">
        <f t="shared" si="4"/>
        <v>0</v>
      </c>
      <c r="Q34" s="93">
        <f t="shared" si="1"/>
        <v>0</v>
      </c>
      <c r="R34" s="93">
        <f>IF(J34&gt;0,G34,0)</f>
        <v>0</v>
      </c>
      <c r="T34" s="79">
        <f t="shared" si="2"/>
        <v>0</v>
      </c>
      <c r="U34" s="79">
        <f t="shared" si="2"/>
        <v>0</v>
      </c>
    </row>
    <row r="35" spans="2:21">
      <c r="B35" s="320"/>
      <c r="C35" s="321"/>
      <c r="D35" s="322">
        <f t="shared" si="3"/>
        <v>0</v>
      </c>
      <c r="E35" s="323"/>
      <c r="F35" s="324"/>
      <c r="G35" s="324"/>
      <c r="H35" s="325">
        <f t="shared" si="5"/>
        <v>0</v>
      </c>
      <c r="I35" s="326">
        <f t="shared" si="8"/>
        <v>0</v>
      </c>
      <c r="J35" s="327">
        <v>0</v>
      </c>
      <c r="M35" s="93">
        <f t="shared" si="0"/>
        <v>0</v>
      </c>
      <c r="N35" s="93">
        <f t="shared" si="6"/>
        <v>0</v>
      </c>
      <c r="O35" s="93">
        <f t="shared" si="7"/>
        <v>0</v>
      </c>
      <c r="P35" s="93">
        <f t="shared" si="4"/>
        <v>0</v>
      </c>
      <c r="Q35" s="93">
        <f t="shared" si="1"/>
        <v>0</v>
      </c>
      <c r="R35" s="93">
        <f>IF(J35&gt;0,G35,0)</f>
        <v>0</v>
      </c>
      <c r="T35" s="79">
        <f t="shared" si="2"/>
        <v>0</v>
      </c>
      <c r="U35" s="79">
        <f t="shared" si="2"/>
        <v>0</v>
      </c>
    </row>
    <row r="36" spans="2:21">
      <c r="B36" s="320"/>
      <c r="C36" s="321"/>
      <c r="D36" s="322">
        <f t="shared" si="3"/>
        <v>0</v>
      </c>
      <c r="E36" s="323"/>
      <c r="F36" s="324"/>
      <c r="G36" s="324"/>
      <c r="H36" s="325">
        <f t="shared" si="5"/>
        <v>0</v>
      </c>
      <c r="I36" s="326">
        <f t="shared" si="8"/>
        <v>0</v>
      </c>
      <c r="J36" s="327">
        <f>IF(D36&gt;365,G36-F36,0)</f>
        <v>0</v>
      </c>
      <c r="M36" s="93">
        <f t="shared" si="0"/>
        <v>0</v>
      </c>
      <c r="N36" s="93">
        <f t="shared" si="6"/>
        <v>0</v>
      </c>
      <c r="O36" s="93">
        <f t="shared" si="7"/>
        <v>0</v>
      </c>
      <c r="P36" s="93">
        <f t="shared" si="4"/>
        <v>0</v>
      </c>
      <c r="Q36" s="93">
        <f t="shared" si="1"/>
        <v>0</v>
      </c>
      <c r="R36" s="93">
        <f>IF(J36&gt;0,G36,0)</f>
        <v>0</v>
      </c>
      <c r="T36" s="79">
        <f t="shared" si="2"/>
        <v>0</v>
      </c>
      <c r="U36" s="79">
        <f t="shared" si="2"/>
        <v>0</v>
      </c>
    </row>
    <row r="37" spans="2:21">
      <c r="B37" s="320"/>
      <c r="C37" s="321"/>
      <c r="D37" s="322">
        <f t="shared" si="3"/>
        <v>0</v>
      </c>
      <c r="E37" s="323"/>
      <c r="F37" s="324"/>
      <c r="G37" s="324"/>
      <c r="H37" s="325">
        <f t="shared" si="5"/>
        <v>0</v>
      </c>
      <c r="I37" s="326">
        <f t="shared" si="8"/>
        <v>0</v>
      </c>
      <c r="J37" s="327">
        <f>IF(D37&gt;365,G37-F37,0)</f>
        <v>0</v>
      </c>
      <c r="M37" s="93">
        <f t="shared" si="0"/>
        <v>0</v>
      </c>
      <c r="N37" s="93">
        <f t="shared" si="6"/>
        <v>0</v>
      </c>
      <c r="O37" s="93">
        <f t="shared" si="7"/>
        <v>0</v>
      </c>
      <c r="P37" s="93">
        <f t="shared" si="4"/>
        <v>0</v>
      </c>
      <c r="Q37" s="93">
        <f t="shared" si="1"/>
        <v>0</v>
      </c>
      <c r="R37" s="93">
        <f>IF(J37&gt;0,G37,0)</f>
        <v>0</v>
      </c>
      <c r="T37" s="79">
        <f t="shared" si="2"/>
        <v>0</v>
      </c>
      <c r="U37" s="79">
        <f t="shared" si="2"/>
        <v>0</v>
      </c>
    </row>
    <row r="38" spans="2:21">
      <c r="B38" s="320"/>
      <c r="C38" s="321"/>
      <c r="D38" s="322">
        <f t="shared" si="3"/>
        <v>0</v>
      </c>
      <c r="E38" s="323"/>
      <c r="F38" s="324"/>
      <c r="G38" s="324"/>
      <c r="H38" s="325">
        <f t="shared" si="5"/>
        <v>0</v>
      </c>
      <c r="I38" s="326">
        <f t="shared" si="8"/>
        <v>0</v>
      </c>
      <c r="J38" s="327">
        <f>IF(D38&gt;365,G38-F38,0)</f>
        <v>0</v>
      </c>
      <c r="M38" s="93">
        <f t="shared" si="0"/>
        <v>0</v>
      </c>
      <c r="N38" s="93">
        <f t="shared" si="6"/>
        <v>0</v>
      </c>
      <c r="O38" s="93">
        <f t="shared" si="7"/>
        <v>0</v>
      </c>
      <c r="P38" s="93">
        <f t="shared" si="4"/>
        <v>0</v>
      </c>
      <c r="Q38" s="93">
        <f t="shared" si="1"/>
        <v>0</v>
      </c>
      <c r="R38" s="93">
        <f>IF(J38&gt;0,G38,0)</f>
        <v>0</v>
      </c>
      <c r="T38" s="79">
        <f t="shared" si="2"/>
        <v>0</v>
      </c>
      <c r="U38" s="79">
        <f t="shared" si="2"/>
        <v>0</v>
      </c>
    </row>
    <row r="39" spans="2:21">
      <c r="B39" s="320"/>
      <c r="C39" s="321"/>
      <c r="D39" s="322">
        <f t="shared" si="3"/>
        <v>0</v>
      </c>
      <c r="E39" s="323"/>
      <c r="F39" s="324"/>
      <c r="G39" s="324"/>
      <c r="H39" s="325">
        <f t="shared" si="5"/>
        <v>0</v>
      </c>
      <c r="I39" s="326">
        <f t="shared" si="8"/>
        <v>0</v>
      </c>
      <c r="J39" s="327">
        <f t="shared" ref="J39:J40" si="9">IF(D39&gt;365,G39-F39,0)</f>
        <v>0</v>
      </c>
      <c r="M39" s="93">
        <f t="shared" si="0"/>
        <v>0</v>
      </c>
      <c r="N39" s="93">
        <f t="shared" si="6"/>
        <v>0</v>
      </c>
      <c r="O39" s="93">
        <f t="shared" si="7"/>
        <v>0</v>
      </c>
      <c r="P39" s="93">
        <f t="shared" si="4"/>
        <v>0</v>
      </c>
      <c r="Q39" s="93">
        <f t="shared" si="1"/>
        <v>0</v>
      </c>
      <c r="R39" s="93">
        <f t="shared" ref="R39:R40" si="10">IF(J39&gt;0,G39,0)</f>
        <v>0</v>
      </c>
      <c r="T39" s="79">
        <f t="shared" si="2"/>
        <v>0</v>
      </c>
      <c r="U39" s="79">
        <f t="shared" si="2"/>
        <v>0</v>
      </c>
    </row>
    <row r="40" spans="2:21">
      <c r="B40" s="320"/>
      <c r="C40" s="321"/>
      <c r="D40" s="322">
        <f t="shared" si="3"/>
        <v>0</v>
      </c>
      <c r="E40" s="323"/>
      <c r="F40" s="324"/>
      <c r="G40" s="324"/>
      <c r="H40" s="325">
        <f t="shared" si="5"/>
        <v>0</v>
      </c>
      <c r="I40" s="326">
        <f t="shared" si="8"/>
        <v>0</v>
      </c>
      <c r="J40" s="327">
        <f t="shared" si="9"/>
        <v>0</v>
      </c>
      <c r="M40" s="93">
        <f t="shared" si="0"/>
        <v>0</v>
      </c>
      <c r="N40" s="93">
        <f t="shared" si="6"/>
        <v>0</v>
      </c>
      <c r="O40" s="93">
        <f t="shared" si="7"/>
        <v>0</v>
      </c>
      <c r="P40" s="93">
        <f t="shared" si="4"/>
        <v>0</v>
      </c>
      <c r="Q40" s="93">
        <f t="shared" si="1"/>
        <v>0</v>
      </c>
      <c r="R40" s="93">
        <f t="shared" si="10"/>
        <v>0</v>
      </c>
      <c r="T40" s="79">
        <f t="shared" si="2"/>
        <v>0</v>
      </c>
      <c r="U40" s="79">
        <f t="shared" si="2"/>
        <v>0</v>
      </c>
    </row>
    <row r="41" spans="2:21">
      <c r="B41" s="320"/>
      <c r="C41" s="321"/>
      <c r="D41" s="322">
        <f t="shared" si="3"/>
        <v>0</v>
      </c>
      <c r="E41" s="323"/>
      <c r="F41" s="324"/>
      <c r="G41" s="324"/>
      <c r="H41" s="325">
        <f t="shared" si="5"/>
        <v>0</v>
      </c>
      <c r="I41" s="326">
        <f t="shared" si="8"/>
        <v>0</v>
      </c>
      <c r="J41" s="327">
        <f>IF(D41&gt;365,G41-F41,0)</f>
        <v>0</v>
      </c>
      <c r="M41" s="93">
        <f t="shared" si="0"/>
        <v>0</v>
      </c>
      <c r="N41" s="93">
        <f t="shared" si="6"/>
        <v>0</v>
      </c>
      <c r="O41" s="93">
        <f t="shared" si="7"/>
        <v>0</v>
      </c>
      <c r="P41" s="93">
        <f t="shared" si="4"/>
        <v>0</v>
      </c>
      <c r="Q41" s="93">
        <f t="shared" si="1"/>
        <v>0</v>
      </c>
      <c r="R41" s="93">
        <f>IF(J41&gt;0,G41,0)</f>
        <v>0</v>
      </c>
      <c r="T41" s="79">
        <f t="shared" si="2"/>
        <v>0</v>
      </c>
      <c r="U41" s="79">
        <f t="shared" si="2"/>
        <v>0</v>
      </c>
    </row>
    <row r="42" spans="2:21">
      <c r="B42" s="320"/>
      <c r="C42" s="321"/>
      <c r="D42" s="322">
        <f t="shared" si="3"/>
        <v>0</v>
      </c>
      <c r="E42" s="323"/>
      <c r="F42" s="324"/>
      <c r="G42" s="324"/>
      <c r="H42" s="325">
        <f t="shared" si="5"/>
        <v>0</v>
      </c>
      <c r="I42" s="326">
        <f t="shared" si="8"/>
        <v>0</v>
      </c>
      <c r="J42" s="327">
        <f t="shared" ref="J42:J66" si="11">IF(D42&gt;365,G42-F42,0)</f>
        <v>0</v>
      </c>
      <c r="M42" s="93">
        <f t="shared" si="0"/>
        <v>0</v>
      </c>
      <c r="N42" s="93">
        <f t="shared" si="6"/>
        <v>0</v>
      </c>
      <c r="O42" s="93">
        <f t="shared" si="7"/>
        <v>0</v>
      </c>
      <c r="P42" s="93">
        <f t="shared" si="4"/>
        <v>0</v>
      </c>
      <c r="Q42" s="93">
        <f t="shared" si="1"/>
        <v>0</v>
      </c>
      <c r="R42" s="93">
        <f t="shared" ref="R42:R69" si="12">IF(J42&gt;0,G42,0)</f>
        <v>0</v>
      </c>
      <c r="T42" s="79">
        <f t="shared" si="2"/>
        <v>0</v>
      </c>
      <c r="U42" s="79">
        <f t="shared" si="2"/>
        <v>0</v>
      </c>
    </row>
    <row r="43" spans="2:21">
      <c r="B43" s="320"/>
      <c r="C43" s="321"/>
      <c r="D43" s="322">
        <f t="shared" si="3"/>
        <v>0</v>
      </c>
      <c r="E43" s="323"/>
      <c r="F43" s="324"/>
      <c r="G43" s="324"/>
      <c r="H43" s="325">
        <f t="shared" si="5"/>
        <v>0</v>
      </c>
      <c r="I43" s="326">
        <f t="shared" si="8"/>
        <v>0</v>
      </c>
      <c r="J43" s="327">
        <f t="shared" si="11"/>
        <v>0</v>
      </c>
      <c r="M43" s="93">
        <f t="shared" si="0"/>
        <v>0</v>
      </c>
      <c r="N43" s="93">
        <f t="shared" si="6"/>
        <v>0</v>
      </c>
      <c r="O43" s="93">
        <f t="shared" si="7"/>
        <v>0</v>
      </c>
      <c r="P43" s="93">
        <f t="shared" si="4"/>
        <v>0</v>
      </c>
      <c r="Q43" s="93">
        <f t="shared" si="1"/>
        <v>0</v>
      </c>
      <c r="R43" s="93">
        <f t="shared" si="12"/>
        <v>0</v>
      </c>
      <c r="T43" s="79">
        <f t="shared" si="2"/>
        <v>0</v>
      </c>
      <c r="U43" s="79">
        <f t="shared" si="2"/>
        <v>0</v>
      </c>
    </row>
    <row r="44" spans="2:21">
      <c r="B44" s="320"/>
      <c r="C44" s="321"/>
      <c r="D44" s="322">
        <f t="shared" si="3"/>
        <v>0</v>
      </c>
      <c r="E44" s="323"/>
      <c r="F44" s="324"/>
      <c r="G44" s="324"/>
      <c r="H44" s="325">
        <f t="shared" si="5"/>
        <v>0</v>
      </c>
      <c r="I44" s="326">
        <f t="shared" si="8"/>
        <v>0</v>
      </c>
      <c r="J44" s="327">
        <f t="shared" si="11"/>
        <v>0</v>
      </c>
      <c r="M44" s="93">
        <f t="shared" si="0"/>
        <v>0</v>
      </c>
      <c r="N44" s="93">
        <f t="shared" si="6"/>
        <v>0</v>
      </c>
      <c r="O44" s="93">
        <f t="shared" si="7"/>
        <v>0</v>
      </c>
      <c r="P44" s="93">
        <f t="shared" si="4"/>
        <v>0</v>
      </c>
      <c r="Q44" s="93">
        <f t="shared" si="1"/>
        <v>0</v>
      </c>
      <c r="R44" s="93">
        <f t="shared" si="12"/>
        <v>0</v>
      </c>
      <c r="T44" s="79">
        <f t="shared" si="2"/>
        <v>0</v>
      </c>
      <c r="U44" s="79">
        <f t="shared" si="2"/>
        <v>0</v>
      </c>
    </row>
    <row r="45" spans="2:21">
      <c r="B45" s="320"/>
      <c r="C45" s="321"/>
      <c r="D45" s="322">
        <f t="shared" si="3"/>
        <v>0</v>
      </c>
      <c r="E45" s="323"/>
      <c r="F45" s="324"/>
      <c r="G45" s="324"/>
      <c r="H45" s="325">
        <f t="shared" si="5"/>
        <v>0</v>
      </c>
      <c r="I45" s="326">
        <f t="shared" si="8"/>
        <v>0</v>
      </c>
      <c r="J45" s="327">
        <v>0</v>
      </c>
      <c r="M45" s="93">
        <f t="shared" si="0"/>
        <v>0</v>
      </c>
      <c r="N45" s="93">
        <f t="shared" si="6"/>
        <v>0</v>
      </c>
      <c r="O45" s="93">
        <f t="shared" si="7"/>
        <v>0</v>
      </c>
      <c r="P45" s="93">
        <f t="shared" si="4"/>
        <v>0</v>
      </c>
      <c r="Q45" s="93">
        <f t="shared" si="1"/>
        <v>0</v>
      </c>
      <c r="R45" s="93">
        <f t="shared" si="12"/>
        <v>0</v>
      </c>
      <c r="T45" s="79">
        <f t="shared" si="2"/>
        <v>0</v>
      </c>
      <c r="U45" s="79">
        <f t="shared" si="2"/>
        <v>0</v>
      </c>
    </row>
    <row r="46" spans="2:21">
      <c r="B46" s="320"/>
      <c r="C46" s="321"/>
      <c r="D46" s="322">
        <f t="shared" si="3"/>
        <v>0</v>
      </c>
      <c r="E46" s="323"/>
      <c r="F46" s="324"/>
      <c r="G46" s="324"/>
      <c r="H46" s="325">
        <f t="shared" si="5"/>
        <v>0</v>
      </c>
      <c r="I46" s="326">
        <f t="shared" si="8"/>
        <v>0</v>
      </c>
      <c r="J46" s="327">
        <f t="shared" si="11"/>
        <v>0</v>
      </c>
      <c r="M46" s="93">
        <f t="shared" si="0"/>
        <v>0</v>
      </c>
      <c r="N46" s="93">
        <f t="shared" si="6"/>
        <v>0</v>
      </c>
      <c r="O46" s="93">
        <f t="shared" si="7"/>
        <v>0</v>
      </c>
      <c r="P46" s="93">
        <f t="shared" si="4"/>
        <v>0</v>
      </c>
      <c r="Q46" s="93">
        <f t="shared" si="1"/>
        <v>0</v>
      </c>
      <c r="R46" s="93">
        <f t="shared" si="12"/>
        <v>0</v>
      </c>
      <c r="T46" s="79">
        <f t="shared" ref="T46:U69" si="13">+F46-M46-O46-Q46</f>
        <v>0</v>
      </c>
      <c r="U46" s="79">
        <f t="shared" si="13"/>
        <v>0</v>
      </c>
    </row>
    <row r="47" spans="2:21">
      <c r="B47" s="320"/>
      <c r="C47" s="321"/>
      <c r="D47" s="322">
        <f t="shared" si="3"/>
        <v>0</v>
      </c>
      <c r="E47" s="323"/>
      <c r="F47" s="324"/>
      <c r="G47" s="324"/>
      <c r="H47" s="325">
        <f t="shared" si="5"/>
        <v>0</v>
      </c>
      <c r="I47" s="326">
        <f t="shared" si="8"/>
        <v>0</v>
      </c>
      <c r="J47" s="327">
        <f t="shared" si="11"/>
        <v>0</v>
      </c>
      <c r="M47" s="93">
        <f t="shared" si="0"/>
        <v>0</v>
      </c>
      <c r="N47" s="93">
        <f t="shared" si="6"/>
        <v>0</v>
      </c>
      <c r="O47" s="93">
        <f t="shared" si="7"/>
        <v>0</v>
      </c>
      <c r="P47" s="93">
        <f t="shared" si="4"/>
        <v>0</v>
      </c>
      <c r="Q47" s="93">
        <f t="shared" si="1"/>
        <v>0</v>
      </c>
      <c r="R47" s="93">
        <f t="shared" si="12"/>
        <v>0</v>
      </c>
      <c r="T47" s="79">
        <f t="shared" si="13"/>
        <v>0</v>
      </c>
      <c r="U47" s="79">
        <f t="shared" si="13"/>
        <v>0</v>
      </c>
    </row>
    <row r="48" spans="2:21" hidden="1">
      <c r="B48" s="320"/>
      <c r="C48" s="321"/>
      <c r="D48" s="322">
        <f t="shared" si="3"/>
        <v>0</v>
      </c>
      <c r="E48" s="323"/>
      <c r="F48" s="324"/>
      <c r="G48" s="324"/>
      <c r="H48" s="325">
        <f t="shared" si="5"/>
        <v>0</v>
      </c>
      <c r="I48" s="326">
        <f t="shared" si="8"/>
        <v>0</v>
      </c>
      <c r="J48" s="327">
        <f t="shared" si="11"/>
        <v>0</v>
      </c>
      <c r="M48" s="93">
        <f t="shared" si="0"/>
        <v>0</v>
      </c>
      <c r="N48" s="93">
        <f t="shared" si="6"/>
        <v>0</v>
      </c>
      <c r="O48" s="93">
        <f t="shared" si="7"/>
        <v>0</v>
      </c>
      <c r="P48" s="93">
        <f t="shared" si="4"/>
        <v>0</v>
      </c>
      <c r="Q48" s="93">
        <f t="shared" si="1"/>
        <v>0</v>
      </c>
      <c r="R48" s="93">
        <f t="shared" si="12"/>
        <v>0</v>
      </c>
      <c r="T48" s="79">
        <f t="shared" si="13"/>
        <v>0</v>
      </c>
      <c r="U48" s="79">
        <f t="shared" si="13"/>
        <v>0</v>
      </c>
    </row>
    <row r="49" spans="2:21" hidden="1">
      <c r="B49" s="320"/>
      <c r="C49" s="321"/>
      <c r="D49" s="322">
        <f t="shared" si="3"/>
        <v>0</v>
      </c>
      <c r="E49" s="323"/>
      <c r="F49" s="324"/>
      <c r="G49" s="324"/>
      <c r="H49" s="325">
        <f t="shared" si="5"/>
        <v>0</v>
      </c>
      <c r="I49" s="326">
        <f t="shared" si="8"/>
        <v>0</v>
      </c>
      <c r="J49" s="327">
        <f t="shared" si="11"/>
        <v>0</v>
      </c>
      <c r="M49" s="93">
        <f t="shared" si="0"/>
        <v>0</v>
      </c>
      <c r="N49" s="93">
        <f t="shared" si="6"/>
        <v>0</v>
      </c>
      <c r="O49" s="93">
        <f t="shared" si="7"/>
        <v>0</v>
      </c>
      <c r="P49" s="93">
        <f t="shared" si="4"/>
        <v>0</v>
      </c>
      <c r="Q49" s="93">
        <f t="shared" si="1"/>
        <v>0</v>
      </c>
      <c r="R49" s="93">
        <f t="shared" si="12"/>
        <v>0</v>
      </c>
      <c r="T49" s="79">
        <f t="shared" si="13"/>
        <v>0</v>
      </c>
      <c r="U49" s="79">
        <f t="shared" si="13"/>
        <v>0</v>
      </c>
    </row>
    <row r="50" spans="2:21" hidden="1">
      <c r="B50" s="320"/>
      <c r="C50" s="321"/>
      <c r="D50" s="322">
        <f t="shared" si="3"/>
        <v>0</v>
      </c>
      <c r="E50" s="323"/>
      <c r="F50" s="324"/>
      <c r="G50" s="324"/>
      <c r="H50" s="325">
        <f t="shared" si="5"/>
        <v>0</v>
      </c>
      <c r="I50" s="326">
        <f t="shared" si="8"/>
        <v>0</v>
      </c>
      <c r="J50" s="327">
        <f t="shared" si="11"/>
        <v>0</v>
      </c>
      <c r="M50" s="93">
        <f t="shared" si="0"/>
        <v>0</v>
      </c>
      <c r="N50" s="93">
        <f t="shared" si="6"/>
        <v>0</v>
      </c>
      <c r="O50" s="93">
        <f t="shared" si="7"/>
        <v>0</v>
      </c>
      <c r="P50" s="93">
        <f t="shared" si="4"/>
        <v>0</v>
      </c>
      <c r="Q50" s="93">
        <f t="shared" si="1"/>
        <v>0</v>
      </c>
      <c r="R50" s="93">
        <f t="shared" si="12"/>
        <v>0</v>
      </c>
      <c r="T50" s="79">
        <f t="shared" si="13"/>
        <v>0</v>
      </c>
      <c r="U50" s="79">
        <f t="shared" si="13"/>
        <v>0</v>
      </c>
    </row>
    <row r="51" spans="2:21" hidden="1">
      <c r="B51" s="320"/>
      <c r="C51" s="321"/>
      <c r="D51" s="322">
        <f t="shared" si="3"/>
        <v>0</v>
      </c>
      <c r="E51" s="323"/>
      <c r="F51" s="324"/>
      <c r="G51" s="324"/>
      <c r="H51" s="325">
        <f t="shared" si="5"/>
        <v>0</v>
      </c>
      <c r="I51" s="326">
        <f t="shared" si="8"/>
        <v>0</v>
      </c>
      <c r="J51" s="327">
        <v>0</v>
      </c>
      <c r="M51" s="93">
        <f t="shared" si="0"/>
        <v>0</v>
      </c>
      <c r="N51" s="93">
        <f t="shared" si="6"/>
        <v>0</v>
      </c>
      <c r="O51" s="93">
        <f t="shared" si="7"/>
        <v>0</v>
      </c>
      <c r="P51" s="93">
        <f t="shared" si="4"/>
        <v>0</v>
      </c>
      <c r="Q51" s="93">
        <f t="shared" si="1"/>
        <v>0</v>
      </c>
      <c r="R51" s="93">
        <f t="shared" si="12"/>
        <v>0</v>
      </c>
      <c r="T51" s="79">
        <f t="shared" si="13"/>
        <v>0</v>
      </c>
      <c r="U51" s="79">
        <f t="shared" si="13"/>
        <v>0</v>
      </c>
    </row>
    <row r="52" spans="2:21" hidden="1">
      <c r="B52" s="320"/>
      <c r="C52" s="321"/>
      <c r="D52" s="322">
        <f t="shared" si="3"/>
        <v>0</v>
      </c>
      <c r="E52" s="323"/>
      <c r="F52" s="324"/>
      <c r="G52" s="324"/>
      <c r="H52" s="325">
        <f t="shared" si="5"/>
        <v>0</v>
      </c>
      <c r="I52" s="326">
        <f t="shared" si="8"/>
        <v>0</v>
      </c>
      <c r="J52" s="327">
        <v>0</v>
      </c>
      <c r="M52" s="93">
        <f t="shared" si="0"/>
        <v>0</v>
      </c>
      <c r="N52" s="93">
        <f t="shared" si="6"/>
        <v>0</v>
      </c>
      <c r="O52" s="93">
        <f t="shared" si="7"/>
        <v>0</v>
      </c>
      <c r="P52" s="93">
        <f t="shared" si="4"/>
        <v>0</v>
      </c>
      <c r="Q52" s="93">
        <f t="shared" si="1"/>
        <v>0</v>
      </c>
      <c r="R52" s="93">
        <f t="shared" si="12"/>
        <v>0</v>
      </c>
      <c r="T52" s="79">
        <f t="shared" si="13"/>
        <v>0</v>
      </c>
      <c r="U52" s="79">
        <f t="shared" si="13"/>
        <v>0</v>
      </c>
    </row>
    <row r="53" spans="2:21" hidden="1">
      <c r="B53" s="320"/>
      <c r="C53" s="321"/>
      <c r="D53" s="322">
        <f t="shared" si="3"/>
        <v>0</v>
      </c>
      <c r="E53" s="323"/>
      <c r="F53" s="324"/>
      <c r="G53" s="324"/>
      <c r="H53" s="325">
        <f t="shared" si="5"/>
        <v>0</v>
      </c>
      <c r="I53" s="326">
        <f t="shared" si="8"/>
        <v>0</v>
      </c>
      <c r="J53" s="327">
        <f t="shared" si="11"/>
        <v>0</v>
      </c>
      <c r="M53" s="93">
        <f t="shared" si="0"/>
        <v>0</v>
      </c>
      <c r="N53" s="93">
        <f t="shared" si="6"/>
        <v>0</v>
      </c>
      <c r="O53" s="93">
        <f t="shared" si="7"/>
        <v>0</v>
      </c>
      <c r="P53" s="93">
        <f t="shared" si="4"/>
        <v>0</v>
      </c>
      <c r="Q53" s="93">
        <f t="shared" si="1"/>
        <v>0</v>
      </c>
      <c r="R53" s="93">
        <f t="shared" si="12"/>
        <v>0</v>
      </c>
      <c r="T53" s="79">
        <f t="shared" si="13"/>
        <v>0</v>
      </c>
      <c r="U53" s="79">
        <f t="shared" si="13"/>
        <v>0</v>
      </c>
    </row>
    <row r="54" spans="2:21" hidden="1">
      <c r="B54" s="320"/>
      <c r="C54" s="321"/>
      <c r="D54" s="322">
        <f t="shared" si="3"/>
        <v>0</v>
      </c>
      <c r="E54" s="323"/>
      <c r="F54" s="324"/>
      <c r="G54" s="324"/>
      <c r="H54" s="325">
        <f t="shared" si="5"/>
        <v>0</v>
      </c>
      <c r="I54" s="326">
        <f t="shared" si="8"/>
        <v>0</v>
      </c>
      <c r="J54" s="327">
        <v>0</v>
      </c>
      <c r="M54" s="93">
        <f t="shared" si="0"/>
        <v>0</v>
      </c>
      <c r="N54" s="93">
        <f t="shared" si="6"/>
        <v>0</v>
      </c>
      <c r="O54" s="93">
        <f t="shared" si="7"/>
        <v>0</v>
      </c>
      <c r="P54" s="93">
        <f t="shared" si="4"/>
        <v>0</v>
      </c>
      <c r="Q54" s="93">
        <f t="shared" si="1"/>
        <v>0</v>
      </c>
      <c r="R54" s="93">
        <f t="shared" si="12"/>
        <v>0</v>
      </c>
      <c r="T54" s="79">
        <f t="shared" si="13"/>
        <v>0</v>
      </c>
      <c r="U54" s="79">
        <f t="shared" si="13"/>
        <v>0</v>
      </c>
    </row>
    <row r="55" spans="2:21" hidden="1">
      <c r="B55" s="320"/>
      <c r="C55" s="321"/>
      <c r="D55" s="322">
        <f t="shared" si="3"/>
        <v>0</v>
      </c>
      <c r="E55" s="323"/>
      <c r="F55" s="324"/>
      <c r="G55" s="324"/>
      <c r="H55" s="325">
        <f t="shared" si="5"/>
        <v>0</v>
      </c>
      <c r="I55" s="326">
        <f t="shared" si="8"/>
        <v>0</v>
      </c>
      <c r="J55" s="327">
        <f t="shared" si="11"/>
        <v>0</v>
      </c>
      <c r="M55" s="93">
        <f t="shared" si="0"/>
        <v>0</v>
      </c>
      <c r="N55" s="93">
        <f t="shared" si="6"/>
        <v>0</v>
      </c>
      <c r="O55" s="93">
        <f t="shared" si="7"/>
        <v>0</v>
      </c>
      <c r="P55" s="93">
        <f t="shared" si="4"/>
        <v>0</v>
      </c>
      <c r="Q55" s="93">
        <f t="shared" si="1"/>
        <v>0</v>
      </c>
      <c r="R55" s="93">
        <f t="shared" si="12"/>
        <v>0</v>
      </c>
      <c r="T55" s="79">
        <f t="shared" si="13"/>
        <v>0</v>
      </c>
      <c r="U55" s="79">
        <f t="shared" si="13"/>
        <v>0</v>
      </c>
    </row>
    <row r="56" spans="2:21" hidden="1">
      <c r="B56" s="320"/>
      <c r="C56" s="321"/>
      <c r="D56" s="322">
        <f t="shared" si="3"/>
        <v>0</v>
      </c>
      <c r="E56" s="323"/>
      <c r="F56" s="324"/>
      <c r="G56" s="324"/>
      <c r="H56" s="325">
        <f t="shared" si="5"/>
        <v>0</v>
      </c>
      <c r="I56" s="326">
        <f t="shared" si="8"/>
        <v>0</v>
      </c>
      <c r="J56" s="327">
        <v>0</v>
      </c>
      <c r="M56" s="93">
        <f t="shared" si="0"/>
        <v>0</v>
      </c>
      <c r="N56" s="93">
        <f t="shared" si="6"/>
        <v>0</v>
      </c>
      <c r="O56" s="93">
        <f t="shared" si="7"/>
        <v>0</v>
      </c>
      <c r="P56" s="93">
        <f t="shared" si="4"/>
        <v>0</v>
      </c>
      <c r="Q56" s="93">
        <f t="shared" si="1"/>
        <v>0</v>
      </c>
      <c r="R56" s="93">
        <f t="shared" si="12"/>
        <v>0</v>
      </c>
      <c r="T56" s="79">
        <f t="shared" si="13"/>
        <v>0</v>
      </c>
      <c r="U56" s="79">
        <f t="shared" si="13"/>
        <v>0</v>
      </c>
    </row>
    <row r="57" spans="2:21" hidden="1">
      <c r="B57" s="320"/>
      <c r="C57" s="321"/>
      <c r="D57" s="322">
        <f t="shared" si="3"/>
        <v>0</v>
      </c>
      <c r="E57" s="323"/>
      <c r="F57" s="324"/>
      <c r="G57" s="324"/>
      <c r="H57" s="325">
        <f t="shared" si="5"/>
        <v>0</v>
      </c>
      <c r="I57" s="326">
        <f t="shared" si="8"/>
        <v>0</v>
      </c>
      <c r="J57" s="327">
        <f t="shared" si="11"/>
        <v>0</v>
      </c>
      <c r="M57" s="93">
        <f t="shared" si="0"/>
        <v>0</v>
      </c>
      <c r="N57" s="93">
        <f t="shared" si="6"/>
        <v>0</v>
      </c>
      <c r="O57" s="93">
        <f t="shared" si="7"/>
        <v>0</v>
      </c>
      <c r="P57" s="93">
        <f t="shared" si="4"/>
        <v>0</v>
      </c>
      <c r="Q57" s="93">
        <f t="shared" si="1"/>
        <v>0</v>
      </c>
      <c r="R57" s="93">
        <f t="shared" si="12"/>
        <v>0</v>
      </c>
      <c r="T57" s="79">
        <f t="shared" si="13"/>
        <v>0</v>
      </c>
      <c r="U57" s="79">
        <f t="shared" si="13"/>
        <v>0</v>
      </c>
    </row>
    <row r="58" spans="2:21" hidden="1">
      <c r="B58" s="320"/>
      <c r="C58" s="321"/>
      <c r="D58" s="322">
        <f t="shared" si="3"/>
        <v>0</v>
      </c>
      <c r="E58" s="323"/>
      <c r="F58" s="324"/>
      <c r="G58" s="324"/>
      <c r="H58" s="325">
        <f t="shared" si="5"/>
        <v>0</v>
      </c>
      <c r="I58" s="326">
        <f t="shared" si="8"/>
        <v>0</v>
      </c>
      <c r="J58" s="327">
        <v>0</v>
      </c>
      <c r="M58" s="93">
        <f t="shared" si="0"/>
        <v>0</v>
      </c>
      <c r="N58" s="93">
        <f t="shared" si="6"/>
        <v>0</v>
      </c>
      <c r="O58" s="93">
        <f t="shared" si="7"/>
        <v>0</v>
      </c>
      <c r="P58" s="93">
        <f t="shared" si="4"/>
        <v>0</v>
      </c>
      <c r="Q58" s="93">
        <f t="shared" si="1"/>
        <v>0</v>
      </c>
      <c r="R58" s="93">
        <f t="shared" si="12"/>
        <v>0</v>
      </c>
      <c r="T58" s="79">
        <f t="shared" si="13"/>
        <v>0</v>
      </c>
      <c r="U58" s="79">
        <f t="shared" si="13"/>
        <v>0</v>
      </c>
    </row>
    <row r="59" spans="2:21" hidden="1">
      <c r="B59" s="320"/>
      <c r="C59" s="321"/>
      <c r="D59" s="322">
        <f t="shared" si="3"/>
        <v>0</v>
      </c>
      <c r="E59" s="323"/>
      <c r="F59" s="324"/>
      <c r="G59" s="324"/>
      <c r="H59" s="325">
        <f t="shared" si="5"/>
        <v>0</v>
      </c>
      <c r="I59" s="326">
        <f t="shared" si="8"/>
        <v>0</v>
      </c>
      <c r="J59" s="327">
        <v>0</v>
      </c>
      <c r="M59" s="93">
        <f t="shared" si="0"/>
        <v>0</v>
      </c>
      <c r="N59" s="93">
        <f t="shared" si="6"/>
        <v>0</v>
      </c>
      <c r="O59" s="93">
        <f t="shared" si="7"/>
        <v>0</v>
      </c>
      <c r="P59" s="93">
        <f t="shared" si="4"/>
        <v>0</v>
      </c>
      <c r="Q59" s="93">
        <f t="shared" si="1"/>
        <v>0</v>
      </c>
      <c r="R59" s="93">
        <f t="shared" si="12"/>
        <v>0</v>
      </c>
      <c r="T59" s="79">
        <f t="shared" si="13"/>
        <v>0</v>
      </c>
      <c r="U59" s="79">
        <f t="shared" si="13"/>
        <v>0</v>
      </c>
    </row>
    <row r="60" spans="2:21" hidden="1">
      <c r="B60" s="320"/>
      <c r="C60" s="321"/>
      <c r="D60" s="322">
        <f t="shared" si="3"/>
        <v>0</v>
      </c>
      <c r="E60" s="323"/>
      <c r="F60" s="324"/>
      <c r="G60" s="324"/>
      <c r="H60" s="325">
        <f t="shared" si="5"/>
        <v>0</v>
      </c>
      <c r="I60" s="326">
        <f t="shared" si="8"/>
        <v>0</v>
      </c>
      <c r="J60" s="327">
        <v>0</v>
      </c>
      <c r="M60" s="93">
        <f t="shared" si="0"/>
        <v>0</v>
      </c>
      <c r="N60" s="93">
        <f t="shared" si="6"/>
        <v>0</v>
      </c>
      <c r="O60" s="93">
        <f t="shared" si="7"/>
        <v>0</v>
      </c>
      <c r="P60" s="93">
        <f t="shared" si="4"/>
        <v>0</v>
      </c>
      <c r="Q60" s="93">
        <f t="shared" si="1"/>
        <v>0</v>
      </c>
      <c r="R60" s="93">
        <f t="shared" si="12"/>
        <v>0</v>
      </c>
      <c r="T60" s="79">
        <f t="shared" si="13"/>
        <v>0</v>
      </c>
      <c r="U60" s="79">
        <f t="shared" si="13"/>
        <v>0</v>
      </c>
    </row>
    <row r="61" spans="2:21" hidden="1">
      <c r="B61" s="320"/>
      <c r="C61" s="321"/>
      <c r="D61" s="322">
        <f t="shared" si="3"/>
        <v>0</v>
      </c>
      <c r="E61" s="323"/>
      <c r="F61" s="324"/>
      <c r="G61" s="324"/>
      <c r="H61" s="325">
        <f t="shared" si="5"/>
        <v>0</v>
      </c>
      <c r="I61" s="326">
        <f t="shared" si="8"/>
        <v>0</v>
      </c>
      <c r="J61" s="327">
        <v>0</v>
      </c>
      <c r="M61" s="93">
        <f t="shared" si="0"/>
        <v>0</v>
      </c>
      <c r="N61" s="93">
        <f t="shared" si="6"/>
        <v>0</v>
      </c>
      <c r="O61" s="93">
        <f t="shared" si="7"/>
        <v>0</v>
      </c>
      <c r="P61" s="93">
        <f t="shared" si="4"/>
        <v>0</v>
      </c>
      <c r="Q61" s="93">
        <f t="shared" si="1"/>
        <v>0</v>
      </c>
      <c r="R61" s="93">
        <f t="shared" si="12"/>
        <v>0</v>
      </c>
      <c r="T61" s="79">
        <f t="shared" si="13"/>
        <v>0</v>
      </c>
      <c r="U61" s="79">
        <f t="shared" si="13"/>
        <v>0</v>
      </c>
    </row>
    <row r="62" spans="2:21" hidden="1">
      <c r="B62" s="320"/>
      <c r="C62" s="321"/>
      <c r="D62" s="322">
        <f t="shared" si="3"/>
        <v>0</v>
      </c>
      <c r="E62" s="323"/>
      <c r="F62" s="324"/>
      <c r="G62" s="324"/>
      <c r="H62" s="325">
        <f t="shared" si="5"/>
        <v>0</v>
      </c>
      <c r="I62" s="326">
        <v>0</v>
      </c>
      <c r="J62" s="327">
        <f t="shared" si="11"/>
        <v>0</v>
      </c>
      <c r="M62" s="93">
        <f t="shared" si="0"/>
        <v>0</v>
      </c>
      <c r="N62" s="93">
        <f t="shared" si="6"/>
        <v>0</v>
      </c>
      <c r="O62" s="93">
        <f t="shared" si="7"/>
        <v>0</v>
      </c>
      <c r="P62" s="93">
        <f t="shared" si="4"/>
        <v>0</v>
      </c>
      <c r="Q62" s="93">
        <f t="shared" si="1"/>
        <v>0</v>
      </c>
      <c r="R62" s="93">
        <f t="shared" si="12"/>
        <v>0</v>
      </c>
      <c r="T62" s="79">
        <f t="shared" si="13"/>
        <v>0</v>
      </c>
      <c r="U62" s="79">
        <f t="shared" si="13"/>
        <v>0</v>
      </c>
    </row>
    <row r="63" spans="2:21" hidden="1">
      <c r="B63" s="320"/>
      <c r="C63" s="321"/>
      <c r="D63" s="322">
        <f t="shared" si="3"/>
        <v>0</v>
      </c>
      <c r="E63" s="323"/>
      <c r="F63" s="324"/>
      <c r="G63" s="324"/>
      <c r="H63" s="325">
        <f t="shared" si="5"/>
        <v>0</v>
      </c>
      <c r="I63" s="326">
        <v>0</v>
      </c>
      <c r="J63" s="327">
        <f t="shared" si="11"/>
        <v>0</v>
      </c>
      <c r="M63" s="93">
        <f t="shared" si="0"/>
        <v>0</v>
      </c>
      <c r="N63" s="93">
        <f t="shared" si="6"/>
        <v>0</v>
      </c>
      <c r="O63" s="93">
        <f t="shared" si="7"/>
        <v>0</v>
      </c>
      <c r="P63" s="93">
        <f t="shared" si="4"/>
        <v>0</v>
      </c>
      <c r="Q63" s="93">
        <f t="shared" si="1"/>
        <v>0</v>
      </c>
      <c r="R63" s="93">
        <f t="shared" si="12"/>
        <v>0</v>
      </c>
      <c r="T63" s="79">
        <f t="shared" si="13"/>
        <v>0</v>
      </c>
      <c r="U63" s="79">
        <f t="shared" si="13"/>
        <v>0</v>
      </c>
    </row>
    <row r="64" spans="2:21" hidden="1">
      <c r="B64" s="320"/>
      <c r="C64" s="321"/>
      <c r="D64" s="322">
        <f t="shared" si="3"/>
        <v>0</v>
      </c>
      <c r="E64" s="323"/>
      <c r="F64" s="324"/>
      <c r="G64" s="324"/>
      <c r="H64" s="325">
        <f t="shared" si="5"/>
        <v>0</v>
      </c>
      <c r="I64" s="326">
        <v>0</v>
      </c>
      <c r="J64" s="327">
        <f t="shared" si="11"/>
        <v>0</v>
      </c>
      <c r="M64" s="93">
        <f t="shared" si="0"/>
        <v>0</v>
      </c>
      <c r="N64" s="93">
        <f t="shared" si="6"/>
        <v>0</v>
      </c>
      <c r="O64" s="93">
        <f t="shared" si="7"/>
        <v>0</v>
      </c>
      <c r="P64" s="93">
        <f t="shared" si="4"/>
        <v>0</v>
      </c>
      <c r="Q64" s="93">
        <f t="shared" si="1"/>
        <v>0</v>
      </c>
      <c r="R64" s="93">
        <f t="shared" si="12"/>
        <v>0</v>
      </c>
      <c r="T64" s="79">
        <f t="shared" si="13"/>
        <v>0</v>
      </c>
      <c r="U64" s="79">
        <f t="shared" si="13"/>
        <v>0</v>
      </c>
    </row>
    <row r="65" spans="2:21" hidden="1">
      <c r="B65" s="320"/>
      <c r="C65" s="321"/>
      <c r="D65" s="322">
        <f t="shared" si="3"/>
        <v>0</v>
      </c>
      <c r="E65" s="323"/>
      <c r="F65" s="324"/>
      <c r="G65" s="324"/>
      <c r="H65" s="325">
        <f t="shared" si="5"/>
        <v>0</v>
      </c>
      <c r="I65" s="326">
        <v>0</v>
      </c>
      <c r="J65" s="327">
        <f t="shared" si="11"/>
        <v>0</v>
      </c>
      <c r="M65" s="93">
        <f t="shared" si="0"/>
        <v>0</v>
      </c>
      <c r="N65" s="93">
        <f t="shared" si="6"/>
        <v>0</v>
      </c>
      <c r="O65" s="93">
        <f t="shared" si="7"/>
        <v>0</v>
      </c>
      <c r="P65" s="93">
        <f t="shared" si="4"/>
        <v>0</v>
      </c>
      <c r="Q65" s="93">
        <f t="shared" si="1"/>
        <v>0</v>
      </c>
      <c r="R65" s="93">
        <f t="shared" si="12"/>
        <v>0</v>
      </c>
      <c r="T65" s="79">
        <f t="shared" si="13"/>
        <v>0</v>
      </c>
      <c r="U65" s="79">
        <f t="shared" si="13"/>
        <v>0</v>
      </c>
    </row>
    <row r="66" spans="2:21" hidden="1">
      <c r="B66" s="320"/>
      <c r="C66" s="321"/>
      <c r="D66" s="322">
        <f t="shared" si="3"/>
        <v>0</v>
      </c>
      <c r="E66" s="323"/>
      <c r="F66" s="324"/>
      <c r="G66" s="324"/>
      <c r="H66" s="325">
        <f t="shared" si="5"/>
        <v>0</v>
      </c>
      <c r="I66" s="326">
        <v>0</v>
      </c>
      <c r="J66" s="327">
        <f t="shared" si="11"/>
        <v>0</v>
      </c>
      <c r="M66" s="93">
        <f t="shared" si="0"/>
        <v>0</v>
      </c>
      <c r="N66" s="93">
        <f t="shared" si="6"/>
        <v>0</v>
      </c>
      <c r="O66" s="93">
        <f t="shared" si="7"/>
        <v>0</v>
      </c>
      <c r="P66" s="93">
        <f t="shared" si="4"/>
        <v>0</v>
      </c>
      <c r="Q66" s="93">
        <f t="shared" si="1"/>
        <v>0</v>
      </c>
      <c r="R66" s="93">
        <f t="shared" si="12"/>
        <v>0</v>
      </c>
      <c r="T66" s="79">
        <f t="shared" si="13"/>
        <v>0</v>
      </c>
      <c r="U66" s="79">
        <f t="shared" si="13"/>
        <v>0</v>
      </c>
    </row>
    <row r="67" spans="2:21" hidden="1">
      <c r="B67" s="320"/>
      <c r="C67" s="321"/>
      <c r="D67" s="322">
        <f t="shared" si="3"/>
        <v>0</v>
      </c>
      <c r="E67" s="323"/>
      <c r="F67" s="324"/>
      <c r="G67" s="324"/>
      <c r="H67" s="325">
        <f t="shared" si="5"/>
        <v>0</v>
      </c>
      <c r="I67" s="326">
        <f t="shared" ref="I67:I69" si="14">IF(D67&lt;365,G67-F67,0)</f>
        <v>0</v>
      </c>
      <c r="J67" s="327">
        <v>0</v>
      </c>
      <c r="M67" s="93">
        <f t="shared" si="0"/>
        <v>0</v>
      </c>
      <c r="N67" s="93">
        <f t="shared" si="6"/>
        <v>0</v>
      </c>
      <c r="O67" s="93">
        <f t="shared" si="7"/>
        <v>0</v>
      </c>
      <c r="P67" s="93">
        <f t="shared" si="4"/>
        <v>0</v>
      </c>
      <c r="Q67" s="93">
        <f t="shared" si="1"/>
        <v>0</v>
      </c>
      <c r="R67" s="93">
        <f t="shared" si="12"/>
        <v>0</v>
      </c>
      <c r="T67" s="79">
        <f t="shared" si="13"/>
        <v>0</v>
      </c>
      <c r="U67" s="79">
        <f t="shared" si="13"/>
        <v>0</v>
      </c>
    </row>
    <row r="68" spans="2:21" hidden="1">
      <c r="B68" s="320"/>
      <c r="C68" s="321"/>
      <c r="D68" s="322">
        <f t="shared" si="3"/>
        <v>0</v>
      </c>
      <c r="E68" s="323"/>
      <c r="F68" s="324"/>
      <c r="G68" s="324"/>
      <c r="H68" s="325">
        <f t="shared" si="5"/>
        <v>0</v>
      </c>
      <c r="I68" s="326">
        <f t="shared" si="14"/>
        <v>0</v>
      </c>
      <c r="J68" s="327">
        <v>0</v>
      </c>
      <c r="M68" s="93">
        <f t="shared" si="0"/>
        <v>0</v>
      </c>
      <c r="N68" s="93">
        <f t="shared" si="6"/>
        <v>0</v>
      </c>
      <c r="O68" s="93">
        <f t="shared" si="7"/>
        <v>0</v>
      </c>
      <c r="P68" s="93">
        <f t="shared" si="4"/>
        <v>0</v>
      </c>
      <c r="Q68" s="93">
        <f t="shared" si="1"/>
        <v>0</v>
      </c>
      <c r="R68" s="93">
        <f t="shared" si="12"/>
        <v>0</v>
      </c>
      <c r="T68" s="79">
        <f t="shared" si="13"/>
        <v>0</v>
      </c>
      <c r="U68" s="79">
        <f t="shared" si="13"/>
        <v>0</v>
      </c>
    </row>
    <row r="69" spans="2:21" hidden="1">
      <c r="B69" s="320"/>
      <c r="C69" s="321"/>
      <c r="D69" s="322">
        <f t="shared" si="3"/>
        <v>0</v>
      </c>
      <c r="E69" s="323"/>
      <c r="F69" s="324"/>
      <c r="G69" s="324"/>
      <c r="H69" s="325">
        <f t="shared" si="5"/>
        <v>0</v>
      </c>
      <c r="I69" s="326">
        <f t="shared" si="14"/>
        <v>0</v>
      </c>
      <c r="J69" s="327">
        <v>0</v>
      </c>
      <c r="M69" s="93">
        <f t="shared" si="0"/>
        <v>0</v>
      </c>
      <c r="N69" s="93">
        <f t="shared" si="6"/>
        <v>0</v>
      </c>
      <c r="O69" s="93">
        <f t="shared" si="7"/>
        <v>0</v>
      </c>
      <c r="P69" s="93">
        <f t="shared" si="4"/>
        <v>0</v>
      </c>
      <c r="Q69" s="93">
        <f t="shared" si="1"/>
        <v>0</v>
      </c>
      <c r="R69" s="93">
        <f t="shared" si="12"/>
        <v>0</v>
      </c>
      <c r="T69" s="79">
        <f t="shared" si="13"/>
        <v>0</v>
      </c>
      <c r="U69" s="79">
        <f t="shared" si="13"/>
        <v>0</v>
      </c>
    </row>
    <row r="71" spans="2:21" ht="15.75" thickBot="1">
      <c r="B71" t="s">
        <v>136</v>
      </c>
      <c r="F71" s="328">
        <f>SUM(F27:F70)</f>
        <v>0</v>
      </c>
      <c r="G71" s="328">
        <f>SUM(G27:G70)</f>
        <v>0</v>
      </c>
      <c r="H71" s="329">
        <f>SUM(H27:H70)</f>
        <v>0</v>
      </c>
      <c r="I71" s="328">
        <f>SUM(I27:I70)</f>
        <v>0</v>
      </c>
      <c r="J71" s="328">
        <f>SUM(J27:J70)</f>
        <v>0</v>
      </c>
      <c r="M71" s="328">
        <f t="shared" ref="M71:R71" si="15">SUM(M27:M70)</f>
        <v>0</v>
      </c>
      <c r="N71" s="328">
        <f t="shared" si="15"/>
        <v>0</v>
      </c>
      <c r="O71" s="328">
        <f t="shared" si="15"/>
        <v>0</v>
      </c>
      <c r="P71" s="328">
        <f t="shared" si="15"/>
        <v>0</v>
      </c>
      <c r="Q71" s="328">
        <f t="shared" si="15"/>
        <v>0</v>
      </c>
      <c r="R71" s="328">
        <f t="shared" si="15"/>
        <v>0</v>
      </c>
    </row>
    <row r="73" spans="2:21">
      <c r="F73" t="s">
        <v>269</v>
      </c>
    </row>
  </sheetData>
  <mergeCells count="5">
    <mergeCell ref="B4:C4"/>
    <mergeCell ref="H25:J25"/>
    <mergeCell ref="M25:N25"/>
    <mergeCell ref="O25:P25"/>
    <mergeCell ref="Q25:R25"/>
  </mergeCells>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6DA44-DACE-4E2D-BC80-A5F39A5F687F}">
  <dimension ref="A1:L197"/>
  <sheetViews>
    <sheetView workbookViewId="0">
      <selection activeCell="A7" sqref="A7"/>
    </sheetView>
  </sheetViews>
  <sheetFormatPr defaultColWidth="8.7109375" defaultRowHeight="15"/>
  <cols>
    <col min="1" max="1" width="7.7109375" customWidth="1"/>
    <col min="2" max="2" width="3" customWidth="1"/>
    <col min="3" max="3" width="14.28515625" customWidth="1"/>
    <col min="4" max="4" width="34.140625" customWidth="1"/>
    <col min="5" max="5" width="15.140625" customWidth="1"/>
    <col min="6" max="6" width="12.7109375" customWidth="1"/>
    <col min="7" max="7" width="16.42578125" customWidth="1"/>
    <col min="8" max="9" width="12.5703125" customWidth="1"/>
    <col min="10" max="10" width="7.7109375" customWidth="1"/>
    <col min="11" max="11" width="10.28515625" customWidth="1"/>
    <col min="12" max="12" width="7.7109375" customWidth="1"/>
  </cols>
  <sheetData>
    <row r="1" spans="1:12" ht="18">
      <c r="A1" s="121" t="s">
        <v>0</v>
      </c>
      <c r="B1" s="53"/>
      <c r="C1" s="355" t="str">
        <f>Index!$C$1</f>
        <v>The LM &amp; SM Lever Super Fund</v>
      </c>
      <c r="D1" s="355"/>
      <c r="E1" s="355"/>
      <c r="F1" s="54"/>
      <c r="H1" s="56" t="s">
        <v>2</v>
      </c>
      <c r="I1" s="56" t="s">
        <v>3</v>
      </c>
    </row>
    <row r="2" spans="1:12" ht="18">
      <c r="A2" s="121" t="s">
        <v>4</v>
      </c>
      <c r="B2" s="53"/>
      <c r="C2" s="355" t="str">
        <f>Index!$C$2</f>
        <v>LEVL</v>
      </c>
      <c r="D2" s="355"/>
      <c r="E2" s="355"/>
      <c r="F2" s="55"/>
      <c r="G2" s="59" t="s">
        <v>6</v>
      </c>
      <c r="H2" s="60" t="str">
        <f>Index!$H$2</f>
        <v>CM</v>
      </c>
      <c r="I2" s="61">
        <f>Index!$I$2</f>
        <v>44993</v>
      </c>
    </row>
    <row r="3" spans="1:12" ht="18">
      <c r="A3" s="121" t="s">
        <v>8</v>
      </c>
      <c r="B3" s="53"/>
      <c r="C3" s="356">
        <f>Index!$C$3</f>
        <v>44742</v>
      </c>
      <c r="D3" s="355"/>
      <c r="E3" s="355"/>
      <c r="F3" s="55"/>
      <c r="G3" s="59" t="s">
        <v>9</v>
      </c>
      <c r="H3" s="60" t="str">
        <f>Index!$H$3</f>
        <v>DB</v>
      </c>
      <c r="I3" s="61">
        <f>Index!$I$3</f>
        <v>45035</v>
      </c>
    </row>
    <row r="4" spans="1:12" ht="18">
      <c r="A4" s="121"/>
      <c r="B4" s="53"/>
      <c r="D4" s="55"/>
      <c r="G4" s="122"/>
      <c r="H4" s="65"/>
      <c r="I4" s="66"/>
    </row>
    <row r="5" spans="1:12" ht="18">
      <c r="A5" s="53" t="s">
        <v>198</v>
      </c>
      <c r="C5" s="57"/>
      <c r="F5" s="58"/>
      <c r="G5" s="58"/>
      <c r="H5" s="65"/>
      <c r="J5" s="66"/>
    </row>
    <row r="6" spans="1:12" s="106" customFormat="1" ht="18">
      <c r="A6" s="244" t="s">
        <v>270</v>
      </c>
      <c r="B6" s="63"/>
      <c r="C6" s="107"/>
      <c r="D6" s="53"/>
      <c r="E6" s="53"/>
      <c r="F6" s="65"/>
      <c r="G6" s="65"/>
      <c r="H6" s="65"/>
      <c r="I6" s="108"/>
    </row>
    <row r="7" spans="1:12" ht="20.100000000000001" customHeight="1" thickBot="1">
      <c r="A7" s="179"/>
      <c r="H7" s="376"/>
      <c r="I7" s="376"/>
      <c r="J7" s="376"/>
      <c r="K7" s="376"/>
      <c r="L7" s="376"/>
    </row>
    <row r="8" spans="1:12" ht="42.75" customHeight="1" thickBot="1">
      <c r="A8" s="180" t="s">
        <v>102</v>
      </c>
      <c r="B8" s="377" t="s">
        <v>271</v>
      </c>
      <c r="C8" s="378"/>
      <c r="D8" s="379"/>
      <c r="E8" s="181" t="s">
        <v>272</v>
      </c>
      <c r="F8" s="181" t="s">
        <v>273</v>
      </c>
      <c r="G8" s="182" t="s">
        <v>274</v>
      </c>
      <c r="H8" s="183"/>
      <c r="I8" s="183"/>
      <c r="J8" s="183"/>
      <c r="K8" s="184"/>
      <c r="L8" s="184"/>
    </row>
    <row r="9" spans="1:12" ht="15.95" customHeight="1">
      <c r="A9" s="185"/>
      <c r="B9" s="380"/>
      <c r="C9" s="380"/>
      <c r="D9" s="380"/>
      <c r="E9" s="186"/>
      <c r="F9" s="187"/>
      <c r="G9" s="188" t="str">
        <f t="shared" ref="G9:G20" si="0">IF(E9=0,IF(F9=0,"",F9),F9*E9)</f>
        <v/>
      </c>
      <c r="H9" s="189"/>
      <c r="I9" s="189"/>
      <c r="J9" s="189"/>
      <c r="K9" s="189"/>
      <c r="L9" s="189"/>
    </row>
    <row r="10" spans="1:12" ht="15.95" customHeight="1">
      <c r="A10" s="185"/>
      <c r="B10" s="381" t="s">
        <v>275</v>
      </c>
      <c r="C10" s="381"/>
      <c r="D10" s="381"/>
      <c r="E10" s="186"/>
      <c r="F10" s="187"/>
      <c r="G10" s="190" t="str">
        <f t="shared" si="0"/>
        <v/>
      </c>
      <c r="H10" s="189"/>
      <c r="I10" s="189"/>
      <c r="J10" s="189"/>
      <c r="K10" s="189"/>
      <c r="L10" s="189"/>
    </row>
    <row r="11" spans="1:12" ht="15.95" customHeight="1">
      <c r="A11" s="185"/>
      <c r="B11" s="373"/>
      <c r="C11" s="374"/>
      <c r="D11" s="375"/>
      <c r="E11" s="192"/>
      <c r="F11" s="187">
        <v>1</v>
      </c>
      <c r="G11" s="193">
        <f t="shared" si="0"/>
        <v>1</v>
      </c>
      <c r="H11" s="189"/>
      <c r="I11" s="189"/>
      <c r="J11" s="189"/>
      <c r="K11" s="189"/>
      <c r="L11" s="189"/>
    </row>
    <row r="12" spans="1:12" ht="15.95" customHeight="1">
      <c r="A12" s="185"/>
      <c r="B12" s="373"/>
      <c r="C12" s="374"/>
      <c r="D12" s="375"/>
      <c r="E12" s="192">
        <v>0</v>
      </c>
      <c r="F12" s="187">
        <v>1</v>
      </c>
      <c r="G12" s="193">
        <v>0</v>
      </c>
      <c r="H12" s="189"/>
      <c r="I12" s="189"/>
      <c r="J12" s="189"/>
      <c r="K12" s="189"/>
      <c r="L12" s="189"/>
    </row>
    <row r="13" spans="1:12" ht="15.95" customHeight="1">
      <c r="A13" s="185"/>
      <c r="B13" s="373"/>
      <c r="C13" s="374"/>
      <c r="D13" s="375"/>
      <c r="E13" s="192">
        <v>1</v>
      </c>
      <c r="F13" s="187"/>
      <c r="G13" s="193">
        <f t="shared" si="0"/>
        <v>0</v>
      </c>
      <c r="H13" s="189"/>
      <c r="I13" s="189"/>
      <c r="J13" s="189"/>
      <c r="K13" s="189"/>
      <c r="L13" s="189"/>
    </row>
    <row r="14" spans="1:12" ht="15.95" customHeight="1">
      <c r="A14" s="185"/>
      <c r="B14" s="382" t="s">
        <v>276</v>
      </c>
      <c r="C14" s="383"/>
      <c r="D14" s="384"/>
      <c r="E14" s="194"/>
      <c r="F14" s="195"/>
      <c r="G14" s="196">
        <f>SUM(G11:G13)</f>
        <v>1</v>
      </c>
      <c r="H14" s="189"/>
      <c r="I14" s="189"/>
      <c r="J14" s="189"/>
      <c r="K14" s="189"/>
      <c r="L14" s="189"/>
    </row>
    <row r="15" spans="1:12" ht="15.95" customHeight="1">
      <c r="A15" s="185"/>
      <c r="B15" s="385"/>
      <c r="C15" s="386"/>
      <c r="D15" s="387"/>
      <c r="E15" s="186"/>
      <c r="F15" s="187"/>
      <c r="G15" s="193" t="str">
        <f t="shared" si="0"/>
        <v/>
      </c>
      <c r="H15" s="189"/>
      <c r="I15" s="189"/>
      <c r="J15" s="189"/>
      <c r="K15" s="189"/>
      <c r="L15" s="189"/>
    </row>
    <row r="16" spans="1:12" ht="15.95" customHeight="1">
      <c r="A16" s="185"/>
      <c r="B16" s="381" t="s">
        <v>56</v>
      </c>
      <c r="C16" s="381"/>
      <c r="D16" s="381"/>
      <c r="E16" s="186"/>
      <c r="F16" s="187"/>
      <c r="G16" s="193" t="str">
        <f t="shared" si="0"/>
        <v/>
      </c>
      <c r="H16" s="189"/>
      <c r="I16" s="189"/>
      <c r="J16" s="189"/>
      <c r="K16" s="189"/>
      <c r="L16" s="189"/>
    </row>
    <row r="17" spans="1:12" ht="15.95" customHeight="1">
      <c r="A17" s="185"/>
      <c r="B17" s="388"/>
      <c r="C17" s="388"/>
      <c r="D17" s="388"/>
      <c r="E17" s="186"/>
      <c r="F17" s="187">
        <v>1</v>
      </c>
      <c r="G17" s="193">
        <f t="shared" si="0"/>
        <v>1</v>
      </c>
      <c r="H17" s="189"/>
      <c r="I17" s="189"/>
      <c r="J17" s="189"/>
      <c r="K17" s="189"/>
      <c r="L17" s="189"/>
    </row>
    <row r="18" spans="1:12" ht="15.95" customHeight="1">
      <c r="A18" s="185"/>
      <c r="B18" s="373"/>
      <c r="C18" s="374"/>
      <c r="D18" s="375"/>
      <c r="E18" s="186"/>
      <c r="F18" s="187">
        <v>1</v>
      </c>
      <c r="G18" s="193">
        <f t="shared" si="0"/>
        <v>1</v>
      </c>
      <c r="H18" s="189"/>
      <c r="I18" s="189"/>
      <c r="J18" s="189"/>
      <c r="K18" s="189"/>
      <c r="L18" s="189"/>
    </row>
    <row r="19" spans="1:12" ht="15.95" customHeight="1">
      <c r="A19" s="185"/>
      <c r="B19" s="393" t="s">
        <v>277</v>
      </c>
      <c r="C19" s="393"/>
      <c r="D19" s="393"/>
      <c r="E19" s="194"/>
      <c r="F19" s="195"/>
      <c r="G19" s="197">
        <f>SUM(G17:G18)</f>
        <v>2</v>
      </c>
      <c r="H19" s="189"/>
      <c r="I19" s="189"/>
      <c r="J19" s="189"/>
      <c r="K19" s="189"/>
      <c r="L19" s="189"/>
    </row>
    <row r="20" spans="1:12" ht="15.95" customHeight="1">
      <c r="A20" s="185"/>
      <c r="B20" s="385"/>
      <c r="C20" s="386"/>
      <c r="D20" s="387"/>
      <c r="E20" s="186"/>
      <c r="F20" s="187"/>
      <c r="G20" s="198" t="str">
        <f t="shared" si="0"/>
        <v/>
      </c>
      <c r="H20" s="189"/>
      <c r="I20" s="189"/>
      <c r="J20" s="189"/>
      <c r="K20" s="189"/>
      <c r="L20" s="189"/>
    </row>
    <row r="21" spans="1:12" ht="15.95" customHeight="1">
      <c r="A21" s="185"/>
      <c r="B21" s="394" t="s">
        <v>278</v>
      </c>
      <c r="C21" s="395"/>
      <c r="D21" s="396"/>
      <c r="E21" s="194"/>
      <c r="F21" s="195"/>
      <c r="G21" s="197">
        <f>G14-G19</f>
        <v>-1</v>
      </c>
      <c r="H21" s="189"/>
      <c r="I21" s="189"/>
      <c r="J21" s="189"/>
      <c r="K21" s="189"/>
      <c r="L21" s="189"/>
    </row>
    <row r="22" spans="1:12" ht="15.95" customHeight="1" thickBot="1">
      <c r="A22" s="185"/>
      <c r="B22" s="397"/>
      <c r="C22" s="397"/>
      <c r="D22" s="397"/>
      <c r="E22" s="186"/>
      <c r="F22" s="187"/>
      <c r="G22" s="199" t="str">
        <f t="shared" ref="G22:G32" si="1">IF(E22=0,IF(F22=0,"",F22),F22*E22)</f>
        <v/>
      </c>
      <c r="H22" s="189"/>
      <c r="I22" s="189"/>
      <c r="J22" s="189"/>
      <c r="K22" s="189"/>
      <c r="L22" s="189"/>
    </row>
    <row r="23" spans="1:12" ht="15.95" customHeight="1">
      <c r="A23" s="200"/>
      <c r="B23" s="390" t="s">
        <v>279</v>
      </c>
      <c r="C23" s="391"/>
      <c r="D23" s="392"/>
      <c r="E23" s="201"/>
      <c r="F23" s="187"/>
      <c r="G23" s="199" t="str">
        <f t="shared" si="1"/>
        <v/>
      </c>
      <c r="H23" s="189"/>
      <c r="I23" s="189"/>
      <c r="J23" s="189"/>
      <c r="K23" s="189"/>
      <c r="L23" s="189"/>
    </row>
    <row r="24" spans="1:12" ht="15.95" customHeight="1">
      <c r="A24" s="200"/>
      <c r="B24" s="185" t="s">
        <v>280</v>
      </c>
      <c r="C24" s="202"/>
      <c r="D24" s="203"/>
      <c r="E24" s="201"/>
      <c r="F24" s="187"/>
      <c r="G24" s="199" t="str">
        <f t="shared" si="1"/>
        <v/>
      </c>
      <c r="H24" s="189"/>
      <c r="I24" s="189"/>
      <c r="J24" s="189"/>
      <c r="K24" s="189"/>
      <c r="L24" s="189"/>
    </row>
    <row r="25" spans="1:12" ht="15.95" customHeight="1" thickBot="1">
      <c r="A25" s="200"/>
      <c r="B25" s="204" t="s">
        <v>281</v>
      </c>
      <c r="C25" s="205"/>
      <c r="D25" s="206" t="e">
        <f>G21/D24</f>
        <v>#DIV/0!</v>
      </c>
      <c r="E25" s="201"/>
      <c r="F25" s="187"/>
      <c r="G25" s="199" t="str">
        <f t="shared" si="1"/>
        <v/>
      </c>
      <c r="H25" s="189"/>
      <c r="I25" s="189"/>
      <c r="J25" s="189"/>
      <c r="K25" s="189"/>
      <c r="L25" s="189"/>
    </row>
    <row r="26" spans="1:12" ht="15.95" customHeight="1" thickBot="1">
      <c r="A26" s="185"/>
      <c r="B26" s="398"/>
      <c r="C26" s="398"/>
      <c r="D26" s="398"/>
      <c r="E26" s="186"/>
      <c r="F26" s="187"/>
      <c r="G26" s="199" t="str">
        <f t="shared" si="1"/>
        <v/>
      </c>
      <c r="H26" s="189"/>
      <c r="I26" s="189"/>
      <c r="J26" s="189"/>
      <c r="K26" s="189"/>
      <c r="L26" s="189"/>
    </row>
    <row r="27" spans="1:12" ht="15.95" customHeight="1">
      <c r="A27" s="200"/>
      <c r="B27" s="390" t="s">
        <v>282</v>
      </c>
      <c r="C27" s="391"/>
      <c r="D27" s="392"/>
      <c r="E27" s="201"/>
      <c r="F27" s="187"/>
      <c r="G27" s="199" t="str">
        <f t="shared" si="1"/>
        <v/>
      </c>
      <c r="H27" s="189"/>
      <c r="I27" s="189"/>
      <c r="J27" s="189"/>
      <c r="K27" s="189"/>
      <c r="L27" s="189"/>
    </row>
    <row r="28" spans="1:12" ht="15.95" customHeight="1">
      <c r="A28" s="200"/>
      <c r="B28" s="207" t="s">
        <v>33</v>
      </c>
      <c r="C28" s="191"/>
      <c r="D28" s="208">
        <f>(SUM(G11:G12))/G14</f>
        <v>1</v>
      </c>
      <c r="E28" s="201"/>
      <c r="F28" s="187"/>
      <c r="G28" s="199" t="str">
        <f t="shared" si="1"/>
        <v/>
      </c>
      <c r="H28" s="189"/>
      <c r="I28" s="189"/>
      <c r="J28" s="189"/>
      <c r="K28" s="189"/>
      <c r="L28" s="189"/>
    </row>
    <row r="29" spans="1:12" ht="15.95" customHeight="1" thickBot="1">
      <c r="A29" s="200"/>
      <c r="B29" s="209" t="s">
        <v>48</v>
      </c>
      <c r="C29" s="210"/>
      <c r="D29" s="211">
        <f>G13/G14</f>
        <v>0</v>
      </c>
      <c r="E29" s="201"/>
      <c r="F29" s="187"/>
      <c r="G29" s="199" t="str">
        <f t="shared" si="1"/>
        <v/>
      </c>
      <c r="H29" s="189"/>
      <c r="I29" s="189"/>
      <c r="J29" s="189"/>
      <c r="K29" s="189"/>
      <c r="L29" s="189"/>
    </row>
    <row r="30" spans="1:12" ht="15.95" customHeight="1">
      <c r="A30" s="185"/>
      <c r="B30" s="385"/>
      <c r="C30" s="386"/>
      <c r="D30" s="387"/>
      <c r="E30" s="186"/>
      <c r="F30" s="187"/>
      <c r="G30" s="199" t="str">
        <f t="shared" si="1"/>
        <v/>
      </c>
      <c r="H30" s="189"/>
      <c r="I30" s="189"/>
      <c r="J30" s="189"/>
      <c r="K30" s="189"/>
      <c r="L30" s="189"/>
    </row>
    <row r="31" spans="1:12" ht="15.95" customHeight="1">
      <c r="A31" s="185"/>
      <c r="B31" s="385"/>
      <c r="C31" s="386"/>
      <c r="D31" s="387"/>
      <c r="E31" s="186"/>
      <c r="F31" s="187"/>
      <c r="G31" s="199" t="str">
        <f t="shared" si="1"/>
        <v/>
      </c>
      <c r="H31" s="189"/>
      <c r="I31" s="189"/>
      <c r="J31" s="189"/>
      <c r="K31" s="189"/>
      <c r="L31" s="189"/>
    </row>
    <row r="32" spans="1:12" ht="15.95" customHeight="1">
      <c r="A32" s="185"/>
      <c r="B32" s="380"/>
      <c r="C32" s="380"/>
      <c r="D32" s="380"/>
      <c r="E32" s="186"/>
      <c r="F32" s="187"/>
      <c r="G32" s="199" t="str">
        <f t="shared" si="1"/>
        <v/>
      </c>
      <c r="H32" s="189"/>
      <c r="I32" s="189"/>
      <c r="J32" s="189"/>
      <c r="K32" s="189"/>
      <c r="L32" s="189"/>
    </row>
    <row r="33" spans="1:12">
      <c r="A33" s="185"/>
      <c r="B33" s="380"/>
      <c r="C33" s="380"/>
      <c r="D33" s="380"/>
      <c r="E33" s="186"/>
      <c r="F33" s="187"/>
      <c r="G33" s="199"/>
      <c r="H33" s="189"/>
      <c r="I33" s="189"/>
      <c r="J33" s="189"/>
      <c r="K33" s="189"/>
      <c r="L33" s="189"/>
    </row>
    <row r="34" spans="1:12">
      <c r="A34" s="185"/>
      <c r="B34" s="380"/>
      <c r="C34" s="380"/>
      <c r="D34" s="380"/>
      <c r="E34" s="186"/>
      <c r="F34" s="187"/>
      <c r="G34" s="199"/>
      <c r="H34" s="189"/>
      <c r="I34" s="189"/>
      <c r="J34" s="189"/>
      <c r="K34" s="189"/>
      <c r="L34" s="189"/>
    </row>
    <row r="35" spans="1:12" ht="15.75" thickBot="1">
      <c r="A35" s="204"/>
      <c r="B35" s="389"/>
      <c r="C35" s="389"/>
      <c r="D35" s="389"/>
      <c r="E35" s="212"/>
      <c r="F35" s="213"/>
      <c r="G35" s="214"/>
      <c r="H35" s="189"/>
      <c r="I35" s="189"/>
      <c r="J35" s="189"/>
      <c r="K35" s="189"/>
      <c r="L35" s="189"/>
    </row>
    <row r="36" spans="1:12" ht="15.95" customHeight="1">
      <c r="A36" s="114"/>
      <c r="B36" s="114"/>
      <c r="C36" s="114"/>
      <c r="D36" s="114"/>
      <c r="E36" s="114"/>
      <c r="F36" s="114"/>
      <c r="G36" s="114"/>
      <c r="H36" s="114"/>
      <c r="I36" s="114"/>
      <c r="J36" s="114"/>
      <c r="K36" s="114"/>
    </row>
    <row r="37" spans="1:12" ht="15.95" customHeight="1">
      <c r="A37" s="114"/>
      <c r="B37" s="114"/>
      <c r="C37" s="114"/>
      <c r="D37" s="114"/>
      <c r="E37" s="114"/>
      <c r="F37" s="114"/>
      <c r="G37" s="114"/>
      <c r="H37" s="114"/>
      <c r="I37" s="114"/>
      <c r="J37" s="114"/>
      <c r="K37" s="114"/>
    </row>
    <row r="38" spans="1:12" ht="15.95" customHeight="1">
      <c r="A38" s="114"/>
      <c r="B38" s="114"/>
      <c r="C38" s="114"/>
      <c r="D38" s="114"/>
      <c r="E38" s="114"/>
      <c r="F38" s="114"/>
      <c r="G38" s="114"/>
      <c r="H38" s="114"/>
      <c r="I38" s="114"/>
      <c r="J38" s="114"/>
      <c r="K38" s="114"/>
    </row>
    <row r="39" spans="1:12" ht="15.95" customHeight="1">
      <c r="A39" s="114"/>
      <c r="B39" s="114"/>
      <c r="C39" s="114"/>
      <c r="D39" s="114"/>
      <c r="E39" s="114"/>
      <c r="F39" s="114"/>
      <c r="G39" s="114"/>
      <c r="H39" s="114"/>
      <c r="I39" s="114"/>
      <c r="J39" s="114"/>
      <c r="K39" s="114"/>
    </row>
    <row r="40" spans="1:12" ht="15.95" customHeight="1">
      <c r="A40" s="114"/>
      <c r="B40" s="114"/>
      <c r="C40" s="114"/>
      <c r="D40" s="114"/>
      <c r="E40" s="114"/>
      <c r="F40" s="114"/>
      <c r="G40" s="114"/>
      <c r="H40" s="114"/>
      <c r="I40" s="114"/>
      <c r="J40" s="114"/>
      <c r="K40" s="114"/>
    </row>
    <row r="41" spans="1:12" ht="15.95" customHeight="1">
      <c r="A41" s="114"/>
      <c r="B41" s="114"/>
      <c r="C41" s="114"/>
      <c r="D41" s="114"/>
      <c r="E41" s="114"/>
      <c r="F41" s="114"/>
      <c r="G41" s="114"/>
      <c r="H41" s="114"/>
      <c r="I41" s="114"/>
      <c r="J41" s="114"/>
      <c r="K41" s="114"/>
    </row>
    <row r="42" spans="1:12" ht="15.95" customHeight="1">
      <c r="A42" s="114"/>
      <c r="B42" s="114"/>
      <c r="C42" s="114"/>
      <c r="D42" s="114"/>
      <c r="E42" s="114"/>
      <c r="F42" s="114"/>
      <c r="G42" s="114"/>
      <c r="H42" s="114"/>
      <c r="I42" s="114"/>
      <c r="J42" s="114"/>
      <c r="K42" s="114"/>
    </row>
    <row r="43" spans="1:12" ht="15.95" customHeight="1">
      <c r="A43" s="114"/>
      <c r="B43" s="114"/>
      <c r="C43" s="114"/>
      <c r="D43" s="114"/>
      <c r="E43" s="114"/>
      <c r="F43" s="114"/>
      <c r="G43" s="114"/>
      <c r="H43" s="114"/>
      <c r="I43" s="114"/>
      <c r="J43" s="114"/>
      <c r="K43" s="114"/>
    </row>
    <row r="44" spans="1:12" ht="15.95" customHeight="1">
      <c r="A44" s="114"/>
      <c r="B44" s="114"/>
      <c r="C44" s="114"/>
      <c r="D44" s="114"/>
      <c r="E44" s="114"/>
      <c r="F44" s="114"/>
      <c r="G44" s="114"/>
      <c r="H44" s="114"/>
      <c r="I44" s="114"/>
      <c r="J44" s="114"/>
      <c r="K44" s="114"/>
    </row>
    <row r="45" spans="1:12" ht="15.95" customHeight="1">
      <c r="A45" s="114"/>
      <c r="B45" s="114"/>
      <c r="C45" s="114"/>
      <c r="D45" s="114"/>
      <c r="E45" s="114"/>
      <c r="F45" s="114"/>
      <c r="G45" s="114"/>
      <c r="H45" s="114"/>
      <c r="I45" s="114"/>
      <c r="J45" s="114"/>
      <c r="K45" s="114"/>
    </row>
    <row r="46" spans="1:12" ht="15.95" customHeight="1">
      <c r="A46" s="114"/>
      <c r="B46" s="114"/>
      <c r="C46" s="114"/>
      <c r="D46" s="114"/>
      <c r="E46" s="114"/>
      <c r="F46" s="114"/>
      <c r="G46" s="114"/>
      <c r="H46" s="114"/>
      <c r="I46" s="114"/>
      <c r="J46" s="114"/>
      <c r="K46" s="114"/>
    </row>
    <row r="47" spans="1:12" ht="15.95" customHeight="1">
      <c r="A47" s="114"/>
      <c r="B47" s="114"/>
      <c r="C47" s="114"/>
      <c r="D47" s="114"/>
      <c r="E47" s="114"/>
      <c r="F47" s="114"/>
      <c r="G47" s="114"/>
      <c r="H47" s="114"/>
      <c r="I47" s="114"/>
      <c r="J47" s="114"/>
      <c r="K47" s="114"/>
    </row>
    <row r="48" spans="1:12" ht="15.95" customHeight="1">
      <c r="A48" s="114"/>
      <c r="B48" s="114"/>
      <c r="C48" s="114"/>
      <c r="D48" s="114"/>
      <c r="E48" s="114"/>
      <c r="F48" s="114"/>
      <c r="G48" s="114"/>
      <c r="H48" s="114"/>
      <c r="I48" s="114"/>
      <c r="J48" s="114"/>
      <c r="K48" s="114"/>
    </row>
    <row r="49" spans="1:11" ht="15.95" customHeight="1">
      <c r="A49" s="114"/>
      <c r="B49" s="114"/>
      <c r="C49" s="114"/>
      <c r="D49" s="114"/>
      <c r="E49" s="114"/>
      <c r="F49" s="114"/>
      <c r="G49" s="114"/>
      <c r="H49" s="114"/>
      <c r="I49" s="114"/>
      <c r="J49" s="114"/>
      <c r="K49" s="114"/>
    </row>
    <row r="50" spans="1:11" ht="15.95" customHeight="1">
      <c r="A50" s="114"/>
      <c r="B50" s="114"/>
      <c r="C50" s="114"/>
      <c r="D50" s="114"/>
      <c r="E50" s="114"/>
      <c r="F50" s="114"/>
      <c r="G50" s="114"/>
      <c r="H50" s="114"/>
      <c r="I50" s="114"/>
      <c r="J50" s="114"/>
      <c r="K50" s="114"/>
    </row>
    <row r="51" spans="1:11" ht="15.95" customHeight="1">
      <c r="A51" s="114"/>
      <c r="B51" s="114"/>
      <c r="C51" s="114"/>
      <c r="D51" s="114"/>
      <c r="E51" s="114"/>
      <c r="F51" s="114"/>
      <c r="G51" s="114"/>
      <c r="H51" s="114"/>
      <c r="I51" s="114"/>
      <c r="J51" s="114"/>
      <c r="K51" s="114"/>
    </row>
    <row r="52" spans="1:11" ht="15.95" customHeight="1">
      <c r="A52" s="114"/>
      <c r="B52" s="114"/>
      <c r="C52" s="114"/>
      <c r="D52" s="114"/>
      <c r="E52" s="114"/>
      <c r="F52" s="114"/>
      <c r="G52" s="114"/>
      <c r="H52" s="114"/>
      <c r="I52" s="114"/>
      <c r="J52" s="114"/>
      <c r="K52" s="114"/>
    </row>
    <row r="53" spans="1:11" ht="15.95" customHeight="1">
      <c r="A53" s="114"/>
      <c r="B53" s="114"/>
      <c r="C53" s="114"/>
      <c r="D53" s="114"/>
      <c r="E53" s="114"/>
      <c r="F53" s="114"/>
      <c r="G53" s="114"/>
      <c r="H53" s="114"/>
      <c r="I53" s="114"/>
      <c r="J53" s="114"/>
      <c r="K53" s="114"/>
    </row>
    <row r="54" spans="1:11" ht="15.95" customHeight="1">
      <c r="A54" s="114"/>
      <c r="B54" s="114"/>
      <c r="C54" s="114"/>
      <c r="D54" s="114"/>
      <c r="E54" s="114"/>
      <c r="F54" s="114"/>
      <c r="G54" s="114"/>
      <c r="H54" s="114"/>
      <c r="I54" s="114"/>
      <c r="J54" s="114"/>
      <c r="K54" s="114"/>
    </row>
    <row r="55" spans="1:11" ht="15.95" customHeight="1">
      <c r="A55" s="114"/>
      <c r="B55" s="114"/>
      <c r="C55" s="114"/>
      <c r="D55" s="114"/>
      <c r="E55" s="114"/>
      <c r="F55" s="114"/>
      <c r="G55" s="114"/>
      <c r="H55" s="114"/>
      <c r="I55" s="114"/>
      <c r="J55" s="114"/>
      <c r="K55" s="114"/>
    </row>
    <row r="56" spans="1:11" ht="15.95" customHeight="1">
      <c r="A56" s="114"/>
      <c r="B56" s="114"/>
      <c r="C56" s="114"/>
      <c r="D56" s="114"/>
      <c r="E56" s="114"/>
      <c r="F56" s="114"/>
      <c r="G56" s="114"/>
      <c r="H56" s="114"/>
      <c r="I56" s="114"/>
      <c r="J56" s="114"/>
      <c r="K56" s="114"/>
    </row>
    <row r="57" spans="1:11" ht="15.95" customHeight="1">
      <c r="A57" s="114"/>
      <c r="B57" s="114"/>
      <c r="C57" s="114"/>
      <c r="D57" s="114"/>
      <c r="E57" s="114"/>
      <c r="F57" s="114"/>
      <c r="G57" s="114"/>
      <c r="H57" s="114"/>
      <c r="I57" s="114"/>
      <c r="J57" s="114"/>
      <c r="K57" s="114"/>
    </row>
    <row r="58" spans="1:11" ht="15.95" customHeight="1">
      <c r="A58" s="114"/>
      <c r="B58" s="114"/>
      <c r="C58" s="114"/>
      <c r="D58" s="114"/>
      <c r="E58" s="114"/>
      <c r="F58" s="114"/>
      <c r="G58" s="114"/>
      <c r="H58" s="114"/>
      <c r="I58" s="114"/>
      <c r="J58" s="114"/>
      <c r="K58" s="114"/>
    </row>
    <row r="59" spans="1:11" ht="15.95" customHeight="1">
      <c r="A59" s="114"/>
      <c r="B59" s="114"/>
      <c r="C59" s="114"/>
      <c r="D59" s="114"/>
      <c r="E59" s="114"/>
      <c r="F59" s="114"/>
      <c r="G59" s="114"/>
      <c r="H59" s="114"/>
      <c r="I59" s="114"/>
      <c r="J59" s="114"/>
      <c r="K59" s="114"/>
    </row>
    <row r="60" spans="1:11" ht="15.95" customHeight="1">
      <c r="A60" s="114"/>
      <c r="B60" s="114"/>
      <c r="C60" s="114"/>
      <c r="D60" s="114"/>
      <c r="E60" s="114"/>
      <c r="F60" s="114"/>
      <c r="G60" s="114"/>
      <c r="H60" s="114"/>
      <c r="I60" s="114"/>
      <c r="J60" s="114"/>
      <c r="K60" s="114"/>
    </row>
    <row r="61" spans="1:11" ht="15.95" customHeight="1">
      <c r="A61" s="114"/>
      <c r="B61" s="114"/>
      <c r="C61" s="114"/>
      <c r="D61" s="114"/>
      <c r="E61" s="114"/>
      <c r="F61" s="114"/>
      <c r="G61" s="114"/>
      <c r="H61" s="114"/>
      <c r="I61" s="114"/>
      <c r="J61" s="114"/>
      <c r="K61" s="114"/>
    </row>
    <row r="62" spans="1:11" ht="15.95" customHeight="1">
      <c r="A62" s="114"/>
      <c r="B62" s="114"/>
      <c r="C62" s="114"/>
      <c r="D62" s="114"/>
      <c r="E62" s="114"/>
      <c r="F62" s="114"/>
      <c r="G62" s="114"/>
      <c r="H62" s="114"/>
      <c r="I62" s="114"/>
      <c r="J62" s="114"/>
      <c r="K62" s="114"/>
    </row>
    <row r="63" spans="1:11" ht="15.95" customHeight="1">
      <c r="A63" s="114"/>
      <c r="B63" s="114"/>
      <c r="C63" s="114"/>
      <c r="D63" s="114"/>
      <c r="E63" s="114"/>
      <c r="F63" s="114"/>
      <c r="G63" s="114"/>
      <c r="H63" s="114"/>
      <c r="I63" s="114"/>
      <c r="J63" s="114"/>
      <c r="K63" s="114"/>
    </row>
    <row r="64" spans="1:11" ht="15.95" customHeight="1">
      <c r="A64" s="114"/>
      <c r="B64" s="114"/>
      <c r="C64" s="114"/>
      <c r="D64" s="114"/>
      <c r="E64" s="114"/>
      <c r="F64" s="114"/>
      <c r="G64" s="114"/>
      <c r="H64" s="114"/>
      <c r="I64" s="114"/>
      <c r="J64" s="114"/>
      <c r="K64" s="114"/>
    </row>
    <row r="65" spans="1:11" ht="15.95" customHeight="1">
      <c r="A65" s="114"/>
      <c r="B65" s="114"/>
      <c r="C65" s="114"/>
      <c r="D65" s="114"/>
      <c r="E65" s="114"/>
      <c r="F65" s="114"/>
      <c r="G65" s="114"/>
      <c r="H65" s="114"/>
      <c r="I65" s="114"/>
      <c r="J65" s="114"/>
      <c r="K65" s="114"/>
    </row>
    <row r="66" spans="1:11" ht="15.95" customHeight="1">
      <c r="A66" s="114"/>
      <c r="B66" s="114"/>
      <c r="C66" s="114"/>
      <c r="D66" s="114"/>
      <c r="E66" s="114"/>
      <c r="F66" s="114"/>
      <c r="G66" s="114"/>
      <c r="H66" s="114"/>
      <c r="I66" s="114"/>
      <c r="J66" s="114"/>
      <c r="K66" s="114"/>
    </row>
    <row r="67" spans="1:11" ht="15.95" customHeight="1">
      <c r="A67" s="114"/>
      <c r="B67" s="114"/>
      <c r="C67" s="114"/>
      <c r="D67" s="114"/>
      <c r="E67" s="114"/>
      <c r="F67" s="114"/>
      <c r="G67" s="114"/>
      <c r="H67" s="114"/>
      <c r="I67" s="114"/>
      <c r="J67" s="114"/>
      <c r="K67" s="114"/>
    </row>
    <row r="68" spans="1:11" ht="15.95" customHeight="1">
      <c r="A68" s="114"/>
      <c r="B68" s="114"/>
      <c r="C68" s="114"/>
      <c r="D68" s="114"/>
      <c r="E68" s="114"/>
      <c r="F68" s="114"/>
      <c r="G68" s="114"/>
      <c r="H68" s="114"/>
      <c r="I68" s="114"/>
      <c r="J68" s="114"/>
      <c r="K68" s="114"/>
    </row>
    <row r="69" spans="1:11" ht="15.95" customHeight="1">
      <c r="A69" s="114"/>
      <c r="B69" s="114"/>
      <c r="C69" s="114"/>
      <c r="D69" s="114"/>
      <c r="E69" s="114"/>
      <c r="F69" s="114"/>
      <c r="G69" s="114"/>
      <c r="H69" s="114"/>
      <c r="I69" s="114"/>
      <c r="J69" s="114"/>
      <c r="K69" s="114"/>
    </row>
    <row r="70" spans="1:11" ht="15.95" customHeight="1">
      <c r="A70" s="114"/>
      <c r="B70" s="114"/>
      <c r="C70" s="114"/>
      <c r="D70" s="114"/>
      <c r="E70" s="114"/>
      <c r="F70" s="114"/>
      <c r="G70" s="114"/>
      <c r="H70" s="114"/>
      <c r="I70" s="114"/>
      <c r="J70" s="114"/>
      <c r="K70" s="114"/>
    </row>
    <row r="71" spans="1:11" ht="15.95" customHeight="1">
      <c r="A71" s="114"/>
      <c r="B71" s="114"/>
      <c r="C71" s="114"/>
      <c r="D71" s="114"/>
      <c r="E71" s="114"/>
      <c r="F71" s="114"/>
      <c r="G71" s="114"/>
      <c r="H71" s="114"/>
      <c r="I71" s="114"/>
      <c r="J71" s="114"/>
      <c r="K71" s="114"/>
    </row>
    <row r="72" spans="1:11" ht="15.95" customHeight="1">
      <c r="A72" s="114"/>
      <c r="B72" s="114"/>
      <c r="C72" s="114"/>
      <c r="D72" s="114"/>
      <c r="E72" s="114"/>
      <c r="F72" s="114"/>
      <c r="G72" s="114"/>
      <c r="H72" s="114"/>
      <c r="I72" s="114"/>
      <c r="J72" s="114"/>
      <c r="K72" s="114"/>
    </row>
    <row r="73" spans="1:11" ht="15.95" customHeight="1">
      <c r="A73" s="114"/>
      <c r="B73" s="114"/>
      <c r="C73" s="114"/>
      <c r="D73" s="114"/>
      <c r="E73" s="114"/>
      <c r="F73" s="114"/>
      <c r="G73" s="114"/>
      <c r="H73" s="114"/>
      <c r="I73" s="114"/>
      <c r="J73" s="114"/>
      <c r="K73" s="114"/>
    </row>
    <row r="74" spans="1:11" ht="15.95" customHeight="1">
      <c r="A74" s="114"/>
      <c r="B74" s="114"/>
      <c r="C74" s="114"/>
      <c r="D74" s="114"/>
      <c r="E74" s="114"/>
      <c r="F74" s="114"/>
      <c r="G74" s="114"/>
      <c r="H74" s="114"/>
      <c r="I74" s="114"/>
      <c r="J74" s="114"/>
      <c r="K74" s="114"/>
    </row>
    <row r="75" spans="1:11" ht="15.95" customHeight="1">
      <c r="A75" s="114"/>
      <c r="B75" s="114"/>
      <c r="C75" s="114"/>
      <c r="D75" s="114"/>
      <c r="E75" s="114"/>
      <c r="F75" s="114"/>
      <c r="G75" s="114"/>
      <c r="H75" s="114"/>
      <c r="I75" s="114"/>
      <c r="J75" s="114"/>
      <c r="K75" s="114"/>
    </row>
    <row r="76" spans="1:11" ht="15.95" customHeight="1">
      <c r="A76" s="114"/>
      <c r="B76" s="114"/>
      <c r="C76" s="114"/>
      <c r="D76" s="114"/>
      <c r="E76" s="114"/>
      <c r="F76" s="114"/>
      <c r="G76" s="114"/>
      <c r="H76" s="114"/>
      <c r="I76" s="114"/>
      <c r="J76" s="114"/>
      <c r="K76" s="114"/>
    </row>
    <row r="77" spans="1:11" ht="15.95" customHeight="1">
      <c r="A77" s="114"/>
      <c r="B77" s="114"/>
      <c r="C77" s="114"/>
      <c r="D77" s="114"/>
      <c r="E77" s="114"/>
      <c r="F77" s="114"/>
      <c r="G77" s="114"/>
      <c r="H77" s="114"/>
      <c r="I77" s="114"/>
      <c r="J77" s="114"/>
      <c r="K77" s="114"/>
    </row>
    <row r="78" spans="1:11" ht="15.95" customHeight="1">
      <c r="A78" s="114"/>
      <c r="B78" s="114"/>
      <c r="C78" s="114"/>
      <c r="D78" s="114"/>
      <c r="E78" s="114"/>
      <c r="F78" s="114"/>
      <c r="G78" s="114"/>
      <c r="H78" s="114"/>
      <c r="I78" s="114"/>
      <c r="J78" s="114"/>
      <c r="K78" s="114"/>
    </row>
    <row r="79" spans="1:11" ht="15.95" customHeight="1">
      <c r="A79" s="114"/>
      <c r="B79" s="114"/>
      <c r="C79" s="114"/>
      <c r="D79" s="114"/>
      <c r="E79" s="114"/>
      <c r="F79" s="114"/>
      <c r="G79" s="114"/>
      <c r="H79" s="114"/>
      <c r="I79" s="114"/>
      <c r="J79" s="114"/>
      <c r="K79" s="114"/>
    </row>
    <row r="80" spans="1:11" ht="15.95" customHeight="1">
      <c r="A80" s="114"/>
      <c r="B80" s="114"/>
      <c r="C80" s="114"/>
      <c r="D80" s="114"/>
      <c r="E80" s="114"/>
      <c r="F80" s="114"/>
      <c r="G80" s="114"/>
      <c r="H80" s="114"/>
      <c r="I80" s="114"/>
      <c r="J80" s="114"/>
      <c r="K80" s="114"/>
    </row>
    <row r="81" spans="1:11" ht="15.95" customHeight="1">
      <c r="A81" s="114"/>
      <c r="B81" s="114"/>
      <c r="C81" s="114"/>
      <c r="D81" s="114"/>
      <c r="E81" s="114"/>
      <c r="F81" s="114"/>
      <c r="G81" s="114"/>
      <c r="H81" s="114"/>
      <c r="I81" s="114"/>
      <c r="J81" s="114"/>
      <c r="K81" s="114"/>
    </row>
    <row r="82" spans="1:11" ht="15.95" customHeight="1">
      <c r="A82" s="114"/>
      <c r="B82" s="114"/>
      <c r="C82" s="114"/>
      <c r="D82" s="114"/>
      <c r="E82" s="114"/>
      <c r="F82" s="114"/>
      <c r="G82" s="114"/>
      <c r="H82" s="114"/>
      <c r="I82" s="114"/>
      <c r="J82" s="114"/>
      <c r="K82" s="114"/>
    </row>
    <row r="83" spans="1:11" ht="15.95" customHeight="1">
      <c r="A83" s="114"/>
      <c r="B83" s="114"/>
      <c r="C83" s="114"/>
      <c r="D83" s="114"/>
      <c r="E83" s="114"/>
      <c r="F83" s="114"/>
      <c r="G83" s="114"/>
      <c r="H83" s="114"/>
      <c r="I83" s="114"/>
      <c r="J83" s="114"/>
      <c r="K83" s="114"/>
    </row>
    <row r="84" spans="1:11" ht="15.95" customHeight="1">
      <c r="A84" s="114"/>
      <c r="B84" s="114"/>
      <c r="C84" s="114"/>
      <c r="D84" s="114"/>
      <c r="E84" s="114"/>
      <c r="F84" s="114"/>
      <c r="G84" s="114"/>
      <c r="H84" s="114"/>
      <c r="I84" s="114"/>
      <c r="J84" s="114"/>
      <c r="K84" s="114"/>
    </row>
    <row r="85" spans="1:11" ht="15.95" customHeight="1">
      <c r="A85" s="114"/>
      <c r="B85" s="114"/>
      <c r="C85" s="114"/>
      <c r="D85" s="114"/>
      <c r="E85" s="114"/>
      <c r="F85" s="114"/>
      <c r="G85" s="114"/>
      <c r="H85" s="114"/>
      <c r="I85" s="114"/>
      <c r="J85" s="114"/>
      <c r="K85" s="114"/>
    </row>
    <row r="86" spans="1:11" ht="15.95" customHeight="1">
      <c r="A86" s="114"/>
      <c r="B86" s="114"/>
      <c r="C86" s="114"/>
      <c r="D86" s="114"/>
      <c r="E86" s="114"/>
      <c r="F86" s="114"/>
      <c r="G86" s="114"/>
      <c r="H86" s="114"/>
      <c r="I86" s="114"/>
      <c r="J86" s="114"/>
      <c r="K86" s="114"/>
    </row>
    <row r="87" spans="1:11" ht="15.95" customHeight="1">
      <c r="A87" s="114"/>
      <c r="B87" s="114"/>
      <c r="C87" s="114"/>
      <c r="D87" s="114"/>
      <c r="E87" s="114"/>
      <c r="F87" s="114"/>
      <c r="G87" s="114"/>
      <c r="H87" s="114"/>
      <c r="I87" s="114"/>
      <c r="J87" s="114"/>
      <c r="K87" s="114"/>
    </row>
    <row r="88" spans="1:11" ht="15.95" customHeight="1">
      <c r="A88" s="114"/>
      <c r="B88" s="114"/>
      <c r="C88" s="114"/>
      <c r="D88" s="114"/>
      <c r="E88" s="114"/>
      <c r="F88" s="114"/>
      <c r="G88" s="114"/>
      <c r="H88" s="114"/>
      <c r="I88" s="114"/>
      <c r="J88" s="114"/>
      <c r="K88" s="114"/>
    </row>
    <row r="89" spans="1:11" ht="15.95" customHeight="1">
      <c r="A89" s="114"/>
      <c r="B89" s="114"/>
      <c r="C89" s="114"/>
      <c r="D89" s="114"/>
      <c r="E89" s="114"/>
      <c r="F89" s="114"/>
      <c r="G89" s="114"/>
      <c r="H89" s="114"/>
      <c r="I89" s="114"/>
      <c r="J89" s="114"/>
      <c r="K89" s="114"/>
    </row>
    <row r="90" spans="1:11" ht="15.95" customHeight="1">
      <c r="A90" s="114"/>
      <c r="B90" s="114"/>
      <c r="C90" s="114"/>
      <c r="D90" s="114"/>
      <c r="E90" s="114"/>
      <c r="F90" s="114"/>
      <c r="G90" s="114"/>
      <c r="H90" s="114"/>
      <c r="I90" s="114"/>
      <c r="J90" s="114"/>
      <c r="K90" s="114"/>
    </row>
    <row r="91" spans="1:11" ht="15.95" customHeight="1">
      <c r="A91" s="114"/>
      <c r="B91" s="114"/>
      <c r="C91" s="114"/>
      <c r="D91" s="114"/>
      <c r="E91" s="114"/>
      <c r="F91" s="114"/>
      <c r="G91" s="114"/>
      <c r="H91" s="114"/>
      <c r="I91" s="114"/>
      <c r="J91" s="114"/>
      <c r="K91" s="114"/>
    </row>
    <row r="92" spans="1:11" ht="15.95" customHeight="1">
      <c r="A92" s="114"/>
      <c r="B92" s="114"/>
      <c r="C92" s="114"/>
      <c r="D92" s="114"/>
      <c r="E92" s="114"/>
      <c r="F92" s="114"/>
      <c r="G92" s="114"/>
      <c r="H92" s="114"/>
      <c r="I92" s="114"/>
      <c r="J92" s="114"/>
      <c r="K92" s="114"/>
    </row>
    <row r="93" spans="1:11" ht="15.95" customHeight="1">
      <c r="A93" s="114"/>
      <c r="B93" s="114"/>
      <c r="C93" s="114"/>
      <c r="D93" s="114"/>
      <c r="E93" s="114"/>
      <c r="F93" s="114"/>
      <c r="G93" s="114"/>
      <c r="H93" s="114"/>
      <c r="I93" s="114"/>
      <c r="J93" s="114"/>
      <c r="K93" s="114"/>
    </row>
    <row r="94" spans="1:11" ht="15.95" customHeight="1">
      <c r="A94" s="114"/>
      <c r="B94" s="114"/>
      <c r="C94" s="114"/>
      <c r="D94" s="114"/>
      <c r="E94" s="114"/>
      <c r="F94" s="114"/>
      <c r="G94" s="114"/>
      <c r="H94" s="114"/>
      <c r="I94" s="114"/>
      <c r="J94" s="114"/>
      <c r="K94" s="114"/>
    </row>
    <row r="95" spans="1:11" ht="15.95" customHeight="1">
      <c r="A95" s="114"/>
      <c r="B95" s="114"/>
      <c r="C95" s="114"/>
      <c r="D95" s="114"/>
      <c r="E95" s="114"/>
      <c r="F95" s="114"/>
      <c r="G95" s="114"/>
      <c r="H95" s="114"/>
      <c r="I95" s="114"/>
      <c r="J95" s="114"/>
      <c r="K95" s="114"/>
    </row>
    <row r="96" spans="1:11" ht="15.95" customHeight="1">
      <c r="A96" s="114"/>
      <c r="B96" s="114"/>
      <c r="C96" s="114"/>
      <c r="D96" s="114"/>
      <c r="E96" s="114"/>
      <c r="F96" s="114"/>
      <c r="G96" s="114"/>
      <c r="H96" s="114"/>
      <c r="I96" s="114"/>
      <c r="J96" s="114"/>
      <c r="K96" s="114"/>
    </row>
    <row r="97" spans="1:11" ht="15.95" customHeight="1">
      <c r="A97" s="114"/>
      <c r="B97" s="114"/>
      <c r="C97" s="114"/>
      <c r="D97" s="114"/>
      <c r="E97" s="114"/>
      <c r="F97" s="114"/>
      <c r="G97" s="114"/>
      <c r="H97" s="114"/>
      <c r="I97" s="114"/>
      <c r="J97" s="114"/>
      <c r="K97" s="114"/>
    </row>
    <row r="98" spans="1:11" ht="15.95" customHeight="1">
      <c r="A98" s="114"/>
      <c r="B98" s="114"/>
      <c r="C98" s="114"/>
      <c r="D98" s="114"/>
      <c r="E98" s="114"/>
      <c r="F98" s="114"/>
      <c r="G98" s="114"/>
      <c r="H98" s="114"/>
      <c r="I98" s="114"/>
      <c r="J98" s="114"/>
      <c r="K98" s="114"/>
    </row>
    <row r="99" spans="1:11" ht="15.95" customHeight="1">
      <c r="A99" s="114"/>
      <c r="B99" s="114"/>
      <c r="C99" s="114"/>
      <c r="D99" s="114"/>
      <c r="E99" s="114"/>
      <c r="F99" s="114"/>
      <c r="G99" s="114"/>
      <c r="H99" s="114"/>
      <c r="I99" s="114"/>
      <c r="J99" s="114"/>
      <c r="K99" s="114"/>
    </row>
    <row r="100" spans="1:11" ht="15.95" customHeight="1">
      <c r="A100" s="114"/>
      <c r="B100" s="114"/>
      <c r="C100" s="114"/>
      <c r="D100" s="114"/>
      <c r="E100" s="114"/>
      <c r="F100" s="114"/>
      <c r="G100" s="114"/>
      <c r="H100" s="114"/>
      <c r="I100" s="114"/>
      <c r="J100" s="114"/>
      <c r="K100" s="114"/>
    </row>
    <row r="101" spans="1:11" ht="15.95" customHeight="1">
      <c r="A101" s="114"/>
      <c r="B101" s="114"/>
      <c r="C101" s="114"/>
      <c r="D101" s="114"/>
      <c r="E101" s="114"/>
      <c r="F101" s="114"/>
      <c r="G101" s="114"/>
      <c r="H101" s="114"/>
      <c r="I101" s="114"/>
      <c r="J101" s="114"/>
      <c r="K101" s="114"/>
    </row>
    <row r="102" spans="1:11" ht="15.95" customHeight="1">
      <c r="A102" s="114"/>
      <c r="B102" s="114"/>
      <c r="C102" s="114"/>
      <c r="D102" s="114"/>
      <c r="E102" s="114"/>
      <c r="F102" s="114"/>
      <c r="G102" s="114"/>
      <c r="H102" s="114"/>
      <c r="I102" s="114"/>
      <c r="J102" s="114"/>
      <c r="K102" s="114"/>
    </row>
    <row r="103" spans="1:11" ht="15.95" customHeight="1">
      <c r="A103" s="114"/>
      <c r="B103" s="114"/>
      <c r="C103" s="114"/>
      <c r="D103" s="114"/>
      <c r="E103" s="114"/>
      <c r="F103" s="114"/>
      <c r="G103" s="114"/>
      <c r="H103" s="114"/>
      <c r="I103" s="114"/>
      <c r="J103" s="114"/>
      <c r="K103" s="114"/>
    </row>
    <row r="104" spans="1:11" ht="15.95" customHeight="1">
      <c r="A104" s="114"/>
      <c r="B104" s="114"/>
      <c r="C104" s="114"/>
      <c r="D104" s="114"/>
      <c r="E104" s="114"/>
      <c r="F104" s="114"/>
      <c r="G104" s="114"/>
      <c r="H104" s="114"/>
      <c r="I104" s="114"/>
      <c r="J104" s="114"/>
      <c r="K104" s="114"/>
    </row>
    <row r="105" spans="1:11" ht="15.95" customHeight="1">
      <c r="A105" s="114"/>
      <c r="B105" s="114"/>
      <c r="C105" s="114"/>
      <c r="D105" s="114"/>
      <c r="E105" s="114"/>
      <c r="F105" s="114"/>
      <c r="G105" s="114"/>
      <c r="H105" s="114"/>
      <c r="I105" s="114"/>
      <c r="J105" s="114"/>
      <c r="K105" s="114"/>
    </row>
    <row r="106" spans="1:11" ht="15.95" customHeight="1">
      <c r="A106" s="114"/>
      <c r="B106" s="114"/>
      <c r="C106" s="114"/>
      <c r="D106" s="114"/>
      <c r="E106" s="114"/>
      <c r="F106" s="114"/>
      <c r="G106" s="114"/>
      <c r="H106" s="114"/>
      <c r="I106" s="114"/>
      <c r="J106" s="114"/>
      <c r="K106" s="114"/>
    </row>
    <row r="107" spans="1:11" ht="15.95" customHeight="1">
      <c r="A107" s="114"/>
      <c r="B107" s="114"/>
      <c r="C107" s="114"/>
      <c r="D107" s="114"/>
      <c r="E107" s="114"/>
      <c r="F107" s="114"/>
      <c r="G107" s="114"/>
      <c r="H107" s="114"/>
      <c r="I107" s="114"/>
      <c r="J107" s="114"/>
      <c r="K107" s="114"/>
    </row>
    <row r="108" spans="1:11" ht="15.95" customHeight="1">
      <c r="A108" s="114"/>
      <c r="B108" s="114"/>
      <c r="C108" s="114"/>
      <c r="D108" s="114"/>
      <c r="E108" s="114"/>
      <c r="F108" s="114"/>
      <c r="G108" s="114"/>
      <c r="H108" s="114"/>
      <c r="I108" s="114"/>
      <c r="J108" s="114"/>
      <c r="K108" s="114"/>
    </row>
    <row r="109" spans="1:11" ht="15.95" customHeight="1">
      <c r="A109" s="114"/>
      <c r="B109" s="114"/>
      <c r="C109" s="114"/>
      <c r="D109" s="114"/>
      <c r="E109" s="114"/>
      <c r="F109" s="114"/>
      <c r="G109" s="114"/>
      <c r="H109" s="114"/>
      <c r="I109" s="114"/>
      <c r="J109" s="114"/>
      <c r="K109" s="114"/>
    </row>
    <row r="110" spans="1:11" ht="15.95" customHeight="1">
      <c r="A110" s="114"/>
      <c r="B110" s="114"/>
      <c r="C110" s="114"/>
      <c r="D110" s="114"/>
      <c r="E110" s="114"/>
      <c r="F110" s="114"/>
      <c r="G110" s="114"/>
      <c r="H110" s="114"/>
      <c r="I110" s="114"/>
      <c r="J110" s="114"/>
      <c r="K110" s="114"/>
    </row>
    <row r="111" spans="1:11" ht="15.95" customHeight="1">
      <c r="A111" s="114"/>
      <c r="B111" s="114"/>
      <c r="C111" s="114"/>
      <c r="D111" s="114"/>
      <c r="E111" s="114"/>
      <c r="F111" s="114"/>
      <c r="G111" s="114"/>
      <c r="H111" s="114"/>
      <c r="I111" s="114"/>
      <c r="J111" s="114"/>
      <c r="K111" s="114"/>
    </row>
    <row r="112" spans="1:11" ht="15.95" customHeight="1">
      <c r="A112" s="114"/>
      <c r="B112" s="114"/>
      <c r="C112" s="114"/>
      <c r="D112" s="114"/>
      <c r="E112" s="114"/>
      <c r="F112" s="114"/>
      <c r="G112" s="114"/>
      <c r="H112" s="114"/>
      <c r="I112" s="114"/>
      <c r="J112" s="114"/>
      <c r="K112" s="114"/>
    </row>
    <row r="113" spans="1:11" ht="15.95" customHeight="1">
      <c r="A113" s="114"/>
      <c r="B113" s="114"/>
      <c r="C113" s="114"/>
      <c r="D113" s="114"/>
      <c r="E113" s="114"/>
      <c r="F113" s="114"/>
      <c r="G113" s="114"/>
      <c r="H113" s="114"/>
      <c r="I113" s="114"/>
      <c r="J113" s="114"/>
      <c r="K113" s="114"/>
    </row>
    <row r="114" spans="1:11" ht="15.95" customHeight="1">
      <c r="A114" s="114"/>
      <c r="B114" s="114"/>
      <c r="C114" s="114"/>
      <c r="D114" s="114"/>
      <c r="E114" s="114"/>
      <c r="F114" s="114"/>
      <c r="G114" s="114"/>
      <c r="H114" s="114"/>
      <c r="I114" s="114"/>
      <c r="J114" s="114"/>
      <c r="K114" s="114"/>
    </row>
    <row r="115" spans="1:11" ht="15.95" customHeight="1">
      <c r="A115" s="114"/>
      <c r="B115" s="114"/>
      <c r="C115" s="114"/>
      <c r="D115" s="114"/>
      <c r="E115" s="114"/>
      <c r="F115" s="114"/>
      <c r="G115" s="114"/>
      <c r="H115" s="114"/>
      <c r="I115" s="114"/>
      <c r="J115" s="114"/>
      <c r="K115" s="114"/>
    </row>
    <row r="116" spans="1:11" ht="15.95" customHeight="1">
      <c r="A116" s="114"/>
      <c r="B116" s="114"/>
      <c r="C116" s="114"/>
      <c r="D116" s="114"/>
      <c r="E116" s="114"/>
      <c r="F116" s="114"/>
      <c r="G116" s="114"/>
      <c r="H116" s="114"/>
      <c r="I116" s="114"/>
      <c r="J116" s="114"/>
      <c r="K116" s="114"/>
    </row>
    <row r="117" spans="1:11" ht="15.95" customHeight="1">
      <c r="A117" s="114"/>
      <c r="B117" s="114"/>
      <c r="C117" s="114"/>
      <c r="D117" s="114"/>
      <c r="E117" s="114"/>
      <c r="F117" s="114"/>
      <c r="G117" s="114"/>
      <c r="H117" s="114"/>
      <c r="I117" s="114"/>
      <c r="J117" s="114"/>
      <c r="K117" s="114"/>
    </row>
    <row r="118" spans="1:11" ht="15.95" customHeight="1">
      <c r="A118" s="114"/>
      <c r="B118" s="114"/>
      <c r="C118" s="114"/>
      <c r="D118" s="114"/>
      <c r="E118" s="114"/>
      <c r="F118" s="114"/>
      <c r="G118" s="114"/>
      <c r="H118" s="114"/>
      <c r="I118" s="114"/>
      <c r="J118" s="114"/>
      <c r="K118" s="114"/>
    </row>
    <row r="119" spans="1:11" ht="15.95" customHeight="1">
      <c r="A119" s="114"/>
      <c r="B119" s="114"/>
      <c r="C119" s="114"/>
      <c r="D119" s="114"/>
      <c r="E119" s="114"/>
      <c r="F119" s="114"/>
      <c r="G119" s="114"/>
      <c r="H119" s="114"/>
      <c r="I119" s="114"/>
      <c r="J119" s="114"/>
      <c r="K119" s="114"/>
    </row>
    <row r="120" spans="1:11" ht="15.95" customHeight="1">
      <c r="A120" s="114"/>
      <c r="B120" s="114"/>
      <c r="C120" s="114"/>
      <c r="D120" s="114"/>
      <c r="E120" s="114"/>
      <c r="F120" s="114"/>
      <c r="G120" s="114"/>
      <c r="H120" s="114"/>
      <c r="I120" s="114"/>
      <c r="J120" s="114"/>
      <c r="K120" s="114"/>
    </row>
    <row r="121" spans="1:11" ht="15.95" customHeight="1">
      <c r="A121" s="114"/>
      <c r="B121" s="114"/>
      <c r="C121" s="114"/>
      <c r="D121" s="114"/>
      <c r="E121" s="114"/>
      <c r="F121" s="114"/>
      <c r="G121" s="114"/>
      <c r="H121" s="114"/>
      <c r="I121" s="114"/>
      <c r="J121" s="114"/>
      <c r="K121" s="114"/>
    </row>
    <row r="122" spans="1:11" ht="15.95" customHeight="1">
      <c r="A122" s="114"/>
      <c r="B122" s="114"/>
      <c r="C122" s="114"/>
      <c r="D122" s="114"/>
      <c r="E122" s="114"/>
      <c r="F122" s="114"/>
      <c r="G122" s="114"/>
      <c r="H122" s="114"/>
      <c r="I122" s="114"/>
      <c r="J122" s="114"/>
      <c r="K122" s="114"/>
    </row>
    <row r="123" spans="1:11" ht="15.95" customHeight="1">
      <c r="A123" s="114"/>
      <c r="B123" s="114"/>
      <c r="C123" s="114"/>
      <c r="D123" s="114"/>
      <c r="E123" s="114"/>
      <c r="F123" s="114"/>
      <c r="G123" s="114"/>
      <c r="H123" s="114"/>
      <c r="I123" s="114"/>
      <c r="J123" s="114"/>
      <c r="K123" s="114"/>
    </row>
    <row r="124" spans="1:11" ht="15.95" customHeight="1">
      <c r="A124" s="114"/>
      <c r="B124" s="114"/>
      <c r="C124" s="114"/>
      <c r="D124" s="114"/>
      <c r="E124" s="114"/>
      <c r="F124" s="114"/>
      <c r="G124" s="114"/>
      <c r="H124" s="114"/>
      <c r="I124" s="114"/>
      <c r="J124" s="114"/>
      <c r="K124" s="114"/>
    </row>
    <row r="125" spans="1:11" ht="15.95" customHeight="1">
      <c r="A125" s="114"/>
      <c r="B125" s="114"/>
      <c r="C125" s="114"/>
      <c r="D125" s="114"/>
      <c r="E125" s="114"/>
      <c r="F125" s="114"/>
      <c r="G125" s="114"/>
      <c r="H125" s="114"/>
      <c r="I125" s="114"/>
      <c r="J125" s="114"/>
      <c r="K125" s="114"/>
    </row>
    <row r="126" spans="1:11" ht="15.95" customHeight="1">
      <c r="A126" s="114"/>
      <c r="B126" s="114"/>
      <c r="C126" s="114"/>
      <c r="D126" s="114"/>
      <c r="E126" s="114"/>
      <c r="F126" s="114"/>
      <c r="G126" s="114"/>
      <c r="H126" s="114"/>
      <c r="I126" s="114"/>
      <c r="J126" s="114"/>
      <c r="K126" s="114"/>
    </row>
    <row r="127" spans="1:11" ht="15.95" customHeight="1">
      <c r="A127" s="114"/>
      <c r="B127" s="114"/>
      <c r="C127" s="114"/>
      <c r="D127" s="114"/>
      <c r="E127" s="114"/>
      <c r="F127" s="114"/>
      <c r="G127" s="114"/>
      <c r="H127" s="114"/>
      <c r="I127" s="114"/>
      <c r="J127" s="114"/>
      <c r="K127" s="114"/>
    </row>
    <row r="128" spans="1:11" ht="15.95" customHeight="1">
      <c r="A128" s="114"/>
      <c r="B128" s="114"/>
      <c r="C128" s="114"/>
      <c r="D128" s="114"/>
      <c r="E128" s="114"/>
      <c r="F128" s="114"/>
      <c r="G128" s="114"/>
      <c r="H128" s="114"/>
      <c r="I128" s="114"/>
      <c r="J128" s="114"/>
      <c r="K128" s="114"/>
    </row>
    <row r="129" spans="1:11" ht="15.95" customHeight="1">
      <c r="A129" s="114"/>
      <c r="B129" s="114"/>
      <c r="C129" s="114"/>
      <c r="D129" s="114"/>
      <c r="E129" s="114"/>
      <c r="F129" s="114"/>
      <c r="G129" s="114"/>
      <c r="H129" s="114"/>
      <c r="I129" s="114"/>
      <c r="J129" s="114"/>
      <c r="K129" s="114"/>
    </row>
    <row r="130" spans="1:11" ht="15.95" customHeight="1">
      <c r="A130" s="114"/>
      <c r="B130" s="114"/>
      <c r="C130" s="114"/>
      <c r="D130" s="114"/>
      <c r="E130" s="114"/>
      <c r="F130" s="114"/>
      <c r="G130" s="114"/>
      <c r="H130" s="114"/>
      <c r="I130" s="114"/>
      <c r="J130" s="114"/>
      <c r="K130" s="114"/>
    </row>
    <row r="131" spans="1:11" ht="15.95" customHeight="1">
      <c r="A131" s="114"/>
      <c r="B131" s="114"/>
      <c r="C131" s="114"/>
      <c r="D131" s="114"/>
      <c r="E131" s="114"/>
      <c r="F131" s="114"/>
      <c r="G131" s="114"/>
      <c r="H131" s="114"/>
      <c r="I131" s="114"/>
      <c r="J131" s="114"/>
      <c r="K131" s="114"/>
    </row>
    <row r="132" spans="1:11" ht="15.95" customHeight="1">
      <c r="A132" s="114"/>
      <c r="B132" s="114"/>
      <c r="C132" s="114"/>
      <c r="D132" s="114"/>
      <c r="E132" s="114"/>
      <c r="F132" s="114"/>
      <c r="G132" s="114"/>
      <c r="H132" s="114"/>
      <c r="I132" s="114"/>
      <c r="J132" s="114"/>
      <c r="K132" s="114"/>
    </row>
    <row r="133" spans="1:11" ht="15.95" customHeight="1">
      <c r="A133" s="114"/>
      <c r="B133" s="114"/>
      <c r="C133" s="114"/>
      <c r="D133" s="114"/>
      <c r="E133" s="114"/>
      <c r="F133" s="114"/>
      <c r="G133" s="114"/>
      <c r="H133" s="114"/>
      <c r="I133" s="114"/>
      <c r="J133" s="114"/>
      <c r="K133" s="114"/>
    </row>
    <row r="134" spans="1:11" ht="15.95" customHeight="1">
      <c r="A134" s="114"/>
      <c r="B134" s="114"/>
      <c r="C134" s="114"/>
      <c r="D134" s="114"/>
      <c r="E134" s="114"/>
      <c r="F134" s="114"/>
      <c r="G134" s="114"/>
      <c r="H134" s="114"/>
      <c r="I134" s="114"/>
      <c r="J134" s="114"/>
      <c r="K134" s="114"/>
    </row>
    <row r="135" spans="1:11" ht="15.95" customHeight="1">
      <c r="A135" s="114"/>
      <c r="B135" s="114"/>
      <c r="C135" s="114"/>
      <c r="D135" s="114"/>
      <c r="E135" s="114"/>
      <c r="F135" s="114"/>
      <c r="G135" s="114"/>
      <c r="H135" s="114"/>
      <c r="I135" s="114"/>
      <c r="J135" s="114"/>
      <c r="K135" s="114"/>
    </row>
    <row r="136" spans="1:11" ht="15.95" customHeight="1">
      <c r="A136" s="114"/>
      <c r="B136" s="114"/>
      <c r="C136" s="114"/>
      <c r="D136" s="114"/>
      <c r="E136" s="114"/>
      <c r="F136" s="114"/>
      <c r="G136" s="114"/>
      <c r="H136" s="114"/>
      <c r="I136" s="114"/>
      <c r="J136" s="114"/>
      <c r="K136" s="114"/>
    </row>
    <row r="137" spans="1:11" ht="15.95" customHeight="1">
      <c r="A137" s="114"/>
      <c r="B137" s="114"/>
      <c r="C137" s="114"/>
      <c r="D137" s="114"/>
      <c r="E137" s="114"/>
      <c r="F137" s="114"/>
      <c r="G137" s="114"/>
      <c r="H137" s="114"/>
      <c r="I137" s="114"/>
      <c r="J137" s="114"/>
      <c r="K137" s="114"/>
    </row>
    <row r="138" spans="1:11" ht="15.95" customHeight="1">
      <c r="A138" s="114"/>
      <c r="B138" s="114"/>
      <c r="C138" s="114"/>
      <c r="D138" s="114"/>
      <c r="E138" s="114"/>
      <c r="F138" s="114"/>
      <c r="G138" s="114"/>
      <c r="H138" s="114"/>
      <c r="I138" s="114"/>
      <c r="J138" s="114"/>
      <c r="K138" s="114"/>
    </row>
    <row r="139" spans="1:11" ht="15.95" customHeight="1">
      <c r="A139" s="114"/>
      <c r="B139" s="114"/>
      <c r="C139" s="114"/>
      <c r="D139" s="114"/>
      <c r="E139" s="114"/>
      <c r="F139" s="114"/>
      <c r="G139" s="114"/>
      <c r="H139" s="114"/>
      <c r="I139" s="114"/>
      <c r="J139" s="114"/>
      <c r="K139" s="114"/>
    </row>
    <row r="140" spans="1:11" ht="15.95" customHeight="1">
      <c r="A140" s="114"/>
      <c r="B140" s="114"/>
      <c r="C140" s="114"/>
      <c r="D140" s="114"/>
      <c r="E140" s="114"/>
      <c r="F140" s="114"/>
      <c r="G140" s="114"/>
      <c r="H140" s="114"/>
      <c r="I140" s="114"/>
      <c r="J140" s="114"/>
      <c r="K140" s="114"/>
    </row>
    <row r="141" spans="1:11">
      <c r="A141" s="114"/>
      <c r="B141" s="114"/>
      <c r="C141" s="114"/>
      <c r="D141" s="114"/>
      <c r="E141" s="114"/>
      <c r="F141" s="114"/>
      <c r="G141" s="114"/>
      <c r="H141" s="114"/>
      <c r="I141" s="114"/>
      <c r="J141" s="114"/>
      <c r="K141" s="114"/>
    </row>
    <row r="142" spans="1:11">
      <c r="A142" s="114"/>
      <c r="B142" s="114"/>
      <c r="C142" s="114"/>
      <c r="D142" s="114"/>
      <c r="E142" s="114"/>
      <c r="F142" s="114"/>
      <c r="G142" s="114"/>
      <c r="H142" s="114"/>
      <c r="I142" s="114"/>
      <c r="J142" s="114"/>
      <c r="K142" s="114"/>
    </row>
    <row r="143" spans="1:11">
      <c r="A143" s="114"/>
      <c r="B143" s="114"/>
      <c r="C143" s="114"/>
      <c r="D143" s="114"/>
      <c r="E143" s="114"/>
      <c r="F143" s="114"/>
      <c r="G143" s="114"/>
      <c r="H143" s="114"/>
      <c r="I143" s="114"/>
      <c r="J143" s="114"/>
      <c r="K143" s="114"/>
    </row>
    <row r="144" spans="1:11">
      <c r="A144" s="114"/>
      <c r="B144" s="114"/>
      <c r="C144" s="114"/>
      <c r="D144" s="114"/>
      <c r="E144" s="114"/>
      <c r="F144" s="114"/>
      <c r="G144" s="114"/>
      <c r="H144" s="114"/>
      <c r="I144" s="114"/>
      <c r="J144" s="114"/>
      <c r="K144" s="114"/>
    </row>
    <row r="145" spans="1:11">
      <c r="A145" s="114"/>
      <c r="B145" s="114"/>
      <c r="C145" s="114"/>
      <c r="D145" s="114"/>
      <c r="E145" s="114"/>
      <c r="F145" s="114"/>
      <c r="G145" s="114"/>
      <c r="H145" s="114"/>
      <c r="I145" s="114"/>
      <c r="J145" s="114"/>
      <c r="K145" s="114"/>
    </row>
    <row r="146" spans="1:11">
      <c r="A146" s="114"/>
      <c r="B146" s="114"/>
      <c r="C146" s="114"/>
      <c r="D146" s="114"/>
      <c r="E146" s="114"/>
      <c r="F146" s="114"/>
      <c r="G146" s="114"/>
      <c r="H146" s="114"/>
      <c r="I146" s="114"/>
      <c r="J146" s="114"/>
      <c r="K146" s="114"/>
    </row>
    <row r="147" spans="1:11">
      <c r="A147" s="114"/>
      <c r="B147" s="114"/>
      <c r="C147" s="114"/>
      <c r="D147" s="114"/>
      <c r="E147" s="114"/>
      <c r="F147" s="114"/>
      <c r="G147" s="114"/>
      <c r="H147" s="114"/>
      <c r="I147" s="114"/>
      <c r="J147" s="114"/>
      <c r="K147" s="114"/>
    </row>
    <row r="148" spans="1:11">
      <c r="A148" s="114"/>
      <c r="B148" s="114"/>
      <c r="C148" s="114"/>
      <c r="D148" s="114"/>
      <c r="E148" s="114"/>
      <c r="F148" s="114"/>
      <c r="G148" s="114"/>
      <c r="H148" s="114"/>
      <c r="I148" s="114"/>
      <c r="J148" s="114"/>
      <c r="K148" s="114"/>
    </row>
    <row r="149" spans="1:11">
      <c r="A149" s="114"/>
      <c r="B149" s="114"/>
      <c r="C149" s="114"/>
      <c r="D149" s="114"/>
      <c r="E149" s="114"/>
      <c r="F149" s="114"/>
      <c r="G149" s="114"/>
      <c r="H149" s="114"/>
      <c r="I149" s="114"/>
      <c r="J149" s="114"/>
      <c r="K149" s="114"/>
    </row>
    <row r="150" spans="1:11">
      <c r="A150" s="114"/>
      <c r="B150" s="114"/>
      <c r="C150" s="114"/>
      <c r="D150" s="114"/>
      <c r="E150" s="114"/>
      <c r="F150" s="114"/>
      <c r="G150" s="114"/>
      <c r="H150" s="114"/>
      <c r="I150" s="114"/>
      <c r="J150" s="114"/>
      <c r="K150" s="114"/>
    </row>
    <row r="151" spans="1:11">
      <c r="A151" s="114"/>
      <c r="B151" s="114"/>
      <c r="C151" s="114"/>
      <c r="D151" s="114"/>
      <c r="E151" s="114"/>
      <c r="F151" s="114"/>
      <c r="G151" s="114"/>
      <c r="H151" s="114"/>
      <c r="I151" s="114"/>
      <c r="J151" s="114"/>
      <c r="K151" s="114"/>
    </row>
    <row r="152" spans="1:11">
      <c r="A152" s="114"/>
      <c r="B152" s="114"/>
      <c r="C152" s="114"/>
      <c r="D152" s="114"/>
      <c r="E152" s="114"/>
      <c r="F152" s="114"/>
      <c r="G152" s="114"/>
      <c r="H152" s="114"/>
      <c r="I152" s="114"/>
      <c r="J152" s="114"/>
      <c r="K152" s="114"/>
    </row>
    <row r="153" spans="1:11">
      <c r="A153" s="114"/>
      <c r="B153" s="114"/>
      <c r="C153" s="114"/>
      <c r="D153" s="114"/>
      <c r="E153" s="114"/>
      <c r="F153" s="114"/>
      <c r="G153" s="114"/>
      <c r="H153" s="114"/>
      <c r="I153" s="114"/>
      <c r="J153" s="114"/>
      <c r="K153" s="114"/>
    </row>
    <row r="154" spans="1:11">
      <c r="A154" s="114"/>
      <c r="B154" s="114"/>
      <c r="C154" s="114"/>
      <c r="D154" s="114"/>
      <c r="E154" s="114"/>
      <c r="F154" s="114"/>
      <c r="G154" s="114"/>
      <c r="H154" s="114"/>
      <c r="I154" s="114"/>
      <c r="J154" s="114"/>
      <c r="K154" s="114"/>
    </row>
    <row r="155" spans="1:11">
      <c r="A155" s="114"/>
      <c r="B155" s="114"/>
      <c r="C155" s="114"/>
      <c r="D155" s="114"/>
      <c r="E155" s="114"/>
      <c r="F155" s="114"/>
      <c r="G155" s="114"/>
      <c r="H155" s="114"/>
      <c r="I155" s="114"/>
      <c r="J155" s="114"/>
      <c r="K155" s="114"/>
    </row>
    <row r="156" spans="1:11">
      <c r="A156" s="114"/>
      <c r="B156" s="114"/>
      <c r="C156" s="114"/>
      <c r="D156" s="114"/>
      <c r="E156" s="114"/>
      <c r="F156" s="114"/>
      <c r="G156" s="114"/>
      <c r="H156" s="114"/>
      <c r="I156" s="114"/>
      <c r="J156" s="114"/>
      <c r="K156" s="114"/>
    </row>
    <row r="157" spans="1:11">
      <c r="A157" s="114"/>
      <c r="B157" s="114"/>
      <c r="C157" s="114"/>
      <c r="D157" s="114"/>
      <c r="E157" s="114"/>
      <c r="F157" s="114"/>
      <c r="G157" s="114"/>
      <c r="H157" s="114"/>
      <c r="I157" s="114"/>
      <c r="J157" s="114"/>
      <c r="K157" s="114"/>
    </row>
    <row r="158" spans="1:11">
      <c r="A158" s="114"/>
      <c r="B158" s="114"/>
      <c r="C158" s="114"/>
      <c r="D158" s="114"/>
      <c r="E158" s="114"/>
      <c r="F158" s="114"/>
      <c r="G158" s="114"/>
      <c r="H158" s="114"/>
      <c r="I158" s="114"/>
      <c r="J158" s="114"/>
      <c r="K158" s="114"/>
    </row>
    <row r="159" spans="1:11">
      <c r="A159" s="114"/>
      <c r="B159" s="114"/>
      <c r="C159" s="114"/>
      <c r="D159" s="114"/>
      <c r="E159" s="114"/>
      <c r="F159" s="114"/>
      <c r="G159" s="114"/>
      <c r="H159" s="114"/>
      <c r="I159" s="114"/>
      <c r="J159" s="114"/>
      <c r="K159" s="114"/>
    </row>
    <row r="160" spans="1:11">
      <c r="A160" s="114"/>
      <c r="B160" s="114"/>
      <c r="C160" s="114"/>
      <c r="D160" s="114"/>
      <c r="E160" s="114"/>
      <c r="F160" s="114"/>
      <c r="G160" s="114"/>
      <c r="H160" s="114"/>
      <c r="I160" s="114"/>
      <c r="J160" s="114"/>
      <c r="K160" s="114"/>
    </row>
    <row r="161" spans="1:11">
      <c r="A161" s="114"/>
      <c r="B161" s="114"/>
      <c r="C161" s="114"/>
      <c r="D161" s="114"/>
      <c r="E161" s="114"/>
      <c r="F161" s="114"/>
      <c r="G161" s="114"/>
      <c r="H161" s="114"/>
      <c r="I161" s="114"/>
      <c r="J161" s="114"/>
      <c r="K161" s="114"/>
    </row>
    <row r="162" spans="1:11">
      <c r="A162" s="114"/>
      <c r="B162" s="114"/>
      <c r="C162" s="114"/>
      <c r="D162" s="114"/>
      <c r="E162" s="114"/>
      <c r="F162" s="114"/>
      <c r="G162" s="114"/>
      <c r="H162" s="114"/>
      <c r="I162" s="114"/>
      <c r="J162" s="114"/>
      <c r="K162" s="114"/>
    </row>
    <row r="163" spans="1:11">
      <c r="A163" s="114"/>
      <c r="B163" s="114"/>
      <c r="C163" s="114"/>
      <c r="D163" s="114"/>
      <c r="E163" s="114"/>
      <c r="F163" s="114"/>
      <c r="G163" s="114"/>
      <c r="H163" s="114"/>
      <c r="I163" s="114"/>
      <c r="J163" s="114"/>
      <c r="K163" s="114"/>
    </row>
    <row r="164" spans="1:11">
      <c r="A164" s="114"/>
      <c r="B164" s="114"/>
      <c r="C164" s="114"/>
      <c r="D164" s="114"/>
      <c r="E164" s="114"/>
      <c r="F164" s="114"/>
      <c r="G164" s="114"/>
      <c r="H164" s="114"/>
      <c r="I164" s="114"/>
      <c r="J164" s="114"/>
      <c r="K164" s="114"/>
    </row>
    <row r="165" spans="1:11">
      <c r="A165" s="114"/>
      <c r="B165" s="114"/>
      <c r="C165" s="114"/>
      <c r="D165" s="114"/>
      <c r="E165" s="114"/>
      <c r="F165" s="114"/>
      <c r="G165" s="114"/>
      <c r="H165" s="114"/>
      <c r="I165" s="114"/>
      <c r="J165" s="114"/>
      <c r="K165" s="114"/>
    </row>
    <row r="166" spans="1:11">
      <c r="A166" s="114"/>
      <c r="B166" s="114"/>
      <c r="C166" s="114"/>
      <c r="D166" s="114"/>
      <c r="E166" s="114"/>
      <c r="F166" s="114"/>
      <c r="G166" s="114"/>
      <c r="H166" s="114"/>
      <c r="I166" s="114"/>
      <c r="J166" s="114"/>
      <c r="K166" s="114"/>
    </row>
    <row r="167" spans="1:11">
      <c r="A167" s="114"/>
      <c r="B167" s="114"/>
      <c r="C167" s="114"/>
      <c r="D167" s="114"/>
      <c r="E167" s="114"/>
      <c r="F167" s="114"/>
      <c r="G167" s="114"/>
      <c r="H167" s="114"/>
      <c r="I167" s="114"/>
      <c r="J167" s="114"/>
      <c r="K167" s="114"/>
    </row>
    <row r="168" spans="1:11">
      <c r="A168" s="114"/>
      <c r="B168" s="114"/>
      <c r="C168" s="114"/>
      <c r="D168" s="114"/>
      <c r="E168" s="114"/>
      <c r="F168" s="114"/>
      <c r="G168" s="114"/>
      <c r="H168" s="114"/>
      <c r="I168" s="114"/>
      <c r="J168" s="114"/>
      <c r="K168" s="114"/>
    </row>
    <row r="169" spans="1:11">
      <c r="A169" s="114"/>
      <c r="B169" s="114"/>
      <c r="C169" s="114"/>
      <c r="D169" s="114"/>
      <c r="E169" s="114"/>
      <c r="F169" s="114"/>
      <c r="G169" s="114"/>
      <c r="H169" s="114"/>
      <c r="I169" s="114"/>
      <c r="J169" s="114"/>
      <c r="K169" s="114"/>
    </row>
    <row r="170" spans="1:11">
      <c r="A170" s="114"/>
      <c r="B170" s="114"/>
      <c r="C170" s="114"/>
      <c r="D170" s="114"/>
      <c r="E170" s="114"/>
      <c r="F170" s="114"/>
      <c r="G170" s="114"/>
      <c r="H170" s="114"/>
      <c r="I170" s="114"/>
      <c r="J170" s="114"/>
      <c r="K170" s="114"/>
    </row>
    <row r="171" spans="1:11">
      <c r="A171" s="114"/>
      <c r="B171" s="114"/>
      <c r="C171" s="114"/>
      <c r="D171" s="114"/>
      <c r="E171" s="114"/>
      <c r="F171" s="114"/>
      <c r="G171" s="114"/>
      <c r="H171" s="114"/>
      <c r="I171" s="114"/>
      <c r="J171" s="114"/>
      <c r="K171" s="114"/>
    </row>
    <row r="172" spans="1:11">
      <c r="A172" s="114"/>
      <c r="B172" s="114"/>
      <c r="C172" s="114"/>
      <c r="D172" s="114"/>
      <c r="E172" s="114"/>
      <c r="F172" s="114"/>
      <c r="G172" s="114"/>
      <c r="H172" s="114"/>
      <c r="I172" s="114"/>
      <c r="J172" s="114"/>
      <c r="K172" s="114"/>
    </row>
    <row r="173" spans="1:11">
      <c r="A173" s="114"/>
      <c r="B173" s="114"/>
      <c r="C173" s="114"/>
      <c r="D173" s="114"/>
      <c r="E173" s="114"/>
      <c r="F173" s="114"/>
      <c r="G173" s="114"/>
      <c r="H173" s="114"/>
      <c r="I173" s="114"/>
      <c r="J173" s="114"/>
      <c r="K173" s="114"/>
    </row>
    <row r="174" spans="1:11">
      <c r="A174" s="114"/>
      <c r="B174" s="114"/>
      <c r="C174" s="114"/>
      <c r="D174" s="114"/>
      <c r="E174" s="114"/>
      <c r="F174" s="114"/>
      <c r="G174" s="114"/>
      <c r="H174" s="114"/>
      <c r="I174" s="114"/>
      <c r="J174" s="114"/>
      <c r="K174" s="114"/>
    </row>
    <row r="175" spans="1:11">
      <c r="A175" s="114"/>
      <c r="B175" s="114"/>
      <c r="C175" s="114"/>
      <c r="D175" s="114"/>
      <c r="E175" s="114"/>
      <c r="F175" s="114"/>
      <c r="G175" s="114"/>
      <c r="H175" s="114"/>
      <c r="I175" s="114"/>
      <c r="J175" s="114"/>
      <c r="K175" s="114"/>
    </row>
    <row r="176" spans="1:11">
      <c r="A176" s="114"/>
      <c r="B176" s="114"/>
      <c r="C176" s="114"/>
      <c r="D176" s="114"/>
      <c r="E176" s="114"/>
      <c r="F176" s="114"/>
      <c r="G176" s="114"/>
      <c r="H176" s="114"/>
      <c r="I176" s="114"/>
      <c r="J176" s="114"/>
      <c r="K176" s="114"/>
    </row>
    <row r="177" spans="1:11">
      <c r="A177" s="114"/>
      <c r="B177" s="114"/>
      <c r="C177" s="114"/>
      <c r="D177" s="114"/>
      <c r="E177" s="114"/>
      <c r="F177" s="114"/>
      <c r="G177" s="114"/>
      <c r="H177" s="114"/>
      <c r="I177" s="114"/>
      <c r="J177" s="114"/>
      <c r="K177" s="114"/>
    </row>
    <row r="178" spans="1:11">
      <c r="A178" s="114"/>
      <c r="B178" s="114"/>
      <c r="C178" s="114"/>
      <c r="D178" s="114"/>
      <c r="E178" s="114"/>
      <c r="F178" s="114"/>
      <c r="G178" s="114"/>
      <c r="H178" s="114"/>
      <c r="I178" s="114"/>
      <c r="J178" s="114"/>
      <c r="K178" s="114"/>
    </row>
    <row r="179" spans="1:11">
      <c r="A179" s="114"/>
      <c r="B179" s="114"/>
      <c r="C179" s="114"/>
      <c r="D179" s="114"/>
      <c r="E179" s="114"/>
      <c r="F179" s="114"/>
      <c r="G179" s="114"/>
      <c r="H179" s="114"/>
      <c r="I179" s="114"/>
      <c r="J179" s="114"/>
      <c r="K179" s="114"/>
    </row>
    <row r="180" spans="1:11">
      <c r="A180" s="114"/>
      <c r="B180" s="114"/>
      <c r="C180" s="114"/>
      <c r="D180" s="114"/>
      <c r="E180" s="114"/>
      <c r="F180" s="114"/>
      <c r="G180" s="114"/>
      <c r="H180" s="114"/>
      <c r="I180" s="114"/>
      <c r="J180" s="114"/>
      <c r="K180" s="114"/>
    </row>
    <row r="181" spans="1:11">
      <c r="A181" s="114"/>
      <c r="B181" s="114"/>
      <c r="C181" s="114"/>
      <c r="D181" s="114"/>
      <c r="E181" s="114"/>
      <c r="F181" s="114"/>
      <c r="G181" s="114"/>
      <c r="H181" s="114"/>
      <c r="I181" s="114"/>
      <c r="J181" s="114"/>
      <c r="K181" s="114"/>
    </row>
    <row r="182" spans="1:11">
      <c r="A182" s="114"/>
      <c r="B182" s="114"/>
      <c r="C182" s="114"/>
      <c r="D182" s="114"/>
      <c r="E182" s="114"/>
      <c r="F182" s="114"/>
      <c r="G182" s="114"/>
      <c r="H182" s="114"/>
      <c r="I182" s="114"/>
      <c r="J182" s="114"/>
      <c r="K182" s="114"/>
    </row>
    <row r="183" spans="1:11">
      <c r="A183" s="114"/>
      <c r="B183" s="114"/>
      <c r="C183" s="114"/>
      <c r="D183" s="114"/>
      <c r="E183" s="114"/>
      <c r="F183" s="114"/>
      <c r="G183" s="114"/>
      <c r="H183" s="114"/>
      <c r="I183" s="114"/>
      <c r="J183" s="114"/>
      <c r="K183" s="114"/>
    </row>
    <row r="184" spans="1:11">
      <c r="A184" s="114"/>
      <c r="B184" s="114"/>
      <c r="C184" s="114"/>
      <c r="D184" s="114"/>
      <c r="E184" s="114"/>
      <c r="F184" s="114"/>
      <c r="G184" s="114"/>
      <c r="H184" s="114"/>
      <c r="I184" s="114"/>
      <c r="J184" s="114"/>
      <c r="K184" s="114"/>
    </row>
    <row r="185" spans="1:11">
      <c r="A185" s="114"/>
      <c r="B185" s="114"/>
      <c r="C185" s="114"/>
      <c r="D185" s="114"/>
      <c r="E185" s="114"/>
      <c r="F185" s="114"/>
      <c r="G185" s="114"/>
      <c r="H185" s="114"/>
      <c r="I185" s="114"/>
      <c r="J185" s="114"/>
      <c r="K185" s="114"/>
    </row>
    <row r="186" spans="1:11">
      <c r="A186" s="114"/>
      <c r="B186" s="114"/>
      <c r="C186" s="114"/>
      <c r="D186" s="114"/>
      <c r="E186" s="114"/>
      <c r="F186" s="114"/>
      <c r="G186" s="114"/>
      <c r="H186" s="114"/>
      <c r="I186" s="114"/>
      <c r="J186" s="114"/>
      <c r="K186" s="114"/>
    </row>
    <row r="187" spans="1:11">
      <c r="A187" s="114"/>
      <c r="B187" s="114"/>
      <c r="C187" s="114"/>
      <c r="D187" s="114"/>
      <c r="E187" s="114"/>
      <c r="F187" s="114"/>
      <c r="G187" s="114"/>
      <c r="H187" s="114"/>
      <c r="I187" s="114"/>
      <c r="J187" s="114"/>
      <c r="K187" s="114"/>
    </row>
    <row r="188" spans="1:11">
      <c r="A188" s="114"/>
      <c r="B188" s="114"/>
      <c r="C188" s="114"/>
      <c r="D188" s="114"/>
      <c r="E188" s="114"/>
      <c r="F188" s="114"/>
      <c r="G188" s="114"/>
      <c r="H188" s="114"/>
      <c r="I188" s="114"/>
      <c r="J188" s="114"/>
      <c r="K188" s="114"/>
    </row>
    <row r="189" spans="1:11">
      <c r="A189" s="114"/>
      <c r="B189" s="114"/>
      <c r="C189" s="114"/>
      <c r="D189" s="114"/>
      <c r="E189" s="114"/>
      <c r="F189" s="114"/>
      <c r="G189" s="114"/>
      <c r="H189" s="114"/>
      <c r="I189" s="114"/>
      <c r="J189" s="114"/>
      <c r="K189" s="114"/>
    </row>
    <row r="190" spans="1:11">
      <c r="A190" s="114"/>
      <c r="B190" s="114"/>
      <c r="C190" s="114"/>
      <c r="D190" s="114"/>
      <c r="E190" s="114"/>
      <c r="F190" s="114"/>
      <c r="G190" s="114"/>
      <c r="H190" s="114"/>
      <c r="I190" s="114"/>
      <c r="J190" s="114"/>
      <c r="K190" s="114"/>
    </row>
    <row r="191" spans="1:11">
      <c r="A191" s="114"/>
      <c r="B191" s="114"/>
      <c r="C191" s="114"/>
      <c r="D191" s="114"/>
      <c r="E191" s="114"/>
      <c r="F191" s="114"/>
      <c r="G191" s="114"/>
      <c r="H191" s="114"/>
      <c r="I191" s="114"/>
      <c r="J191" s="114"/>
      <c r="K191" s="114"/>
    </row>
    <row r="192" spans="1:11">
      <c r="A192" s="114"/>
      <c r="B192" s="114"/>
      <c r="C192" s="114"/>
      <c r="D192" s="114"/>
      <c r="E192" s="114"/>
      <c r="F192" s="114"/>
      <c r="G192" s="114"/>
      <c r="H192" s="114"/>
      <c r="I192" s="114"/>
      <c r="J192" s="114"/>
      <c r="K192" s="114"/>
    </row>
    <row r="193" spans="1:11">
      <c r="A193" s="114"/>
      <c r="B193" s="114"/>
      <c r="C193" s="114"/>
      <c r="D193" s="114"/>
      <c r="E193" s="114"/>
      <c r="F193" s="114"/>
      <c r="G193" s="114"/>
      <c r="H193" s="114"/>
      <c r="I193" s="114"/>
      <c r="J193" s="114"/>
      <c r="K193" s="114"/>
    </row>
    <row r="194" spans="1:11">
      <c r="A194" s="114"/>
      <c r="B194" s="114"/>
      <c r="C194" s="114"/>
      <c r="D194" s="114"/>
      <c r="E194" s="114"/>
      <c r="F194" s="114"/>
      <c r="G194" s="114"/>
      <c r="H194" s="114"/>
      <c r="I194" s="114"/>
      <c r="J194" s="114"/>
      <c r="K194" s="114"/>
    </row>
    <row r="195" spans="1:11">
      <c r="A195" s="114"/>
      <c r="B195" s="114"/>
      <c r="C195" s="114"/>
      <c r="D195" s="114"/>
      <c r="E195" s="114"/>
      <c r="F195" s="114"/>
      <c r="G195" s="114"/>
      <c r="H195" s="114"/>
      <c r="I195" s="114"/>
      <c r="J195" s="114"/>
      <c r="K195" s="114"/>
    </row>
    <row r="196" spans="1:11">
      <c r="A196" s="114"/>
      <c r="B196" s="114"/>
      <c r="C196" s="114"/>
      <c r="D196" s="114"/>
      <c r="E196" s="114"/>
      <c r="F196" s="114"/>
      <c r="G196" s="114"/>
      <c r="H196" s="114"/>
    </row>
    <row r="197" spans="1:11">
      <c r="A197" s="114"/>
      <c r="B197" s="114"/>
      <c r="C197" s="114"/>
      <c r="D197" s="114"/>
      <c r="E197" s="114"/>
      <c r="F197" s="114"/>
      <c r="G197" s="114"/>
      <c r="H197" s="114"/>
    </row>
  </sheetData>
  <mergeCells count="28">
    <mergeCell ref="B35:D35"/>
    <mergeCell ref="C1:E1"/>
    <mergeCell ref="C2:E2"/>
    <mergeCell ref="C3:E3"/>
    <mergeCell ref="B27:D27"/>
    <mergeCell ref="B30:D30"/>
    <mergeCell ref="B31:D31"/>
    <mergeCell ref="B32:D32"/>
    <mergeCell ref="B33:D33"/>
    <mergeCell ref="B34:D34"/>
    <mergeCell ref="B19:D19"/>
    <mergeCell ref="B20:D20"/>
    <mergeCell ref="B21:D21"/>
    <mergeCell ref="B22:D22"/>
    <mergeCell ref="B23:D23"/>
    <mergeCell ref="B26:D26"/>
    <mergeCell ref="B18:D18"/>
    <mergeCell ref="H7:L7"/>
    <mergeCell ref="B8:D8"/>
    <mergeCell ref="B9:D9"/>
    <mergeCell ref="B10:D10"/>
    <mergeCell ref="B11:D11"/>
    <mergeCell ref="B12:D12"/>
    <mergeCell ref="B13:D13"/>
    <mergeCell ref="B14:D14"/>
    <mergeCell ref="B15:D15"/>
    <mergeCell ref="B16:D16"/>
    <mergeCell ref="B17: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29daec0-3f85-4f7a-9798-63894498ffdd" xsi:nil="true"/>
    <lcf76f155ced4ddcb4097134ff3c332f xmlns="171baf46-e54f-4960-9045-6796342ce21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05947268ED8DE4E8C3C0C60AC0BDC52" ma:contentTypeVersion="15" ma:contentTypeDescription="Create a new document." ma:contentTypeScope="" ma:versionID="1502f8eb40ac21d2bb52c8e8317d8d71">
  <xsd:schema xmlns:xsd="http://www.w3.org/2001/XMLSchema" xmlns:xs="http://www.w3.org/2001/XMLSchema" xmlns:p="http://schemas.microsoft.com/office/2006/metadata/properties" xmlns:ns2="171baf46-e54f-4960-9045-6796342ce211" xmlns:ns3="929daec0-3f85-4f7a-9798-63894498ffdd" targetNamespace="http://schemas.microsoft.com/office/2006/metadata/properties" ma:root="true" ma:fieldsID="1a02e04d2ccf5e55204be570b98f0160" ns2:_="" ns3:_="">
    <xsd:import namespace="171baf46-e54f-4960-9045-6796342ce211"/>
    <xsd:import namespace="929daec0-3f85-4f7a-9798-63894498ffd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1baf46-e54f-4960-9045-6796342ce2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7b60950-52b2-48e1-8500-f9c3f8bf5d2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29daec0-3f85-4f7a-9798-63894498ffdd"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e7b43c88-df1a-4660-93c9-ad59f2a0c450}" ma:internalName="TaxCatchAll" ma:showField="CatchAllData" ma:web="929daec0-3f85-4f7a-9798-63894498ff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656D15-951E-4BC8-8C1B-CC55757A87A9}"/>
</file>

<file path=customXml/itemProps2.xml><?xml version="1.0" encoding="utf-8"?>
<ds:datastoreItem xmlns:ds="http://schemas.openxmlformats.org/officeDocument/2006/customXml" ds:itemID="{FBC9D2DC-4118-4448-8C98-C6BBEEB275CD}"/>
</file>

<file path=customXml/itemProps3.xml><?xml version="1.0" encoding="utf-8"?>
<ds:datastoreItem xmlns:ds="http://schemas.openxmlformats.org/officeDocument/2006/customXml" ds:itemID="{2B367CB7-C7EE-4550-AA50-649AAE9EC8B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Cate Morse</dc:creator>
  <cp:keywords/>
  <dc:description/>
  <cp:lastModifiedBy>Danielle Barrow</cp:lastModifiedBy>
  <cp:revision/>
  <dcterms:created xsi:type="dcterms:W3CDTF">2022-11-07T08:18:33Z</dcterms:created>
  <dcterms:modified xsi:type="dcterms:W3CDTF">2023-04-20T03:47:07Z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0x010100805947268ED8DE4E8C3C0C60AC0BDC52</vt:lpwstr>
  </property>
  <property fmtid="{D5CDD505-2E9C-101B-9397-08002B2CF9AE}" pid="3" name="MediaServiceImageTags">
    <vt:lpwstr/>
  </property>
</Properties>
</file>