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Wayne - Gary\SUPER FUND\2021\"/>
    </mc:Choice>
  </mc:AlternateContent>
  <xr:revisionPtr revIDLastSave="0" documentId="8_{0F951FF1-0A75-4147-8873-0A81B8317048}" xr6:coauthVersionLast="47" xr6:coauthVersionMax="47" xr10:uidLastSave="{00000000-0000-0000-0000-000000000000}"/>
  <bookViews>
    <workbookView xWindow="28680" yWindow="-120" windowWidth="29040" windowHeight="15840" xr2:uid="{E5438748-0F7B-4D7C-A8FE-6E3A8A1297E5}"/>
  </bookViews>
  <sheets>
    <sheet name="IMU" sheetId="1" r:id="rId1"/>
    <sheet name="MEP" sheetId="2" r:id="rId2"/>
    <sheet name="ADN" sheetId="3" r:id="rId3"/>
    <sheet name="Summar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4" l="1"/>
  <c r="I25" i="4"/>
  <c r="J7" i="4"/>
  <c r="I7" i="4"/>
  <c r="J5" i="4"/>
  <c r="I5" i="4"/>
  <c r="J3" i="4"/>
  <c r="I3" i="4"/>
  <c r="I4" i="4"/>
  <c r="J4" i="4"/>
  <c r="T32" i="1"/>
  <c r="T19" i="1"/>
  <c r="R19" i="1"/>
  <c r="K57" i="1" l="1"/>
  <c r="K56" i="1"/>
  <c r="K50" i="1"/>
  <c r="T41" i="1"/>
  <c r="D3" i="4" s="1"/>
  <c r="J6" i="4"/>
  <c r="I6" i="4"/>
  <c r="D5" i="4"/>
  <c r="D4" i="4"/>
  <c r="T39" i="1"/>
  <c r="S38" i="1"/>
  <c r="R38" i="1"/>
  <c r="S36" i="1"/>
  <c r="S37" i="1"/>
  <c r="R37" i="1"/>
  <c r="R31" i="1"/>
  <c r="R32" i="1" s="1"/>
  <c r="G13" i="3"/>
  <c r="D12" i="3"/>
  <c r="I11" i="3"/>
  <c r="I8" i="3"/>
  <c r="I13" i="2"/>
  <c r="I11" i="2"/>
  <c r="I8" i="2"/>
  <c r="G13" i="2"/>
  <c r="D12" i="2"/>
  <c r="T34" i="1"/>
  <c r="T30" i="1"/>
  <c r="T24" i="1"/>
  <c r="T15" i="1"/>
  <c r="T12" i="1"/>
  <c r="T6" i="1"/>
  <c r="Q26" i="1"/>
  <c r="Q20" i="1"/>
  <c r="Q9" i="1"/>
  <c r="Q8" i="1"/>
  <c r="Q5" i="1"/>
  <c r="M41" i="1"/>
  <c r="H27" i="1"/>
  <c r="D7" i="1"/>
  <c r="E13" i="1" s="1"/>
  <c r="F16" i="1" s="1"/>
  <c r="G18" i="1" s="1"/>
  <c r="H22" i="1" s="1"/>
  <c r="D7" i="4" l="1"/>
  <c r="L25" i="4"/>
  <c r="I13" i="3"/>
  <c r="I28" i="1"/>
  <c r="J31" i="1" s="1"/>
  <c r="K35" i="1" s="1"/>
  <c r="K38" i="1" s="1"/>
  <c r="K46" i="1" s="1"/>
</calcChain>
</file>

<file path=xl/sharedStrings.xml><?xml version="1.0" encoding="utf-8"?>
<sst xmlns="http://schemas.openxmlformats.org/spreadsheetml/2006/main" count="105" uniqueCount="44">
  <si>
    <t>IMU shares</t>
  </si>
  <si>
    <t>bought</t>
  </si>
  <si>
    <t>sold</t>
  </si>
  <si>
    <t>BALANCE</t>
  </si>
  <si>
    <t>My Ledeger  $</t>
  </si>
  <si>
    <t>bought and sold</t>
  </si>
  <si>
    <t>capital gain</t>
  </si>
  <si>
    <t>Cost Price of these?</t>
  </si>
  <si>
    <t>MEP Shares</t>
  </si>
  <si>
    <t>ADN Shares</t>
  </si>
  <si>
    <t>Share price at 30 June 2021</t>
  </si>
  <si>
    <t>Value of Shares</t>
  </si>
  <si>
    <t>so 48 000 cost</t>
  </si>
  <si>
    <t>Bal of the 66 666</t>
  </si>
  <si>
    <t>if 66 666 cost</t>
  </si>
  <si>
    <t>Unt cost price</t>
  </si>
  <si>
    <t>the 350 000 cost</t>
  </si>
  <si>
    <t>Cap Gain:-</t>
  </si>
  <si>
    <t>IMU</t>
  </si>
  <si>
    <t>MEP</t>
  </si>
  <si>
    <t>AND</t>
  </si>
  <si>
    <t>Tax Return</t>
  </si>
  <si>
    <t>Profits</t>
  </si>
  <si>
    <t>Losses</t>
  </si>
  <si>
    <t>Bal per ledger</t>
  </si>
  <si>
    <t>Mkt Price INCREASE</t>
  </si>
  <si>
    <t>Contributions - Gary</t>
  </si>
  <si>
    <t>Tax charge for year</t>
  </si>
  <si>
    <t>Tax on Contributions</t>
  </si>
  <si>
    <t>Tax on earnings</t>
  </si>
  <si>
    <t>Per Gill</t>
  </si>
  <si>
    <t>86,841 at $0.1952145 plus 213159 at $0.4655115</t>
  </si>
  <si>
    <t>86841 sold on 27 May</t>
  </si>
  <si>
    <t>Tax Sche</t>
  </si>
  <si>
    <t>02</t>
  </si>
  <si>
    <t>03</t>
  </si>
  <si>
    <t>04</t>
  </si>
  <si>
    <t>05</t>
  </si>
  <si>
    <t>06</t>
  </si>
  <si>
    <t>07</t>
  </si>
  <si>
    <t>08</t>
  </si>
  <si>
    <t>11</t>
  </si>
  <si>
    <t>10</t>
  </si>
  <si>
    <t>capital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</si>
</sst>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[$-C09]dd\-mmm\-yy;@"/>
    <numFmt numFmtId="165" formatCode="_-* #,##0.00000_-;\-* #,##0.00000_-;_-* &quot;-&quot;?????_-;_-@_-"/>
    <numFmt numFmtId="166" formatCode="_-* #,##0.0000_-;\-* #,##0.0000_-;_-* &quot;-&quot;??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1" fontId="0" fillId="0" borderId="0" xfId="1" applyNumberFormat="1" applyFont="1"/>
    <xf numFmtId="41" fontId="0" fillId="0" borderId="1" xfId="1" applyNumberFormat="1" applyFont="1" applyBorder="1"/>
    <xf numFmtId="41" fontId="2" fillId="0" borderId="0" xfId="1" applyNumberFormat="1" applyFont="1"/>
    <xf numFmtId="41" fontId="0" fillId="2" borderId="0" xfId="1" applyNumberFormat="1" applyFont="1" applyFill="1"/>
    <xf numFmtId="41" fontId="0" fillId="0" borderId="0" xfId="1" applyNumberFormat="1" applyFont="1" applyFill="1"/>
    <xf numFmtId="41" fontId="0" fillId="0" borderId="1" xfId="1" applyNumberFormat="1" applyFont="1" applyFill="1" applyBorder="1"/>
    <xf numFmtId="41" fontId="0" fillId="0" borderId="0" xfId="1" applyNumberFormat="1" applyFont="1" applyFill="1" applyBorder="1"/>
    <xf numFmtId="43" fontId="0" fillId="0" borderId="2" xfId="1" applyFont="1" applyBorder="1"/>
    <xf numFmtId="43" fontId="0" fillId="2" borderId="0" xfId="1" applyFont="1" applyFill="1"/>
    <xf numFmtId="41" fontId="0" fillId="2" borderId="1" xfId="1" applyNumberFormat="1" applyFont="1" applyFill="1" applyBorder="1"/>
    <xf numFmtId="164" fontId="0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43" fontId="0" fillId="0" borderId="1" xfId="1" applyFont="1" applyBorder="1"/>
    <xf numFmtId="43" fontId="0" fillId="0" borderId="3" xfId="1" applyFont="1" applyBorder="1"/>
    <xf numFmtId="43" fontId="0" fillId="3" borderId="0" xfId="1" applyFont="1" applyFill="1"/>
    <xf numFmtId="165" fontId="3" fillId="3" borderId="0" xfId="1" applyNumberFormat="1" applyFont="1" applyFill="1" applyAlignment="1">
      <alignment wrapText="1"/>
    </xf>
    <xf numFmtId="41" fontId="0" fillId="3" borderId="1" xfId="1" applyNumberFormat="1" applyFont="1" applyFill="1" applyBorder="1"/>
    <xf numFmtId="41" fontId="0" fillId="3" borderId="0" xfId="1" applyNumberFormat="1" applyFont="1" applyFill="1"/>
    <xf numFmtId="43" fontId="0" fillId="3" borderId="2" xfId="1" applyFont="1" applyFill="1" applyBorder="1"/>
    <xf numFmtId="41" fontId="0" fillId="0" borderId="0" xfId="1" quotePrefix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72BB-7DD9-45A5-BCFF-6171C714C0EA}">
  <dimension ref="A2:U64"/>
  <sheetViews>
    <sheetView tabSelected="1" workbookViewId="0">
      <selection activeCell="K50" sqref="K50"/>
    </sheetView>
  </sheetViews>
  <sheetFormatPr defaultColWidth="9.140625" defaultRowHeight="15" x14ac:dyDescent="0.25"/>
  <cols>
    <col min="1" max="1" width="10.140625" style="12" bestFit="1" customWidth="1"/>
    <col min="2" max="6" width="9.140625" style="2"/>
    <col min="7" max="7" width="11.85546875" style="2" customWidth="1"/>
    <col min="8" max="8" width="9.140625" style="2"/>
    <col min="9" max="9" width="12.85546875" style="2" customWidth="1"/>
    <col min="10" max="10" width="10.5703125" style="2" bestFit="1" customWidth="1"/>
    <col min="11" max="11" width="11.5703125" style="2" bestFit="1" customWidth="1"/>
    <col min="12" max="12" width="9.140625" style="2"/>
    <col min="13" max="13" width="15.28515625" style="1" customWidth="1"/>
    <col min="14" max="15" width="9.140625" style="2"/>
    <col min="16" max="16" width="12" style="2" customWidth="1"/>
    <col min="17" max="17" width="16.85546875" style="13" customWidth="1"/>
    <col min="18" max="18" width="11.28515625" style="2" bestFit="1" customWidth="1"/>
    <col min="19" max="19" width="11.5703125" style="2" bestFit="1" customWidth="1"/>
    <col min="20" max="20" width="12" style="1" customWidth="1"/>
    <col min="21" max="16384" width="9.140625" style="2"/>
  </cols>
  <sheetData>
    <row r="2" spans="1:21" x14ac:dyDescent="0.25">
      <c r="C2" s="2" t="s">
        <v>0</v>
      </c>
      <c r="M2" s="1" t="s">
        <v>4</v>
      </c>
      <c r="Q2" s="13" t="s">
        <v>15</v>
      </c>
      <c r="T2" s="1" t="s">
        <v>6</v>
      </c>
      <c r="U2" s="2" t="s">
        <v>33</v>
      </c>
    </row>
    <row r="4" spans="1:21" x14ac:dyDescent="0.25">
      <c r="A4" s="12">
        <v>44270</v>
      </c>
      <c r="B4" s="2" t="s">
        <v>1</v>
      </c>
      <c r="C4" s="2">
        <v>11666</v>
      </c>
      <c r="M4" s="1">
        <v>1390.71</v>
      </c>
    </row>
    <row r="5" spans="1:21" x14ac:dyDescent="0.25">
      <c r="A5" s="12">
        <v>44295</v>
      </c>
      <c r="B5" s="2" t="s">
        <v>1</v>
      </c>
      <c r="C5" s="2">
        <v>606060</v>
      </c>
      <c r="M5" s="1">
        <v>100109.9</v>
      </c>
      <c r="Q5" s="13">
        <f>M5/C5</f>
        <v>0.16518150018150018</v>
      </c>
    </row>
    <row r="6" spans="1:21" x14ac:dyDescent="0.25">
      <c r="A6" s="12">
        <v>44298</v>
      </c>
      <c r="B6" s="2" t="s">
        <v>2</v>
      </c>
      <c r="C6" s="3">
        <v>-617726</v>
      </c>
      <c r="M6" s="1">
        <v>-107983.14</v>
      </c>
      <c r="T6" s="1">
        <f>SUM(M4:M6)</f>
        <v>-6482.5299999999988</v>
      </c>
      <c r="U6" s="22" t="s">
        <v>34</v>
      </c>
    </row>
    <row r="7" spans="1:21" x14ac:dyDescent="0.25">
      <c r="B7" s="2" t="s">
        <v>3</v>
      </c>
      <c r="D7" s="2">
        <f>SUM(C4:C6)</f>
        <v>0</v>
      </c>
    </row>
    <row r="8" spans="1:21" x14ac:dyDescent="0.25">
      <c r="A8" s="12">
        <v>44319</v>
      </c>
      <c r="B8" s="2" t="s">
        <v>1</v>
      </c>
      <c r="D8" s="2">
        <v>923076</v>
      </c>
      <c r="E8" s="20" t="s">
        <v>32</v>
      </c>
      <c r="M8" s="1">
        <v>180197.82</v>
      </c>
      <c r="Q8" s="13">
        <f>M8/D8</f>
        <v>0.19521450021450021</v>
      </c>
    </row>
    <row r="9" spans="1:21" x14ac:dyDescent="0.25">
      <c r="A9" s="12">
        <v>44333</v>
      </c>
      <c r="B9" s="2" t="s">
        <v>1</v>
      </c>
      <c r="D9" s="2">
        <v>14776</v>
      </c>
      <c r="M9" s="1">
        <v>4896.03</v>
      </c>
      <c r="Q9" s="13">
        <f t="shared" ref="Q9" si="0">M9/D9</f>
        <v>0.33135016242555493</v>
      </c>
    </row>
    <row r="11" spans="1:21" x14ac:dyDescent="0.25">
      <c r="A11" s="12">
        <v>44341</v>
      </c>
      <c r="B11" s="2" t="s">
        <v>1</v>
      </c>
      <c r="D11" s="2">
        <v>400000</v>
      </c>
      <c r="M11" s="1">
        <v>176193.6</v>
      </c>
      <c r="Q11" s="13" t="s">
        <v>5</v>
      </c>
    </row>
    <row r="12" spans="1:21" x14ac:dyDescent="0.25">
      <c r="A12" s="12">
        <v>44341</v>
      </c>
      <c r="B12" s="2" t="s">
        <v>2</v>
      </c>
      <c r="D12" s="3">
        <v>-400000</v>
      </c>
      <c r="M12" s="1">
        <v>-175806.4</v>
      </c>
      <c r="Q12" s="13" t="s">
        <v>5</v>
      </c>
      <c r="T12" s="1">
        <f>M12+M11</f>
        <v>387.20000000001164</v>
      </c>
      <c r="U12" s="22" t="s">
        <v>35</v>
      </c>
    </row>
    <row r="13" spans="1:21" x14ac:dyDescent="0.25">
      <c r="B13" s="2" t="s">
        <v>3</v>
      </c>
      <c r="E13" s="2">
        <f>SUM(D7:D12)</f>
        <v>937852</v>
      </c>
    </row>
    <row r="14" spans="1:21" x14ac:dyDescent="0.25">
      <c r="A14" s="12">
        <v>44342</v>
      </c>
      <c r="B14" s="2" t="s">
        <v>1</v>
      </c>
      <c r="E14" s="2">
        <v>300000</v>
      </c>
      <c r="M14" s="1">
        <v>138151.79999999999</v>
      </c>
      <c r="Q14" s="13" t="s">
        <v>5</v>
      </c>
    </row>
    <row r="15" spans="1:21" x14ac:dyDescent="0.25">
      <c r="A15" s="12">
        <v>44342</v>
      </c>
      <c r="B15" s="2" t="s">
        <v>2</v>
      </c>
      <c r="E15" s="3">
        <v>-300000</v>
      </c>
      <c r="M15" s="1">
        <v>-142343.25</v>
      </c>
      <c r="Q15" s="13" t="s">
        <v>5</v>
      </c>
      <c r="T15" s="1">
        <f>M15+M14</f>
        <v>-4191.4500000000116</v>
      </c>
      <c r="U15" s="22" t="s">
        <v>36</v>
      </c>
    </row>
    <row r="16" spans="1:21" x14ac:dyDescent="0.25">
      <c r="B16" s="2" t="s">
        <v>3</v>
      </c>
      <c r="F16" s="2">
        <f>SUM(E12:E15)</f>
        <v>937852</v>
      </c>
    </row>
    <row r="17" spans="1:21" x14ac:dyDescent="0.25">
      <c r="A17" s="12">
        <v>44342</v>
      </c>
      <c r="B17" s="2" t="s">
        <v>1</v>
      </c>
      <c r="F17" s="19">
        <v>213159</v>
      </c>
      <c r="M17" s="1">
        <v>99227.97</v>
      </c>
    </row>
    <row r="18" spans="1:21" x14ac:dyDescent="0.25">
      <c r="G18" s="2">
        <f>SUM(F16:F17)</f>
        <v>1151011</v>
      </c>
    </row>
    <row r="19" spans="1:21" ht="34.5" x14ac:dyDescent="0.25">
      <c r="A19" s="12">
        <v>44343</v>
      </c>
      <c r="B19" s="6" t="s">
        <v>2</v>
      </c>
      <c r="C19" s="6"/>
      <c r="D19" s="6"/>
      <c r="E19" s="6"/>
      <c r="F19" s="6"/>
      <c r="G19" s="5">
        <v>-300000</v>
      </c>
      <c r="H19" s="5"/>
      <c r="I19" s="5"/>
      <c r="J19" s="5"/>
      <c r="K19" s="5"/>
      <c r="L19" s="5"/>
      <c r="M19" s="10">
        <v>-121366.35</v>
      </c>
      <c r="O19" s="2" t="s">
        <v>7</v>
      </c>
      <c r="Q19" s="18" t="s">
        <v>31</v>
      </c>
      <c r="R19" s="17">
        <f>(86841*0.1952145)+(213159*0.4655115)</f>
        <v>116180.588223</v>
      </c>
      <c r="T19" s="17">
        <f>M19+R19</f>
        <v>-5185.761777000007</v>
      </c>
      <c r="U19" s="22" t="s">
        <v>42</v>
      </c>
    </row>
    <row r="20" spans="1:21" x14ac:dyDescent="0.25">
      <c r="A20" s="12">
        <v>44343</v>
      </c>
      <c r="B20" s="2" t="s">
        <v>1</v>
      </c>
      <c r="G20" s="6">
        <v>66666</v>
      </c>
      <c r="M20" s="1">
        <v>25027.25</v>
      </c>
      <c r="Q20" s="13">
        <f>M20/G20</f>
        <v>0.37541250412504124</v>
      </c>
    </row>
    <row r="21" spans="1:21" x14ac:dyDescent="0.25">
      <c r="G21" s="3"/>
    </row>
    <row r="22" spans="1:21" x14ac:dyDescent="0.25">
      <c r="H22" s="8">
        <f>SUM(G18:G21)</f>
        <v>917677</v>
      </c>
    </row>
    <row r="23" spans="1:21" x14ac:dyDescent="0.25">
      <c r="A23" s="12">
        <v>44343</v>
      </c>
      <c r="B23" s="2" t="s">
        <v>1</v>
      </c>
      <c r="H23" s="2">
        <v>500000</v>
      </c>
      <c r="M23" s="1">
        <v>184452.71</v>
      </c>
      <c r="Q23" s="13" t="s">
        <v>5</v>
      </c>
    </row>
    <row r="24" spans="1:21" x14ac:dyDescent="0.25">
      <c r="A24" s="12">
        <v>44343</v>
      </c>
      <c r="B24" s="2" t="s">
        <v>2</v>
      </c>
      <c r="H24" s="2">
        <v>-500000</v>
      </c>
      <c r="M24" s="1">
        <v>-202387.21</v>
      </c>
      <c r="Q24" s="13" t="s">
        <v>5</v>
      </c>
      <c r="T24" s="1">
        <f>M24+M23</f>
        <v>-17934.5</v>
      </c>
      <c r="U24" s="22" t="s">
        <v>37</v>
      </c>
    </row>
    <row r="26" spans="1:21" x14ac:dyDescent="0.25">
      <c r="A26" s="12">
        <v>44343</v>
      </c>
      <c r="B26" s="2" t="s">
        <v>1</v>
      </c>
      <c r="H26" s="4">
        <v>42352</v>
      </c>
      <c r="M26" s="1">
        <v>18019.55</v>
      </c>
      <c r="Q26" s="13">
        <f>M26/H26</f>
        <v>0.42547105213449188</v>
      </c>
    </row>
    <row r="27" spans="1:21" x14ac:dyDescent="0.25">
      <c r="F27" s="6"/>
      <c r="G27" s="6"/>
      <c r="H27" s="7">
        <f>-G21</f>
        <v>0</v>
      </c>
    </row>
    <row r="28" spans="1:21" x14ac:dyDescent="0.25">
      <c r="B28" s="2" t="s">
        <v>3</v>
      </c>
      <c r="I28" s="2">
        <f>SUM(H22:H27)</f>
        <v>960029</v>
      </c>
    </row>
    <row r="29" spans="1:21" x14ac:dyDescent="0.25">
      <c r="A29" s="12">
        <v>44344</v>
      </c>
      <c r="B29" s="2" t="s">
        <v>1</v>
      </c>
      <c r="I29" s="2">
        <v>400000</v>
      </c>
      <c r="M29" s="1">
        <v>180198</v>
      </c>
      <c r="Q29" s="13" t="s">
        <v>5</v>
      </c>
    </row>
    <row r="30" spans="1:21" x14ac:dyDescent="0.25">
      <c r="A30" s="12">
        <v>44347</v>
      </c>
      <c r="B30" s="2" t="s">
        <v>2</v>
      </c>
      <c r="I30" s="3">
        <v>-400000</v>
      </c>
      <c r="M30" s="1">
        <v>-161821.79999999999</v>
      </c>
      <c r="Q30" s="13" t="s">
        <v>5</v>
      </c>
      <c r="T30" s="1">
        <f>M30+M29</f>
        <v>18376.200000000012</v>
      </c>
      <c r="U30" s="22" t="s">
        <v>38</v>
      </c>
    </row>
    <row r="31" spans="1:21" x14ac:dyDescent="0.25">
      <c r="B31" s="2" t="s">
        <v>3</v>
      </c>
      <c r="J31" s="2">
        <f>SUM(I28:I30)</f>
        <v>960029</v>
      </c>
      <c r="Q31" s="2" t="s">
        <v>14</v>
      </c>
      <c r="R31" s="2">
        <f>M20</f>
        <v>25027.25</v>
      </c>
    </row>
    <row r="32" spans="1:21" x14ac:dyDescent="0.25">
      <c r="A32" s="12">
        <v>44348</v>
      </c>
      <c r="B32" s="2" t="s">
        <v>2</v>
      </c>
      <c r="J32" s="5">
        <v>-48000</v>
      </c>
      <c r="K32" s="5"/>
      <c r="L32" s="5"/>
      <c r="M32" s="10">
        <v>-18100.05</v>
      </c>
      <c r="O32" s="2" t="s">
        <v>7</v>
      </c>
      <c r="Q32" s="13" t="s">
        <v>12</v>
      </c>
      <c r="R32" s="1">
        <f>ROUND((R31*48000/66666),2)</f>
        <v>18019.8</v>
      </c>
      <c r="T32" s="17">
        <f>M32+R32</f>
        <v>-80.25</v>
      </c>
      <c r="U32" s="22" t="s">
        <v>41</v>
      </c>
    </row>
    <row r="33" spans="1:21" x14ac:dyDescent="0.25">
      <c r="A33" s="12">
        <v>44357</v>
      </c>
      <c r="B33" s="2" t="s">
        <v>1</v>
      </c>
      <c r="J33" s="2">
        <v>300000</v>
      </c>
      <c r="M33" s="1">
        <v>97607.25</v>
      </c>
      <c r="Q33" s="13" t="s">
        <v>5</v>
      </c>
    </row>
    <row r="34" spans="1:21" x14ac:dyDescent="0.25">
      <c r="A34" s="12">
        <v>44358</v>
      </c>
      <c r="B34" s="2" t="s">
        <v>2</v>
      </c>
      <c r="J34" s="3">
        <v>-300000</v>
      </c>
      <c r="M34" s="1">
        <v>-103271.37</v>
      </c>
      <c r="Q34" s="13" t="s">
        <v>5</v>
      </c>
      <c r="T34" s="1">
        <f>M34+M33</f>
        <v>-5664.1199999999953</v>
      </c>
      <c r="U34" s="22" t="s">
        <v>39</v>
      </c>
    </row>
    <row r="35" spans="1:21" x14ac:dyDescent="0.25">
      <c r="K35" s="2">
        <f>SUM(J31:J34)</f>
        <v>912029</v>
      </c>
    </row>
    <row r="36" spans="1:21" x14ac:dyDescent="0.25">
      <c r="A36" s="12">
        <v>44362</v>
      </c>
      <c r="B36" s="2" t="s">
        <v>1</v>
      </c>
      <c r="K36" s="2">
        <v>350000</v>
      </c>
      <c r="M36" s="1">
        <v>126138.6</v>
      </c>
      <c r="Q36" s="13" t="s">
        <v>16</v>
      </c>
      <c r="R36" s="2">
        <v>350000</v>
      </c>
      <c r="S36" s="1">
        <f>M36</f>
        <v>126138.6</v>
      </c>
    </row>
    <row r="37" spans="1:21" x14ac:dyDescent="0.25">
      <c r="A37" s="12">
        <v>44363</v>
      </c>
      <c r="B37" s="2" t="s">
        <v>2</v>
      </c>
      <c r="K37" s="11">
        <v>-375384</v>
      </c>
      <c r="M37" s="1">
        <v>-121865.60000000001</v>
      </c>
      <c r="O37" s="2" t="s">
        <v>7</v>
      </c>
      <c r="Q37" s="2" t="s">
        <v>13</v>
      </c>
      <c r="R37" s="2">
        <f>66666-48000</f>
        <v>18666</v>
      </c>
      <c r="S37" s="1">
        <f>ROUND((M20/66666*18666),2)</f>
        <v>7007.45</v>
      </c>
    </row>
    <row r="38" spans="1:21" x14ac:dyDescent="0.25">
      <c r="B38" s="2" t="s">
        <v>3</v>
      </c>
      <c r="K38" s="2">
        <f>SUM(K35:K37)</f>
        <v>886645</v>
      </c>
      <c r="R38" s="2">
        <f>-K37-R37-R36</f>
        <v>6718</v>
      </c>
      <c r="S38" s="15">
        <f>ROUND((M9/D9*6718),2)</f>
        <v>2226.0100000000002</v>
      </c>
    </row>
    <row r="39" spans="1:21" x14ac:dyDescent="0.25">
      <c r="T39" s="1">
        <f>M37+SUM(S36:S38)</f>
        <v>13506.460000000021</v>
      </c>
      <c r="U39" s="22" t="s">
        <v>40</v>
      </c>
    </row>
    <row r="41" spans="1:21" ht="15.75" thickBot="1" x14ac:dyDescent="0.3">
      <c r="M41" s="9">
        <f>SUM(M3:M38)</f>
        <v>176666.02</v>
      </c>
      <c r="T41" s="21">
        <f>SUM(T3:T40)</f>
        <v>-7268.7517769999686</v>
      </c>
    </row>
    <row r="42" spans="1:21" ht="15.75" thickTop="1" x14ac:dyDescent="0.25"/>
    <row r="44" spans="1:21" x14ac:dyDescent="0.25">
      <c r="H44" s="2" t="s">
        <v>10</v>
      </c>
      <c r="K44" s="14">
        <v>0.35499999999999998</v>
      </c>
    </row>
    <row r="46" spans="1:21" x14ac:dyDescent="0.25">
      <c r="H46" s="2" t="s">
        <v>11</v>
      </c>
      <c r="K46" s="10">
        <f>ROUND((K38*K44),2)</f>
        <v>314758.98</v>
      </c>
    </row>
    <row r="47" spans="1:21" x14ac:dyDescent="0.25">
      <c r="K47" s="1"/>
    </row>
    <row r="48" spans="1:21" x14ac:dyDescent="0.25">
      <c r="H48" s="2" t="s">
        <v>24</v>
      </c>
      <c r="K48" s="1">
        <v>183934.77</v>
      </c>
    </row>
    <row r="49" spans="8:11" x14ac:dyDescent="0.25">
      <c r="K49" s="1"/>
    </row>
    <row r="50" spans="8:11" x14ac:dyDescent="0.25">
      <c r="H50" s="2" t="s">
        <v>25</v>
      </c>
      <c r="K50" s="1">
        <f>K46-K48</f>
        <v>130824.20999999999</v>
      </c>
    </row>
    <row r="52" spans="8:11" x14ac:dyDescent="0.25">
      <c r="J52" s="1"/>
      <c r="K52" s="1"/>
    </row>
    <row r="53" spans="8:11" x14ac:dyDescent="0.25">
      <c r="H53" s="2" t="s">
        <v>26</v>
      </c>
      <c r="J53" s="1">
        <v>17847.95</v>
      </c>
      <c r="K53" s="1"/>
    </row>
    <row r="54" spans="8:11" x14ac:dyDescent="0.25">
      <c r="H54" s="2" t="s">
        <v>27</v>
      </c>
      <c r="J54" s="10">
        <v>2661</v>
      </c>
      <c r="K54" s="1"/>
    </row>
    <row r="55" spans="8:11" x14ac:dyDescent="0.25">
      <c r="J55" s="1"/>
      <c r="K55" s="1"/>
    </row>
    <row r="56" spans="8:11" x14ac:dyDescent="0.25">
      <c r="H56" s="2" t="s">
        <v>28</v>
      </c>
      <c r="J56" s="1"/>
      <c r="K56" s="1">
        <f>ROUND((J53*0.15),2)</f>
        <v>2677.19</v>
      </c>
    </row>
    <row r="57" spans="8:11" x14ac:dyDescent="0.25">
      <c r="H57" s="2" t="s">
        <v>29</v>
      </c>
      <c r="J57" s="1"/>
      <c r="K57" s="1">
        <f>J54-K56</f>
        <v>-16.190000000000055</v>
      </c>
    </row>
    <row r="58" spans="8:11" x14ac:dyDescent="0.25">
      <c r="J58" s="1"/>
      <c r="K58" s="1"/>
    </row>
    <row r="59" spans="8:11" x14ac:dyDescent="0.25">
      <c r="J59" s="1"/>
      <c r="K59" s="1"/>
    </row>
    <row r="60" spans="8:11" x14ac:dyDescent="0.25">
      <c r="J60" s="1"/>
      <c r="K60" s="1"/>
    </row>
    <row r="61" spans="8:11" x14ac:dyDescent="0.25">
      <c r="J61" s="1"/>
      <c r="K61" s="1"/>
    </row>
    <row r="62" spans="8:11" x14ac:dyDescent="0.25">
      <c r="J62" s="1"/>
      <c r="K62" s="1"/>
    </row>
    <row r="63" spans="8:11" x14ac:dyDescent="0.25">
      <c r="J63" s="1"/>
      <c r="K63" s="1"/>
    </row>
    <row r="64" spans="8:11" x14ac:dyDescent="0.25">
      <c r="J64" s="1"/>
      <c r="K6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9F0B-D40D-44D5-A934-2706A27DA41D}">
  <dimension ref="A2:I14"/>
  <sheetViews>
    <sheetView workbookViewId="0">
      <selection activeCell="I34" sqref="I34"/>
    </sheetView>
  </sheetViews>
  <sheetFormatPr defaultColWidth="9.140625" defaultRowHeight="15" x14ac:dyDescent="0.25"/>
  <cols>
    <col min="1" max="1" width="10.140625" style="12" bestFit="1" customWidth="1"/>
    <col min="2" max="6" width="9.140625" style="2"/>
    <col min="7" max="7" width="15.140625" style="1" customWidth="1"/>
    <col min="8" max="8" width="9.140625" style="2"/>
    <col min="9" max="9" width="12.28515625" style="1" customWidth="1"/>
    <col min="10" max="16384" width="9.140625" style="2"/>
  </cols>
  <sheetData>
    <row r="2" spans="1:9" x14ac:dyDescent="0.25">
      <c r="C2" s="2" t="s">
        <v>8</v>
      </c>
    </row>
    <row r="3" spans="1:9" x14ac:dyDescent="0.25">
      <c r="G3" s="1" t="s">
        <v>4</v>
      </c>
      <c r="I3" s="1" t="s">
        <v>43</v>
      </c>
    </row>
    <row r="6" spans="1:9" x14ac:dyDescent="0.25">
      <c r="A6" s="12">
        <v>44264</v>
      </c>
      <c r="B6" s="2" t="s">
        <v>1</v>
      </c>
      <c r="C6" s="2">
        <v>312500</v>
      </c>
      <c r="G6" s="1">
        <v>50055</v>
      </c>
    </row>
    <row r="7" spans="1:9" x14ac:dyDescent="0.25">
      <c r="A7" s="12">
        <v>44264</v>
      </c>
      <c r="B7" s="2" t="s">
        <v>2</v>
      </c>
      <c r="C7" s="2">
        <v>312500</v>
      </c>
      <c r="G7" s="1">
        <v>50055</v>
      </c>
    </row>
    <row r="8" spans="1:9" x14ac:dyDescent="0.25">
      <c r="A8" s="12">
        <v>44265</v>
      </c>
      <c r="B8" s="2" t="s">
        <v>1</v>
      </c>
      <c r="C8" s="2">
        <v>312500</v>
      </c>
      <c r="G8" s="1">
        <v>51446.69</v>
      </c>
      <c r="I8" s="1">
        <f>SUM(G6:G8)</f>
        <v>151556.69</v>
      </c>
    </row>
    <row r="9" spans="1:9" x14ac:dyDescent="0.25">
      <c r="A9" s="12">
        <v>44319</v>
      </c>
      <c r="B9" s="2" t="s">
        <v>2</v>
      </c>
      <c r="C9" s="2">
        <v>-340000</v>
      </c>
      <c r="G9" s="1">
        <v>-39056.99</v>
      </c>
    </row>
    <row r="10" spans="1:9" x14ac:dyDescent="0.25">
      <c r="A10" s="12">
        <v>44319</v>
      </c>
      <c r="B10" s="2" t="s">
        <v>2</v>
      </c>
      <c r="C10" s="2">
        <v>-205000</v>
      </c>
      <c r="G10" s="1">
        <v>-23549.06</v>
      </c>
    </row>
    <row r="11" spans="1:9" x14ac:dyDescent="0.25">
      <c r="A11" s="12">
        <v>44319</v>
      </c>
      <c r="B11" s="2" t="s">
        <v>2</v>
      </c>
      <c r="C11" s="3">
        <v>-392500</v>
      </c>
      <c r="G11" s="1">
        <v>-43127.5</v>
      </c>
      <c r="I11" s="1">
        <f>SUM(G9:G11)</f>
        <v>-105733.55</v>
      </c>
    </row>
    <row r="12" spans="1:9" x14ac:dyDescent="0.25">
      <c r="B12" s="2" t="s">
        <v>3</v>
      </c>
      <c r="D12" s="2">
        <f>SUM(C6:C11)</f>
        <v>0</v>
      </c>
    </row>
    <row r="13" spans="1:9" ht="15.75" thickBot="1" x14ac:dyDescent="0.3">
      <c r="G13" s="9">
        <f>SUM(G6:G12)</f>
        <v>45823.140000000014</v>
      </c>
      <c r="I13" s="9">
        <f>SUM(I6:I12)</f>
        <v>45823.14</v>
      </c>
    </row>
    <row r="14" spans="1: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3939-D603-4050-BA11-619247E881D3}">
  <dimension ref="A2:I14"/>
  <sheetViews>
    <sheetView workbookViewId="0">
      <selection activeCell="G10" sqref="G10"/>
    </sheetView>
  </sheetViews>
  <sheetFormatPr defaultColWidth="9.140625" defaultRowHeight="15" x14ac:dyDescent="0.25"/>
  <cols>
    <col min="1" max="1" width="10.140625" style="12" bestFit="1" customWidth="1"/>
    <col min="2" max="6" width="9.140625" style="2"/>
    <col min="7" max="7" width="15.140625" style="1" customWidth="1"/>
    <col min="8" max="8" width="9.140625" style="2"/>
    <col min="9" max="9" width="12.28515625" style="1" customWidth="1"/>
    <col min="10" max="16384" width="9.140625" style="2"/>
  </cols>
  <sheetData>
    <row r="2" spans="1:9" x14ac:dyDescent="0.25">
      <c r="C2" s="2" t="s">
        <v>9</v>
      </c>
    </row>
    <row r="3" spans="1:9" x14ac:dyDescent="0.25">
      <c r="G3" s="1" t="s">
        <v>4</v>
      </c>
      <c r="I3" s="1" t="s">
        <v>6</v>
      </c>
    </row>
    <row r="6" spans="1:9" x14ac:dyDescent="0.25">
      <c r="A6" s="12">
        <v>44264</v>
      </c>
      <c r="B6" s="2" t="s">
        <v>1</v>
      </c>
      <c r="C6" s="2">
        <v>158730</v>
      </c>
      <c r="G6" s="1">
        <v>50054.95</v>
      </c>
    </row>
    <row r="7" spans="1:9" x14ac:dyDescent="0.25">
      <c r="A7" s="12">
        <v>44264</v>
      </c>
      <c r="B7" s="2" t="s">
        <v>1</v>
      </c>
      <c r="C7" s="2">
        <v>158730</v>
      </c>
      <c r="G7" s="1">
        <v>50054.95</v>
      </c>
    </row>
    <row r="8" spans="1:9" x14ac:dyDescent="0.25">
      <c r="A8" s="12">
        <v>44265</v>
      </c>
      <c r="B8" s="2" t="s">
        <v>2</v>
      </c>
      <c r="I8" s="1">
        <f>SUM(G6:G8)</f>
        <v>100109.9</v>
      </c>
    </row>
    <row r="9" spans="1:9" x14ac:dyDescent="0.25">
      <c r="C9" s="2">
        <v>-317460</v>
      </c>
      <c r="G9" s="1">
        <v>-68178.820000000007</v>
      </c>
    </row>
    <row r="11" spans="1:9" x14ac:dyDescent="0.25">
      <c r="C11" s="3"/>
      <c r="I11" s="1">
        <f>SUM(G9:G11)</f>
        <v>-68178.820000000007</v>
      </c>
    </row>
    <row r="12" spans="1:9" x14ac:dyDescent="0.25">
      <c r="B12" s="2" t="s">
        <v>3</v>
      </c>
      <c r="D12" s="2">
        <f>SUM(C6:C11)</f>
        <v>0</v>
      </c>
    </row>
    <row r="13" spans="1:9" ht="15.75" thickBot="1" x14ac:dyDescent="0.3">
      <c r="G13" s="9">
        <f>SUM(G6:G12)</f>
        <v>31931.079999999987</v>
      </c>
      <c r="I13" s="9">
        <f>SUM(I6:I12)</f>
        <v>31931.079999999987</v>
      </c>
    </row>
    <row r="14" spans="1:9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6082-8B37-40FC-9D57-1EB77C7D985E}">
  <dimension ref="B1:N25"/>
  <sheetViews>
    <sheetView workbookViewId="0">
      <selection activeCell="L25" sqref="L25"/>
    </sheetView>
  </sheetViews>
  <sheetFormatPr defaultColWidth="9.140625" defaultRowHeight="15" x14ac:dyDescent="0.25"/>
  <cols>
    <col min="1" max="3" width="9.140625" style="1"/>
    <col min="4" max="4" width="10.5703125" style="1" bestFit="1" customWidth="1"/>
    <col min="5" max="5" width="9.140625" style="1"/>
    <col min="6" max="6" width="10.5703125" style="1" bestFit="1" customWidth="1"/>
    <col min="7" max="8" width="9.140625" style="1"/>
    <col min="9" max="9" width="12.140625" style="1" customWidth="1"/>
    <col min="10" max="10" width="11.140625" style="1" customWidth="1"/>
    <col min="11" max="11" width="9.140625" style="1"/>
    <col min="12" max="12" width="13.28515625" style="1" customWidth="1"/>
    <col min="13" max="13" width="9.140625" style="1"/>
    <col min="14" max="14" width="10.5703125" style="1" bestFit="1" customWidth="1"/>
    <col min="15" max="16384" width="9.140625" style="1"/>
  </cols>
  <sheetData>
    <row r="1" spans="2:14" x14ac:dyDescent="0.25">
      <c r="F1" s="10" t="s">
        <v>21</v>
      </c>
    </row>
    <row r="2" spans="2:14" x14ac:dyDescent="0.25">
      <c r="B2" s="1" t="s">
        <v>17</v>
      </c>
      <c r="I2" s="1" t="s">
        <v>22</v>
      </c>
      <c r="J2" s="1" t="s">
        <v>23</v>
      </c>
    </row>
    <row r="3" spans="2:14" x14ac:dyDescent="0.25">
      <c r="C3" s="1" t="s">
        <v>18</v>
      </c>
      <c r="D3" s="1">
        <f>-IMU!T41</f>
        <v>7268.7517769999686</v>
      </c>
      <c r="F3" s="1">
        <v>7268</v>
      </c>
      <c r="I3" s="1">
        <f t="shared" ref="I3:I5" si="0">IF((F3&lt;0),0,F3)</f>
        <v>7268</v>
      </c>
      <c r="J3" s="1">
        <f t="shared" ref="J3:J5" si="1">IF((F3&gt;0),0,F3)</f>
        <v>0</v>
      </c>
      <c r="N3" s="1" t="s">
        <v>30</v>
      </c>
    </row>
    <row r="4" spans="2:14" x14ac:dyDescent="0.25">
      <c r="C4" s="1" t="s">
        <v>19</v>
      </c>
      <c r="D4" s="1">
        <f>-MEP!I13</f>
        <v>-45823.14</v>
      </c>
      <c r="F4" s="1">
        <v>-45823</v>
      </c>
      <c r="G4" s="10" t="s">
        <v>19</v>
      </c>
      <c r="I4" s="1">
        <f>IF((F4&lt;0),0,F4)</f>
        <v>0</v>
      </c>
      <c r="J4" s="1">
        <f>IF((F4&gt;0),0,F4)</f>
        <v>-45823</v>
      </c>
    </row>
    <row r="5" spans="2:14" x14ac:dyDescent="0.25">
      <c r="C5" s="1" t="s">
        <v>20</v>
      </c>
      <c r="D5" s="1">
        <f>-ADN!I13</f>
        <v>-31931.079999999987</v>
      </c>
      <c r="F5" s="1">
        <v>-31931</v>
      </c>
      <c r="G5" s="10" t="s">
        <v>20</v>
      </c>
      <c r="I5" s="1">
        <f t="shared" ref="I5" si="2">IF((F5&lt;0),0,F5)</f>
        <v>0</v>
      </c>
      <c r="J5" s="1">
        <f t="shared" ref="J5" si="3">IF((F5&gt;0),0,F5)</f>
        <v>-31931</v>
      </c>
      <c r="N5" s="1">
        <v>31746</v>
      </c>
    </row>
    <row r="6" spans="2:14" x14ac:dyDescent="0.25">
      <c r="I6" s="1">
        <f t="shared" ref="I6" si="4">IF((F6&lt;0),F6,0)</f>
        <v>0</v>
      </c>
      <c r="J6" s="1">
        <f t="shared" ref="J6" si="5">IF((F6&gt;0),F6,0)</f>
        <v>0</v>
      </c>
    </row>
    <row r="7" spans="2:14" ht="15.75" thickBot="1" x14ac:dyDescent="0.3">
      <c r="D7" s="9">
        <f>SUM(D3:D6)</f>
        <v>-70485.468223000018</v>
      </c>
      <c r="I7" s="9">
        <f>SUM(I3:I6)</f>
        <v>7268</v>
      </c>
      <c r="J7" s="9">
        <f>SUM(J3:J6)</f>
        <v>-77754</v>
      </c>
    </row>
    <row r="8" spans="2:14" ht="15.75" thickTop="1" x14ac:dyDescent="0.25"/>
    <row r="9" spans="2:14" x14ac:dyDescent="0.25">
      <c r="F9" s="1">
        <v>6482</v>
      </c>
      <c r="G9" s="10" t="s">
        <v>18</v>
      </c>
    </row>
    <row r="10" spans="2:14" x14ac:dyDescent="0.25">
      <c r="F10" s="1">
        <v>-387</v>
      </c>
      <c r="G10" s="10" t="s">
        <v>18</v>
      </c>
    </row>
    <row r="11" spans="2:14" x14ac:dyDescent="0.25">
      <c r="F11" s="1">
        <v>4192</v>
      </c>
      <c r="G11" s="10" t="s">
        <v>18</v>
      </c>
    </row>
    <row r="12" spans="2:14" x14ac:dyDescent="0.25">
      <c r="F12" s="1">
        <v>17934</v>
      </c>
      <c r="G12" s="10" t="s">
        <v>18</v>
      </c>
    </row>
    <row r="13" spans="2:14" x14ac:dyDescent="0.25">
      <c r="F13" s="1">
        <v>-18376</v>
      </c>
      <c r="G13" s="10" t="s">
        <v>18</v>
      </c>
    </row>
    <row r="14" spans="2:14" x14ac:dyDescent="0.25">
      <c r="F14" s="1">
        <v>5664</v>
      </c>
      <c r="G14" s="10" t="s">
        <v>18</v>
      </c>
    </row>
    <row r="15" spans="2:14" x14ac:dyDescent="0.25">
      <c r="F15" s="1">
        <v>-13506</v>
      </c>
      <c r="G15" s="10" t="s">
        <v>18</v>
      </c>
    </row>
    <row r="16" spans="2:14" x14ac:dyDescent="0.25">
      <c r="F16" s="1">
        <v>5185</v>
      </c>
      <c r="G16" s="10" t="s">
        <v>18</v>
      </c>
    </row>
    <row r="17" spans="6:12" x14ac:dyDescent="0.25">
      <c r="F17" s="1">
        <v>80</v>
      </c>
      <c r="G17" s="10" t="s">
        <v>18</v>
      </c>
    </row>
    <row r="25" spans="6:12" ht="15.75" thickBot="1" x14ac:dyDescent="0.3">
      <c r="I25" s="16">
        <f>SUM(I7:I24)</f>
        <v>7268</v>
      </c>
      <c r="J25" s="16">
        <f>SUM(J7:J24)</f>
        <v>-77754</v>
      </c>
      <c r="L25" s="1">
        <f>I25+J25</f>
        <v>-70486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IMU</vt:lpstr>
      <vt:lpstr>MEP</vt:lpstr>
      <vt:lpstr>ADN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2022-02-11T09:54:24Z</dcterms:created>
  <dcterms:modified xsi:type="dcterms:W3CDTF">2022-02-16T14:06:39Z</dcterms:modified>
</cp:coreProperties>
</file>