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fleetwoodcorp-my.sharepoint.com/personal/andreww_fleetwood_com_au/Documents/PA/"/>
    </mc:Choice>
  </mc:AlternateContent>
  <xr:revisionPtr revIDLastSave="480" documentId="13_ncr:4000b_{12FE4D6C-F33E-41FC-A8B1-43FB97917FC4}" xr6:coauthVersionLast="47" xr6:coauthVersionMax="47" xr10:uidLastSave="{87346A01-A897-4478-9E41-01AAE5423154}"/>
  <bookViews>
    <workbookView xWindow="-120" yWindow="-120" windowWidth="29040" windowHeight="15720" activeTab="5" xr2:uid="{00000000-000D-0000-FFFF-FFFF00000000}"/>
  </bookViews>
  <sheets>
    <sheet name="Ledger" sheetId="1" r:id="rId1"/>
    <sheet name="Trial Balance" sheetId="2" r:id="rId2"/>
    <sheet name="P&amp;L" sheetId="3" r:id="rId3"/>
    <sheet name="Balance Sheet" sheetId="4" r:id="rId4"/>
    <sheet name="Investment Schedule" sheetId="5" r:id="rId5"/>
    <sheet name="Cover" sheetId="6" r:id="rId6"/>
    <sheet name="MQG Rpt portfolio FY22" sheetId="7" r:id="rId7"/>
  </sheets>
  <definedNames>
    <definedName name="_xlnm.Print_Area" localSheetId="4">'Investment Schedule'!$A$1:$AF$46</definedName>
    <definedName name="_xlnm.Print_Area" localSheetId="2">'P&amp;L'!$A$1:$F$28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4" l="1"/>
  <c r="F24" i="4"/>
  <c r="C13" i="3"/>
  <c r="C16" i="3" s="1"/>
  <c r="C21" i="3"/>
  <c r="G21" i="3" s="1"/>
  <c r="C3933" i="1"/>
  <c r="D3932" i="1"/>
  <c r="D43" i="5"/>
  <c r="G43" i="5"/>
  <c r="D2179" i="1"/>
  <c r="AF32" i="5"/>
  <c r="G32" i="5"/>
  <c r="F32" i="5"/>
  <c r="D26" i="5"/>
  <c r="C26" i="5"/>
  <c r="D21" i="5"/>
  <c r="C21" i="5"/>
  <c r="F21" i="5" s="1"/>
  <c r="G21" i="5" s="1"/>
  <c r="AF21" i="5" s="1"/>
  <c r="D6" i="5"/>
  <c r="C6" i="5"/>
  <c r="F6" i="5" s="1"/>
  <c r="C43" i="5"/>
  <c r="G42" i="5"/>
  <c r="D42" i="5"/>
  <c r="C42" i="5"/>
  <c r="F45" i="5"/>
  <c r="H45" i="5"/>
  <c r="G44" i="5"/>
  <c r="G41" i="5"/>
  <c r="G40" i="5"/>
  <c r="F29" i="5"/>
  <c r="G29" i="5" s="1"/>
  <c r="AF29" i="5" s="1"/>
  <c r="F30" i="5"/>
  <c r="G30" i="5" s="1"/>
  <c r="AF30" i="5" s="1"/>
  <c r="F31" i="5"/>
  <c r="G31" i="5" s="1"/>
  <c r="AF31" i="5" s="1"/>
  <c r="D2475" i="1"/>
  <c r="D2474" i="1"/>
  <c r="D2733" i="1"/>
  <c r="D2732" i="1"/>
  <c r="D2730" i="1"/>
  <c r="D2473" i="1"/>
  <c r="D2729" i="1"/>
  <c r="D2472" i="1"/>
  <c r="D2728" i="1"/>
  <c r="D2471" i="1"/>
  <c r="D2727" i="1"/>
  <c r="D2470" i="1"/>
  <c r="D2725" i="1"/>
  <c r="D2469" i="1"/>
  <c r="D2468" i="1"/>
  <c r="D2723" i="1"/>
  <c r="D4334" i="1"/>
  <c r="C4334" i="1"/>
  <c r="D3935" i="1"/>
  <c r="C3935" i="1"/>
  <c r="D13" i="3"/>
  <c r="C12" i="3"/>
  <c r="D3878" i="1"/>
  <c r="D3880" i="1" s="1"/>
  <c r="C2157" i="1"/>
  <c r="D18" i="5"/>
  <c r="H55" i="5"/>
  <c r="H56" i="5" s="1"/>
  <c r="F28" i="5"/>
  <c r="G28" i="5" s="1"/>
  <c r="AF28" i="5" s="1"/>
  <c r="D55" i="5"/>
  <c r="D56" i="5" s="1"/>
  <c r="C18" i="5"/>
  <c r="F18" i="5" s="1"/>
  <c r="G54" i="5"/>
  <c r="G53" i="5"/>
  <c r="F27" i="5"/>
  <c r="G27" i="5" s="1"/>
  <c r="AF27" i="5" s="1"/>
  <c r="F26" i="5"/>
  <c r="F25" i="5"/>
  <c r="G25" i="5" s="1"/>
  <c r="AF25" i="5" s="1"/>
  <c r="F24" i="5"/>
  <c r="G24" i="5" s="1"/>
  <c r="AF24" i="5" s="1"/>
  <c r="F23" i="5"/>
  <c r="G23" i="5" s="1"/>
  <c r="AF23" i="5" s="1"/>
  <c r="D2717" i="1"/>
  <c r="D2461" i="1"/>
  <c r="D2716" i="1"/>
  <c r="D2460" i="1"/>
  <c r="D2715" i="1"/>
  <c r="D2459" i="1"/>
  <c r="C3880" i="1"/>
  <c r="D2714" i="1"/>
  <c r="D2458" i="1"/>
  <c r="C4297" i="1"/>
  <c r="D4297" i="1"/>
  <c r="C3810" i="1"/>
  <c r="C3813" i="1" s="1"/>
  <c r="D2134" i="1"/>
  <c r="D13" i="5"/>
  <c r="C13" i="5"/>
  <c r="F13" i="5" s="1"/>
  <c r="F20" i="5"/>
  <c r="G20" i="5" s="1"/>
  <c r="AF20" i="5" s="1"/>
  <c r="D77" i="5"/>
  <c r="G77" i="5" s="1"/>
  <c r="C77" i="5"/>
  <c r="D73" i="5"/>
  <c r="G73" i="5" s="1"/>
  <c r="C73" i="5"/>
  <c r="H71" i="5"/>
  <c r="D71" i="5"/>
  <c r="G71" i="5" s="1"/>
  <c r="G76" i="5"/>
  <c r="G72" i="5"/>
  <c r="G74" i="5"/>
  <c r="H75" i="5"/>
  <c r="H70" i="5"/>
  <c r="H69" i="5"/>
  <c r="D75" i="5"/>
  <c r="G75" i="5" s="1"/>
  <c r="D70" i="5"/>
  <c r="G70" i="5" s="1"/>
  <c r="D69" i="5"/>
  <c r="G69" i="5" s="1"/>
  <c r="D66" i="5"/>
  <c r="G66" i="5" s="1"/>
  <c r="G68" i="5"/>
  <c r="H66" i="5"/>
  <c r="F82" i="5"/>
  <c r="G67" i="5"/>
  <c r="D2708" i="1"/>
  <c r="D2452" i="1"/>
  <c r="D2707" i="1"/>
  <c r="D2451" i="1"/>
  <c r="D2706" i="1"/>
  <c r="D2450" i="1"/>
  <c r="D2705" i="1"/>
  <c r="D2449" i="1"/>
  <c r="D4263" i="1"/>
  <c r="C4263" i="1"/>
  <c r="D3813" i="1"/>
  <c r="C1806" i="1"/>
  <c r="D1806" i="1"/>
  <c r="D1830" i="1"/>
  <c r="C1853" i="1"/>
  <c r="C1860" i="1"/>
  <c r="C1861" i="1"/>
  <c r="C1863" i="1"/>
  <c r="D2085" i="1"/>
  <c r="D95" i="5"/>
  <c r="G95" i="5" s="1"/>
  <c r="G94" i="5"/>
  <c r="D122" i="5"/>
  <c r="G122" i="5" s="1"/>
  <c r="F19" i="5"/>
  <c r="G19" i="5" s="1"/>
  <c r="AF19" i="5" s="1"/>
  <c r="F15" i="5"/>
  <c r="G15" i="5" s="1"/>
  <c r="AF15" i="5" s="1"/>
  <c r="C7" i="5"/>
  <c r="F7" i="5" s="1"/>
  <c r="D112" i="5"/>
  <c r="G112" i="5" s="1"/>
  <c r="C9" i="5"/>
  <c r="F9" i="5" s="1"/>
  <c r="D120" i="5"/>
  <c r="D9" i="5" s="1"/>
  <c r="C10" i="5"/>
  <c r="F10" i="5" s="1"/>
  <c r="D159" i="5"/>
  <c r="D163" i="5" s="1"/>
  <c r="D149" i="5"/>
  <c r="G149" i="5" s="1"/>
  <c r="D113" i="5"/>
  <c r="G113" i="5" s="1"/>
  <c r="D119" i="5"/>
  <c r="G119" i="5" s="1"/>
  <c r="F11" i="5"/>
  <c r="G11" i="5" s="1"/>
  <c r="AF11" i="5" s="1"/>
  <c r="F12" i="5"/>
  <c r="G12" i="5" s="1"/>
  <c r="AF12" i="5" s="1"/>
  <c r="D2700" i="1"/>
  <c r="D2699" i="1"/>
  <c r="D2444" i="1"/>
  <c r="D2443" i="1"/>
  <c r="D2698" i="1"/>
  <c r="D2442" i="1"/>
  <c r="D2697" i="1"/>
  <c r="D2441" i="1"/>
  <c r="H97" i="5"/>
  <c r="G92" i="5"/>
  <c r="G93" i="5"/>
  <c r="F97" i="5"/>
  <c r="H34" i="5"/>
  <c r="C4229" i="1"/>
  <c r="D4229" i="1"/>
  <c r="D3720" i="1"/>
  <c r="C3720" i="1"/>
  <c r="D2483" i="1"/>
  <c r="C2483" i="1"/>
  <c r="D2512" i="1"/>
  <c r="D2513" i="1"/>
  <c r="D2514" i="1"/>
  <c r="D2515" i="1"/>
  <c r="D2516" i="1"/>
  <c r="D2517" i="1"/>
  <c r="D2518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41" i="1"/>
  <c r="D2542" i="1"/>
  <c r="D2543" i="1"/>
  <c r="D2544" i="1"/>
  <c r="D2545" i="1"/>
  <c r="D2546" i="1"/>
  <c r="D2547" i="1"/>
  <c r="D2548" i="1"/>
  <c r="D2550" i="1"/>
  <c r="D2552" i="1"/>
  <c r="D2553" i="1"/>
  <c r="D2554" i="1"/>
  <c r="D2555" i="1"/>
  <c r="D2559" i="1"/>
  <c r="D2561" i="1"/>
  <c r="D2562" i="1"/>
  <c r="D2564" i="1"/>
  <c r="D2565" i="1"/>
  <c r="D2567" i="1"/>
  <c r="D2568" i="1"/>
  <c r="D2574" i="1"/>
  <c r="D2577" i="1"/>
  <c r="D2578" i="1"/>
  <c r="D2580" i="1"/>
  <c r="D2581" i="1"/>
  <c r="D2582" i="1"/>
  <c r="D2584" i="1"/>
  <c r="D2585" i="1"/>
  <c r="D2590" i="1"/>
  <c r="D2591" i="1"/>
  <c r="D2592" i="1"/>
  <c r="D2593" i="1"/>
  <c r="D2594" i="1"/>
  <c r="D2595" i="1"/>
  <c r="D2596" i="1"/>
  <c r="D2597" i="1"/>
  <c r="D2601" i="1"/>
  <c r="D2602" i="1"/>
  <c r="D2603" i="1"/>
  <c r="D2604" i="1"/>
  <c r="D2605" i="1"/>
  <c r="D2606" i="1"/>
  <c r="D2607" i="1"/>
  <c r="D2608" i="1"/>
  <c r="D2614" i="1"/>
  <c r="D2615" i="1"/>
  <c r="D2616" i="1"/>
  <c r="D2617" i="1"/>
  <c r="D2618" i="1"/>
  <c r="D2619" i="1"/>
  <c r="D2620" i="1"/>
  <c r="D2621" i="1"/>
  <c r="D2627" i="1"/>
  <c r="D2628" i="1"/>
  <c r="D2629" i="1"/>
  <c r="D2630" i="1"/>
  <c r="D2631" i="1"/>
  <c r="D2632" i="1"/>
  <c r="D2633" i="1"/>
  <c r="D2634" i="1"/>
  <c r="D2639" i="1"/>
  <c r="D2640" i="1"/>
  <c r="D2641" i="1"/>
  <c r="D2642" i="1"/>
  <c r="D2643" i="1"/>
  <c r="D2644" i="1"/>
  <c r="D2645" i="1"/>
  <c r="D2646" i="1"/>
  <c r="D2651" i="1"/>
  <c r="D2652" i="1"/>
  <c r="D2653" i="1"/>
  <c r="D2654" i="1"/>
  <c r="D2655" i="1"/>
  <c r="D2656" i="1"/>
  <c r="D2657" i="1"/>
  <c r="D2658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9" i="1"/>
  <c r="D2680" i="1"/>
  <c r="D2681" i="1"/>
  <c r="D2682" i="1"/>
  <c r="D2224" i="1"/>
  <c r="C2224" i="1"/>
  <c r="D2263" i="1"/>
  <c r="D2264" i="1"/>
  <c r="D2265" i="1"/>
  <c r="D2266" i="1"/>
  <c r="D2267" i="1"/>
  <c r="D2268" i="1"/>
  <c r="D2269" i="1"/>
  <c r="D2274" i="1"/>
  <c r="D2275" i="1"/>
  <c r="D2276" i="1"/>
  <c r="D2277" i="1"/>
  <c r="D2278" i="1"/>
  <c r="D2279" i="1"/>
  <c r="D2280" i="1"/>
  <c r="D2281" i="1"/>
  <c r="D2282" i="1"/>
  <c r="D2283" i="1"/>
  <c r="D2284" i="1"/>
  <c r="D2286" i="1"/>
  <c r="D2287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8" i="1"/>
  <c r="D2309" i="1"/>
  <c r="D2310" i="1"/>
  <c r="D2311" i="1"/>
  <c r="D2312" i="1"/>
  <c r="D2313" i="1"/>
  <c r="D2314" i="1"/>
  <c r="D2319" i="1"/>
  <c r="D2320" i="1"/>
  <c r="D2321" i="1"/>
  <c r="D2322" i="1"/>
  <c r="D2323" i="1"/>
  <c r="D2324" i="1"/>
  <c r="D2326" i="1"/>
  <c r="D2327" i="1"/>
  <c r="D2332" i="1"/>
  <c r="D2333" i="1"/>
  <c r="D2334" i="1"/>
  <c r="D2335" i="1"/>
  <c r="D2336" i="1"/>
  <c r="D2337" i="1"/>
  <c r="D2338" i="1"/>
  <c r="D2339" i="1"/>
  <c r="D2343" i="1"/>
  <c r="D2344" i="1"/>
  <c r="D2345" i="1"/>
  <c r="D2346" i="1"/>
  <c r="D2347" i="1"/>
  <c r="D2348" i="1"/>
  <c r="D2349" i="1"/>
  <c r="D2350" i="1"/>
  <c r="D2357" i="1"/>
  <c r="D2358" i="1"/>
  <c r="D2359" i="1"/>
  <c r="D2360" i="1"/>
  <c r="D2361" i="1"/>
  <c r="D2362" i="1"/>
  <c r="D2363" i="1"/>
  <c r="D2364" i="1"/>
  <c r="D2370" i="1"/>
  <c r="D2371" i="1"/>
  <c r="D2372" i="1"/>
  <c r="D2373" i="1"/>
  <c r="D2374" i="1"/>
  <c r="D2375" i="1"/>
  <c r="D2376" i="1"/>
  <c r="D2377" i="1"/>
  <c r="D2383" i="1"/>
  <c r="D2384" i="1"/>
  <c r="D2385" i="1"/>
  <c r="D2386" i="1"/>
  <c r="D2387" i="1"/>
  <c r="D2388" i="1"/>
  <c r="D2389" i="1"/>
  <c r="D2390" i="1"/>
  <c r="D2396" i="1"/>
  <c r="D2397" i="1"/>
  <c r="D2398" i="1"/>
  <c r="D2399" i="1"/>
  <c r="D2400" i="1"/>
  <c r="D2401" i="1"/>
  <c r="D2402" i="1"/>
  <c r="D2403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4" i="1"/>
  <c r="D2425" i="1"/>
  <c r="D2426" i="1"/>
  <c r="D2427" i="1"/>
  <c r="C1229" i="1"/>
  <c r="D1229" i="1"/>
  <c r="C15" i="1"/>
  <c r="D15" i="1"/>
  <c r="C54" i="1"/>
  <c r="C57" i="1"/>
  <c r="D56" i="1"/>
  <c r="D98" i="1"/>
  <c r="D138" i="1"/>
  <c r="D167" i="1"/>
  <c r="D195" i="1"/>
  <c r="C3614" i="1"/>
  <c r="C3615" i="1" s="1"/>
  <c r="H112" i="5"/>
  <c r="H113" i="5"/>
  <c r="H119" i="5"/>
  <c r="H120" i="5"/>
  <c r="H122" i="5"/>
  <c r="H114" i="5"/>
  <c r="H118" i="5"/>
  <c r="D124" i="5"/>
  <c r="G124" i="5" s="1"/>
  <c r="D118" i="5"/>
  <c r="G118" i="5" s="1"/>
  <c r="D116" i="5"/>
  <c r="G116" i="5" s="1"/>
  <c r="D114" i="5"/>
  <c r="G114" i="5" s="1"/>
  <c r="D111" i="5"/>
  <c r="G111" i="5" s="1"/>
  <c r="G109" i="5"/>
  <c r="G110" i="5"/>
  <c r="G115" i="5"/>
  <c r="G117" i="5"/>
  <c r="G121" i="5"/>
  <c r="G123" i="5"/>
  <c r="AB34" i="5"/>
  <c r="G108" i="5"/>
  <c r="F126" i="5"/>
  <c r="C4198" i="1"/>
  <c r="D4198" i="1"/>
  <c r="D3615" i="1"/>
  <c r="AA34" i="5"/>
  <c r="C4171" i="1"/>
  <c r="D4171" i="1"/>
  <c r="C3536" i="1"/>
  <c r="D3536" i="1"/>
  <c r="D3482" i="1"/>
  <c r="C3482" i="1"/>
  <c r="D138" i="5"/>
  <c r="D141" i="5" s="1"/>
  <c r="C4159" i="1"/>
  <c r="D4159" i="1"/>
  <c r="Z34" i="5"/>
  <c r="G137" i="5"/>
  <c r="H141" i="5"/>
  <c r="F141" i="5"/>
  <c r="H149" i="5"/>
  <c r="H152" i="5" s="1"/>
  <c r="F148" i="5"/>
  <c r="D148" i="5"/>
  <c r="C148" i="5"/>
  <c r="Y34" i="5"/>
  <c r="D3426" i="1"/>
  <c r="C3426" i="1"/>
  <c r="C1719" i="1"/>
  <c r="D1719" i="1"/>
  <c r="D4147" i="1"/>
  <c r="C4147" i="1"/>
  <c r="H159" i="5"/>
  <c r="H163" i="5" s="1"/>
  <c r="F159" i="5"/>
  <c r="F163" i="5" s="1"/>
  <c r="X34" i="5"/>
  <c r="G160" i="5"/>
  <c r="G161" i="5"/>
  <c r="C4137" i="1"/>
  <c r="D4137" i="1"/>
  <c r="D3364" i="1"/>
  <c r="C3364" i="1"/>
  <c r="D2745" i="1"/>
  <c r="C2745" i="1"/>
  <c r="D3298" i="1"/>
  <c r="C3298" i="1"/>
  <c r="G171" i="5"/>
  <c r="G170" i="5"/>
  <c r="H173" i="5"/>
  <c r="F173" i="5"/>
  <c r="D173" i="5"/>
  <c r="W34" i="5"/>
  <c r="D4127" i="1"/>
  <c r="C4127" i="1"/>
  <c r="V34" i="5"/>
  <c r="D4116" i="1"/>
  <c r="C4116" i="1"/>
  <c r="C3233" i="1"/>
  <c r="D3233" i="1"/>
  <c r="C3944" i="1"/>
  <c r="D3944" i="1"/>
  <c r="G180" i="5"/>
  <c r="G182" i="5" s="1"/>
  <c r="H182" i="5"/>
  <c r="F182" i="5"/>
  <c r="D182" i="5"/>
  <c r="T34" i="5"/>
  <c r="C4105" i="1"/>
  <c r="D4105" i="1"/>
  <c r="C3173" i="1"/>
  <c r="D3173" i="1"/>
  <c r="D4097" i="1"/>
  <c r="C4097" i="1"/>
  <c r="D3111" i="1"/>
  <c r="C3111" i="1"/>
  <c r="D4088" i="1"/>
  <c r="C4088" i="1"/>
  <c r="D3063" i="1"/>
  <c r="C3063" i="1"/>
  <c r="G189" i="5"/>
  <c r="D190" i="5"/>
  <c r="D192" i="5" s="1"/>
  <c r="H190" i="5"/>
  <c r="H192" i="5" s="1"/>
  <c r="C190" i="5"/>
  <c r="F192" i="5"/>
  <c r="D4074" i="1"/>
  <c r="C4074" i="1"/>
  <c r="D3016" i="1"/>
  <c r="C3016" i="1"/>
  <c r="F9" i="3"/>
  <c r="G20" i="3"/>
  <c r="F14" i="3"/>
  <c r="N200" i="5"/>
  <c r="K201" i="5"/>
  <c r="G201" i="5"/>
  <c r="G200" i="5"/>
  <c r="G199" i="5"/>
  <c r="H203" i="5"/>
  <c r="F203" i="5"/>
  <c r="D203" i="5"/>
  <c r="D4060" i="1"/>
  <c r="C4060" i="1"/>
  <c r="D2981" i="1"/>
  <c r="C2981" i="1"/>
  <c r="D25" i="3"/>
  <c r="E25" i="3"/>
  <c r="E14" i="3" s="1"/>
  <c r="G210" i="5"/>
  <c r="G214" i="5" s="1"/>
  <c r="H214" i="5"/>
  <c r="F214" i="5"/>
  <c r="D214" i="5"/>
  <c r="P34" i="5"/>
  <c r="O34" i="5"/>
  <c r="D4048" i="1"/>
  <c r="C4048" i="1"/>
  <c r="D2946" i="1"/>
  <c r="C2946" i="1"/>
  <c r="C4036" i="1"/>
  <c r="D4036" i="1"/>
  <c r="C2916" i="1"/>
  <c r="D2916" i="1"/>
  <c r="N34" i="5"/>
  <c r="C4022" i="1"/>
  <c r="D4022" i="1"/>
  <c r="C2895" i="1"/>
  <c r="D2895" i="1"/>
  <c r="D2872" i="1"/>
  <c r="M34" i="5"/>
  <c r="G223" i="5"/>
  <c r="G227" i="5" s="1"/>
  <c r="H227" i="5"/>
  <c r="F227" i="5"/>
  <c r="D227" i="5"/>
  <c r="D2870" i="1"/>
  <c r="D2869" i="1"/>
  <c r="C4014" i="1"/>
  <c r="D4014" i="1"/>
  <c r="C2873" i="1"/>
  <c r="L34" i="5"/>
  <c r="D2849" i="1"/>
  <c r="D2851" i="1" s="1"/>
  <c r="C4004" i="1"/>
  <c r="D4004" i="1"/>
  <c r="C2851" i="1"/>
  <c r="F12" i="4"/>
  <c r="F19" i="4" s="1"/>
  <c r="G234" i="5"/>
  <c r="H238" i="5"/>
  <c r="G235" i="5"/>
  <c r="G236" i="5"/>
  <c r="F238" i="5"/>
  <c r="D238" i="5"/>
  <c r="K34" i="5"/>
  <c r="G246" i="5"/>
  <c r="G247" i="5"/>
  <c r="H249" i="5"/>
  <c r="F249" i="5"/>
  <c r="D249" i="5"/>
  <c r="J34" i="5"/>
  <c r="D261" i="5"/>
  <c r="D264" i="5" s="1"/>
  <c r="F262" i="5"/>
  <c r="G262" i="5" s="1"/>
  <c r="F260" i="5"/>
  <c r="G260" i="5" s="1"/>
  <c r="G259" i="5"/>
  <c r="H264" i="5"/>
  <c r="I34" i="5"/>
  <c r="C2831" i="1"/>
  <c r="D2831" i="1"/>
  <c r="C3992" i="1"/>
  <c r="D3992" i="1"/>
  <c r="C2187" i="1"/>
  <c r="D2187" i="1"/>
  <c r="C2191" i="1"/>
  <c r="D3975" i="1"/>
  <c r="C3975" i="1"/>
  <c r="D2805" i="1"/>
  <c r="D2809" i="1" s="1"/>
  <c r="C2809" i="1"/>
  <c r="C3963" i="1"/>
  <c r="D3963" i="1"/>
  <c r="C2788" i="1"/>
  <c r="D2781" i="1"/>
  <c r="D2782" i="1"/>
  <c r="C2213" i="1"/>
  <c r="D2211" i="1"/>
  <c r="D2213" i="1" s="1"/>
  <c r="C2767" i="1"/>
  <c r="D2767" i="1"/>
  <c r="D2206" i="1"/>
  <c r="C2206" i="1"/>
  <c r="C9" i="3"/>
  <c r="Q34" i="5"/>
  <c r="R34" i="5"/>
  <c r="U34" i="5"/>
  <c r="S34" i="5"/>
  <c r="G12" i="3"/>
  <c r="D14" i="3"/>
  <c r="AC34" i="5"/>
  <c r="AD34" i="5"/>
  <c r="D6" i="3"/>
  <c r="E6" i="3"/>
  <c r="E9" i="3" s="1"/>
  <c r="F56" i="5"/>
  <c r="G52" i="5"/>
  <c r="AE34" i="5"/>
  <c r="F27" i="4" l="1"/>
  <c r="G14" i="3"/>
  <c r="F13" i="3"/>
  <c r="F16" i="3" s="1"/>
  <c r="F18" i="3" s="1"/>
  <c r="F23" i="3" s="1"/>
  <c r="C18" i="3"/>
  <c r="C23" i="3" s="1"/>
  <c r="G6" i="3"/>
  <c r="E13" i="3"/>
  <c r="E16" i="3" s="1"/>
  <c r="E18" i="3" s="1"/>
  <c r="E23" i="3" s="1"/>
  <c r="D16" i="3"/>
  <c r="D9" i="3"/>
  <c r="G9" i="3"/>
  <c r="G26" i="5"/>
  <c r="AF26" i="5" s="1"/>
  <c r="D45" i="5"/>
  <c r="G45" i="5"/>
  <c r="G159" i="5"/>
  <c r="G163" i="5" s="1"/>
  <c r="G164" i="5" s="1"/>
  <c r="D152" i="5"/>
  <c r="G261" i="5"/>
  <c r="G264" i="5" s="1"/>
  <c r="G265" i="5" s="1"/>
  <c r="G238" i="5"/>
  <c r="G239" i="5" s="1"/>
  <c r="G228" i="5"/>
  <c r="G148" i="5"/>
  <c r="G152" i="5" s="1"/>
  <c r="G153" i="5" s="1"/>
  <c r="H129" i="5"/>
  <c r="D97" i="5"/>
  <c r="H85" i="5"/>
  <c r="D7" i="5"/>
  <c r="G7" i="5" s="1"/>
  <c r="AF7" i="5" s="1"/>
  <c r="G18" i="5"/>
  <c r="AF18" i="5" s="1"/>
  <c r="G173" i="5"/>
  <c r="G174" i="5" s="1"/>
  <c r="G183" i="5"/>
  <c r="D10" i="5"/>
  <c r="G10" i="5" s="1"/>
  <c r="AF10" i="5" s="1"/>
  <c r="H82" i="5"/>
  <c r="G215" i="5"/>
  <c r="G203" i="5"/>
  <c r="G204" i="5" s="1"/>
  <c r="G13" i="5"/>
  <c r="AF13" i="5" s="1"/>
  <c r="H126" i="5"/>
  <c r="G249" i="5"/>
  <c r="G250" i="5" s="1"/>
  <c r="G82" i="5"/>
  <c r="F34" i="5"/>
  <c r="G6" i="5"/>
  <c r="G9" i="5"/>
  <c r="AF9" i="5" s="1"/>
  <c r="G97" i="5"/>
  <c r="G98" i="5" s="1"/>
  <c r="D126" i="5"/>
  <c r="F152" i="5"/>
  <c r="G138" i="5"/>
  <c r="G141" i="5" s="1"/>
  <c r="G142" i="5" s="1"/>
  <c r="H59" i="5"/>
  <c r="H60" i="5" s="1"/>
  <c r="G55" i="5"/>
  <c r="G190" i="5"/>
  <c r="G192" i="5" s="1"/>
  <c r="G193" i="5" s="1"/>
  <c r="F264" i="5"/>
  <c r="G120" i="5"/>
  <c r="G126" i="5" s="1"/>
  <c r="D82" i="5"/>
  <c r="C4335" i="1"/>
  <c r="C17" i="2" s="1"/>
  <c r="D4335" i="1"/>
  <c r="C3936" i="1"/>
  <c r="C16" i="2" s="1"/>
  <c r="D3936" i="1"/>
  <c r="D16" i="2" s="1"/>
  <c r="C4015" i="1"/>
  <c r="C2917" i="1"/>
  <c r="C4264" i="1"/>
  <c r="C3064" i="1"/>
  <c r="C3174" i="1"/>
  <c r="D3976" i="1"/>
  <c r="D2873" i="1"/>
  <c r="C2874" i="1" s="1"/>
  <c r="D4037" i="1"/>
  <c r="C3017" i="1"/>
  <c r="C3365" i="1"/>
  <c r="C4199" i="1"/>
  <c r="D2225" i="1"/>
  <c r="D2233" i="1" s="1"/>
  <c r="D4264" i="1"/>
  <c r="C4172" i="1"/>
  <c r="C4117" i="1"/>
  <c r="D3537" i="1"/>
  <c r="C4148" i="1"/>
  <c r="C4160" i="1"/>
  <c r="D4172" i="1"/>
  <c r="C4023" i="1"/>
  <c r="C4089" i="1"/>
  <c r="D2982" i="1"/>
  <c r="D3112" i="1"/>
  <c r="C4128" i="1"/>
  <c r="D2810" i="1"/>
  <c r="C4106" i="1"/>
  <c r="C3945" i="1"/>
  <c r="D1230" i="1"/>
  <c r="D1363" i="1" s="1"/>
  <c r="D3721" i="1"/>
  <c r="D1807" i="1"/>
  <c r="D1825" i="1" s="1"/>
  <c r="D4199" i="1"/>
  <c r="D2788" i="1"/>
  <c r="C2789" i="1" s="1"/>
  <c r="D4128" i="1"/>
  <c r="C4049" i="1"/>
  <c r="D3299" i="1"/>
  <c r="C3881" i="1"/>
  <c r="D3881" i="1"/>
  <c r="C3964" i="1"/>
  <c r="D2896" i="1"/>
  <c r="C4098" i="1"/>
  <c r="C3299" i="1"/>
  <c r="D4075" i="1"/>
  <c r="C4138" i="1"/>
  <c r="C2484" i="1"/>
  <c r="C2487" i="1" s="1"/>
  <c r="D4148" i="1"/>
  <c r="D4160" i="1"/>
  <c r="D3064" i="1"/>
  <c r="C3993" i="1"/>
  <c r="D4138" i="1"/>
  <c r="C3976" i="1"/>
  <c r="D4015" i="1"/>
  <c r="D4089" i="1"/>
  <c r="D4106" i="1"/>
  <c r="D3945" i="1"/>
  <c r="C3112" i="1"/>
  <c r="D3234" i="1"/>
  <c r="D3427" i="1"/>
  <c r="D3483" i="1"/>
  <c r="D3616" i="1"/>
  <c r="D4230" i="1"/>
  <c r="D3814" i="1"/>
  <c r="D3017" i="1"/>
  <c r="D4061" i="1"/>
  <c r="C3234" i="1"/>
  <c r="C4230" i="1"/>
  <c r="C2982" i="1"/>
  <c r="C2810" i="1"/>
  <c r="D3993" i="1"/>
  <c r="D4023" i="1"/>
  <c r="D4117" i="1"/>
  <c r="C3537" i="1"/>
  <c r="C2225" i="1"/>
  <c r="C2233" i="1" s="1"/>
  <c r="C2852" i="1"/>
  <c r="C3721" i="1"/>
  <c r="D3174" i="1"/>
  <c r="D2917" i="1"/>
  <c r="C4005" i="1"/>
  <c r="C1230" i="1"/>
  <c r="C1363" i="1" s="1"/>
  <c r="C4061" i="1"/>
  <c r="D4049" i="1"/>
  <c r="C3483" i="1"/>
  <c r="C3616" i="1"/>
  <c r="C3814" i="1"/>
  <c r="C3427" i="1"/>
  <c r="C2896" i="1"/>
  <c r="C4037" i="1"/>
  <c r="C1807" i="1"/>
  <c r="C1825" i="1" s="1"/>
  <c r="C2768" i="1"/>
  <c r="D2188" i="1"/>
  <c r="D2193" i="1" s="1"/>
  <c r="D2746" i="1"/>
  <c r="D2750" i="1" s="1"/>
  <c r="C2746" i="1"/>
  <c r="C2750" i="1" s="1"/>
  <c r="C1720" i="1"/>
  <c r="C1735" i="1" s="1"/>
  <c r="D1720" i="1"/>
  <c r="D1735" i="1" s="1"/>
  <c r="D2214" i="1"/>
  <c r="D2217" i="1" s="1"/>
  <c r="C2214" i="1"/>
  <c r="C2217" i="1" s="1"/>
  <c r="C2947" i="1"/>
  <c r="D2947" i="1"/>
  <c r="D4098" i="1"/>
  <c r="C4075" i="1"/>
  <c r="D4298" i="1"/>
  <c r="D17" i="2" s="1"/>
  <c r="C4298" i="1"/>
  <c r="C2832" i="1"/>
  <c r="D2832" i="1"/>
  <c r="D16" i="1"/>
  <c r="D66" i="1" s="1"/>
  <c r="C16" i="1"/>
  <c r="C66" i="1" s="1"/>
  <c r="C2207" i="1"/>
  <c r="C11" i="2" s="1"/>
  <c r="D2207" i="1"/>
  <c r="D2852" i="1"/>
  <c r="D2768" i="1"/>
  <c r="D3365" i="1"/>
  <c r="C2188" i="1"/>
  <c r="C2193" i="1" s="1"/>
  <c r="D4005" i="1"/>
  <c r="D3964" i="1"/>
  <c r="D2484" i="1"/>
  <c r="D2487" i="1" s="1"/>
  <c r="D18" i="3" l="1"/>
  <c r="D23" i="3" s="1"/>
  <c r="G23" i="3" s="1"/>
  <c r="G13" i="3"/>
  <c r="G16" i="3"/>
  <c r="G46" i="5"/>
  <c r="G56" i="5" s="1"/>
  <c r="G57" i="5" s="1"/>
  <c r="C2178" i="1"/>
  <c r="H86" i="5"/>
  <c r="G83" i="5"/>
  <c r="G127" i="5"/>
  <c r="D34" i="5"/>
  <c r="H130" i="5"/>
  <c r="AF6" i="5"/>
  <c r="AF34" i="5" s="1"/>
  <c r="G34" i="5"/>
  <c r="C2751" i="1"/>
  <c r="C2754" i="1" s="1"/>
  <c r="C2234" i="1"/>
  <c r="C2237" i="1" s="1"/>
  <c r="D2874" i="1"/>
  <c r="C1826" i="1"/>
  <c r="C1835" i="1" s="1"/>
  <c r="C1364" i="1"/>
  <c r="C1477" i="1" s="1"/>
  <c r="D1736" i="1"/>
  <c r="D1751" i="1" s="1"/>
  <c r="D2789" i="1"/>
  <c r="D2234" i="1"/>
  <c r="D2237" i="1" s="1"/>
  <c r="D1826" i="1"/>
  <c r="D1835" i="1" s="1"/>
  <c r="D1364" i="1"/>
  <c r="D1477" i="1" s="1"/>
  <c r="C2218" i="1"/>
  <c r="C67" i="1"/>
  <c r="C98" i="1" s="1"/>
  <c r="C99" i="1" s="1"/>
  <c r="C138" i="1" s="1"/>
  <c r="C139" i="1" s="1"/>
  <c r="C167" i="1" s="1"/>
  <c r="C168" i="1" s="1"/>
  <c r="C195" i="1" s="1"/>
  <c r="D2218" i="1"/>
  <c r="D12" i="2" s="1"/>
  <c r="C2194" i="1"/>
  <c r="C2197" i="1" s="1"/>
  <c r="D2194" i="1"/>
  <c r="D2197" i="1" s="1"/>
  <c r="C1736" i="1"/>
  <c r="C1751" i="1" s="1"/>
  <c r="D2488" i="1"/>
  <c r="D2491" i="1" s="1"/>
  <c r="C2488" i="1"/>
  <c r="C2491" i="1" s="1"/>
  <c r="D2751" i="1"/>
  <c r="D2754" i="1" s="1"/>
  <c r="G18" i="3" l="1"/>
  <c r="D2755" i="1"/>
  <c r="D2759" i="1" s="1"/>
  <c r="D2238" i="1"/>
  <c r="D2242" i="1" s="1"/>
  <c r="C1836" i="1"/>
  <c r="C1845" i="1" s="1"/>
  <c r="D1478" i="1"/>
  <c r="D1583" i="1" s="1"/>
  <c r="D1836" i="1"/>
  <c r="D1845" i="1" s="1"/>
  <c r="C1752" i="1"/>
  <c r="C1766" i="1" s="1"/>
  <c r="D2198" i="1"/>
  <c r="D2200" i="1" s="1"/>
  <c r="C2238" i="1"/>
  <c r="C2242" i="1" s="1"/>
  <c r="C2492" i="1"/>
  <c r="C2494" i="1" s="1"/>
  <c r="D1752" i="1"/>
  <c r="D1766" i="1" s="1"/>
  <c r="C1478" i="1"/>
  <c r="C1583" i="1" s="1"/>
  <c r="D2492" i="1"/>
  <c r="D2494" i="1" s="1"/>
  <c r="C2198" i="1"/>
  <c r="C2200" i="1" s="1"/>
  <c r="C2755" i="1"/>
  <c r="C2759" i="1" s="1"/>
  <c r="C196" i="1"/>
  <c r="C226" i="1" s="1"/>
  <c r="D196" i="1"/>
  <c r="D226" i="1" s="1"/>
  <c r="C2760" i="1" l="1"/>
  <c r="D1846" i="1"/>
  <c r="D1855" i="1" s="1"/>
  <c r="C2243" i="1"/>
  <c r="C2246" i="1" s="1"/>
  <c r="C1846" i="1"/>
  <c r="C1855" i="1" s="1"/>
  <c r="D1767" i="1"/>
  <c r="D1783" i="1" s="1"/>
  <c r="C1584" i="1"/>
  <c r="C2201" i="1"/>
  <c r="C10" i="2" s="1"/>
  <c r="D1584" i="1"/>
  <c r="D1699" i="1" s="1"/>
  <c r="D2243" i="1"/>
  <c r="D2246" i="1" s="1"/>
  <c r="D227" i="1"/>
  <c r="D259" i="1" s="1"/>
  <c r="C1767" i="1"/>
  <c r="C1783" i="1" s="1"/>
  <c r="D2495" i="1"/>
  <c r="D2497" i="1" s="1"/>
  <c r="C227" i="1"/>
  <c r="C259" i="1" s="1"/>
  <c r="C2495" i="1"/>
  <c r="C2497" i="1" s="1"/>
  <c r="D2760" i="1"/>
  <c r="D15" i="2" s="1"/>
  <c r="D2201" i="1"/>
  <c r="C1699" i="1" l="1"/>
  <c r="C1700" i="1" s="1"/>
  <c r="C7" i="2" s="1"/>
  <c r="D1856" i="1"/>
  <c r="D1865" i="1" s="1"/>
  <c r="D2247" i="1"/>
  <c r="D2250" i="1" s="1"/>
  <c r="C1784" i="1"/>
  <c r="C1792" i="1" s="1"/>
  <c r="C1856" i="1"/>
  <c r="C1865" i="1" s="1"/>
  <c r="C2247" i="1"/>
  <c r="C2250" i="1" s="1"/>
  <c r="C260" i="1"/>
  <c r="C305" i="1" s="1"/>
  <c r="D1784" i="1"/>
  <c r="D1792" i="1" s="1"/>
  <c r="C2498" i="1"/>
  <c r="C2500" i="1" s="1"/>
  <c r="D2498" i="1"/>
  <c r="D2500" i="1" s="1"/>
  <c r="D260" i="1"/>
  <c r="D305" i="1" s="1"/>
  <c r="D1700" i="1" l="1"/>
  <c r="D1793" i="1"/>
  <c r="D1796" i="1" s="1"/>
  <c r="D1866" i="1"/>
  <c r="D1875" i="1" s="1"/>
  <c r="C2251" i="1"/>
  <c r="C2254" i="1" s="1"/>
  <c r="C1866" i="1"/>
  <c r="C1875" i="1" s="1"/>
  <c r="C1793" i="1"/>
  <c r="C1796" i="1" s="1"/>
  <c r="D2251" i="1"/>
  <c r="D2254" i="1" s="1"/>
  <c r="D306" i="1"/>
  <c r="D361" i="1" s="1"/>
  <c r="D2501" i="1"/>
  <c r="D2506" i="1" s="1"/>
  <c r="C2501" i="1"/>
  <c r="C2506" i="1" s="1"/>
  <c r="C306" i="1"/>
  <c r="C361" i="1" s="1"/>
  <c r="C1797" i="1" l="1"/>
  <c r="C8" i="2" s="1"/>
  <c r="D1876" i="1"/>
  <c r="D1885" i="1" s="1"/>
  <c r="C1876" i="1"/>
  <c r="C1885" i="1" s="1"/>
  <c r="D2255" i="1"/>
  <c r="D2257" i="1" s="1"/>
  <c r="D1797" i="1"/>
  <c r="C362" i="1"/>
  <c r="C420" i="1" s="1"/>
  <c r="C2255" i="1"/>
  <c r="C2257" i="1" s="1"/>
  <c r="C2507" i="1"/>
  <c r="C2509" i="1" s="1"/>
  <c r="D362" i="1"/>
  <c r="D420" i="1" s="1"/>
  <c r="D2507" i="1"/>
  <c r="D2509" i="1" s="1"/>
  <c r="D1886" i="1" l="1"/>
  <c r="D1894" i="1" s="1"/>
  <c r="C1886" i="1"/>
  <c r="C1894" i="1" s="1"/>
  <c r="C2258" i="1"/>
  <c r="C2271" i="1" s="1"/>
  <c r="D421" i="1"/>
  <c r="D470" i="1" s="1"/>
  <c r="D2258" i="1"/>
  <c r="D2271" i="1" s="1"/>
  <c r="C421" i="1"/>
  <c r="C470" i="1" s="1"/>
  <c r="D2510" i="1"/>
  <c r="D2520" i="1" s="1"/>
  <c r="C2510" i="1"/>
  <c r="C2520" i="1" s="1"/>
  <c r="C1895" i="1" l="1"/>
  <c r="C1908" i="1" s="1"/>
  <c r="D1895" i="1"/>
  <c r="D1908" i="1" s="1"/>
  <c r="C2521" i="1"/>
  <c r="C2538" i="1" s="1"/>
  <c r="D2272" i="1"/>
  <c r="D2289" i="1" s="1"/>
  <c r="C471" i="1"/>
  <c r="C522" i="1" s="1"/>
  <c r="C2272" i="1"/>
  <c r="C2289" i="1" s="1"/>
  <c r="D2521" i="1"/>
  <c r="D2538" i="1" s="1"/>
  <c r="D471" i="1"/>
  <c r="D522" i="1" s="1"/>
  <c r="D1909" i="1" l="1"/>
  <c r="D1927" i="1" s="1"/>
  <c r="C1909" i="1"/>
  <c r="C1927" i="1" s="1"/>
  <c r="D2539" i="1"/>
  <c r="D2556" i="1" s="1"/>
  <c r="C2290" i="1"/>
  <c r="C2305" i="1" s="1"/>
  <c r="D523" i="1"/>
  <c r="D579" i="1" s="1"/>
  <c r="C2539" i="1"/>
  <c r="C2556" i="1" s="1"/>
  <c r="D2290" i="1"/>
  <c r="D2305" i="1" s="1"/>
  <c r="C523" i="1"/>
  <c r="C579" i="1" s="1"/>
  <c r="C1928" i="1" l="1"/>
  <c r="C1942" i="1" s="1"/>
  <c r="D1928" i="1"/>
  <c r="D1942" i="1" s="1"/>
  <c r="C2557" i="1"/>
  <c r="C2571" i="1" s="1"/>
  <c r="D2306" i="1"/>
  <c r="D2316" i="1" s="1"/>
  <c r="C580" i="1"/>
  <c r="C640" i="1" s="1"/>
  <c r="D580" i="1"/>
  <c r="D640" i="1" s="1"/>
  <c r="D2557" i="1"/>
  <c r="D2571" i="1" s="1"/>
  <c r="C2306" i="1"/>
  <c r="C2316" i="1" s="1"/>
  <c r="D1943" i="1" l="1"/>
  <c r="D1955" i="1" s="1"/>
  <c r="C1943" i="1"/>
  <c r="C1955" i="1" s="1"/>
  <c r="D2572" i="1"/>
  <c r="D2587" i="1" s="1"/>
  <c r="C2317" i="1"/>
  <c r="C2329" i="1" s="1"/>
  <c r="D641" i="1"/>
  <c r="D705" i="1" s="1"/>
  <c r="C2572" i="1"/>
  <c r="C2587" i="1" s="1"/>
  <c r="C641" i="1"/>
  <c r="C705" i="1" s="1"/>
  <c r="D2317" i="1"/>
  <c r="D2329" i="1" s="1"/>
  <c r="D1956" i="1" l="1"/>
  <c r="D1968" i="1" s="1"/>
  <c r="C1956" i="1"/>
  <c r="C1968" i="1" s="1"/>
  <c r="C706" i="1"/>
  <c r="C780" i="1" s="1"/>
  <c r="D2330" i="1"/>
  <c r="D2340" i="1" s="1"/>
  <c r="C2588" i="1"/>
  <c r="C2598" i="1" s="1"/>
  <c r="D2588" i="1"/>
  <c r="D2598" i="1" s="1"/>
  <c r="D706" i="1"/>
  <c r="D780" i="1" s="1"/>
  <c r="C2330" i="1"/>
  <c r="C2340" i="1" s="1"/>
  <c r="C1969" i="1" l="1"/>
  <c r="C1984" i="1" s="1"/>
  <c r="D1969" i="1"/>
  <c r="D1984" i="1" s="1"/>
  <c r="D781" i="1"/>
  <c r="D859" i="1" s="1"/>
  <c r="C2341" i="1"/>
  <c r="C2354" i="1" s="1"/>
  <c r="D2599" i="1"/>
  <c r="D2611" i="1" s="1"/>
  <c r="C2599" i="1"/>
  <c r="C2611" i="1" s="1"/>
  <c r="D2341" i="1"/>
  <c r="D2354" i="1" s="1"/>
  <c r="C781" i="1"/>
  <c r="C859" i="1" s="1"/>
  <c r="C1985" i="1" l="1"/>
  <c r="C1999" i="1" s="1"/>
  <c r="C860" i="1"/>
  <c r="C932" i="1" s="1"/>
  <c r="D1985" i="1"/>
  <c r="D1999" i="1" s="1"/>
  <c r="D2355" i="1"/>
  <c r="D2367" i="1" s="1"/>
  <c r="C2612" i="1"/>
  <c r="C2624" i="1" s="1"/>
  <c r="C2355" i="1"/>
  <c r="C2367" i="1" s="1"/>
  <c r="D2612" i="1"/>
  <c r="D2624" i="1" s="1"/>
  <c r="D860" i="1"/>
  <c r="D932" i="1" s="1"/>
  <c r="D2000" i="1" l="1"/>
  <c r="D2014" i="1" s="1"/>
  <c r="D933" i="1"/>
  <c r="D1003" i="1" s="1"/>
  <c r="C2000" i="1"/>
  <c r="C2014" i="1" s="1"/>
  <c r="C2368" i="1"/>
  <c r="C2380" i="1" s="1"/>
  <c r="D2625" i="1"/>
  <c r="D2636" i="1" s="1"/>
  <c r="D2368" i="1"/>
  <c r="D2380" i="1" s="1"/>
  <c r="C2625" i="1"/>
  <c r="C2636" i="1" s="1"/>
  <c r="C933" i="1"/>
  <c r="C1003" i="1" s="1"/>
  <c r="D2015" i="1" l="1"/>
  <c r="D2033" i="1" s="1"/>
  <c r="C1004" i="1"/>
  <c r="C1071" i="1" s="1"/>
  <c r="C2015" i="1"/>
  <c r="C2033" i="1" s="1"/>
  <c r="D2381" i="1"/>
  <c r="D2393" i="1" s="1"/>
  <c r="C2637" i="1"/>
  <c r="C2648" i="1" s="1"/>
  <c r="D2637" i="1"/>
  <c r="D2648" i="1" s="1"/>
  <c r="C2381" i="1"/>
  <c r="C2393" i="1" s="1"/>
  <c r="D1004" i="1"/>
  <c r="D1071" i="1" s="1"/>
  <c r="C2034" i="1" l="1"/>
  <c r="C2046" i="1" s="1"/>
  <c r="C2394" i="1"/>
  <c r="C2405" i="1" s="1"/>
  <c r="D1072" i="1"/>
  <c r="D1110" i="1" s="1"/>
  <c r="D2034" i="1"/>
  <c r="D2046" i="1" s="1"/>
  <c r="D2649" i="1"/>
  <c r="D2660" i="1" s="1"/>
  <c r="C2649" i="1"/>
  <c r="C2660" i="1" s="1"/>
  <c r="D2394" i="1"/>
  <c r="D2405" i="1" s="1"/>
  <c r="C1072" i="1"/>
  <c r="C1110" i="1" s="1"/>
  <c r="D2047" i="1" l="1"/>
  <c r="D2054" i="1" s="1"/>
  <c r="D2406" i="1"/>
  <c r="D2421" i="1" s="1"/>
  <c r="C1111" i="1"/>
  <c r="C1144" i="1" s="1"/>
  <c r="C2047" i="1"/>
  <c r="C2054" i="1" s="1"/>
  <c r="C2661" i="1"/>
  <c r="C2676" i="1" s="1"/>
  <c r="D2661" i="1"/>
  <c r="D2676" i="1" s="1"/>
  <c r="C2406" i="1"/>
  <c r="C2421" i="1" s="1"/>
  <c r="D1111" i="1"/>
  <c r="D1144" i="1" s="1"/>
  <c r="C2055" i="1" l="1"/>
  <c r="C2086" i="1" s="1"/>
  <c r="C2422" i="1"/>
  <c r="C2438" i="1" s="1"/>
  <c r="D1145" i="1"/>
  <c r="D1159" i="1" s="1"/>
  <c r="D2055" i="1"/>
  <c r="D2086" i="1" s="1"/>
  <c r="D2677" i="1"/>
  <c r="D2694" i="1" s="1"/>
  <c r="C2677" i="1"/>
  <c r="C2694" i="1" s="1"/>
  <c r="D2422" i="1"/>
  <c r="D2438" i="1" s="1"/>
  <c r="C1145" i="1"/>
  <c r="C1159" i="1" s="1"/>
  <c r="D2087" i="1" l="1"/>
  <c r="D2111" i="1" s="1"/>
  <c r="D2439" i="1"/>
  <c r="D2446" i="1" s="1"/>
  <c r="C1160" i="1"/>
  <c r="C6" i="2" s="1"/>
  <c r="C2087" i="1"/>
  <c r="C2111" i="1" s="1"/>
  <c r="C2695" i="1"/>
  <c r="C2702" i="1" s="1"/>
  <c r="D2695" i="1"/>
  <c r="D2702" i="1" s="1"/>
  <c r="D1160" i="1"/>
  <c r="C2439" i="1"/>
  <c r="C2446" i="1" s="1"/>
  <c r="C2112" i="1" l="1"/>
  <c r="C2137" i="1" s="1"/>
  <c r="C2447" i="1"/>
  <c r="C2455" i="1" s="1"/>
  <c r="D2112" i="1"/>
  <c r="D2137" i="1" s="1"/>
  <c r="D2703" i="1"/>
  <c r="D2711" i="1" s="1"/>
  <c r="C2703" i="1"/>
  <c r="C2711" i="1" s="1"/>
  <c r="D2447" i="1"/>
  <c r="D2455" i="1" s="1"/>
  <c r="C2138" i="1" l="1"/>
  <c r="C2159" i="1" s="1"/>
  <c r="D2456" i="1"/>
  <c r="D2465" i="1" s="1"/>
  <c r="D2138" i="1"/>
  <c r="D2159" i="1" s="1"/>
  <c r="C2712" i="1"/>
  <c r="C2719" i="1" s="1"/>
  <c r="D2712" i="1"/>
  <c r="D2719" i="1" s="1"/>
  <c r="C2456" i="1"/>
  <c r="C2465" i="1" s="1"/>
  <c r="D2160" i="1" l="1"/>
  <c r="D2181" i="1" s="1"/>
  <c r="C2466" i="1"/>
  <c r="C2477" i="1" s="1"/>
  <c r="C2160" i="1"/>
  <c r="C2181" i="1" s="1"/>
  <c r="D2720" i="1"/>
  <c r="D2735" i="1" s="1"/>
  <c r="C2720" i="1"/>
  <c r="C2735" i="1" s="1"/>
  <c r="D2466" i="1"/>
  <c r="D2736" i="1" l="1"/>
  <c r="D14" i="2" s="1"/>
  <c r="D2477" i="1"/>
  <c r="D2478" i="1" s="1"/>
  <c r="D13" i="2" s="1"/>
  <c r="D20" i="2" l="1"/>
  <c r="C2736" i="1"/>
  <c r="C2478" i="1"/>
  <c r="D2182" i="1"/>
  <c r="C2182" i="1"/>
  <c r="C9" i="2" l="1"/>
  <c r="C20" i="2" s="1"/>
  <c r="D21" i="2" s="1"/>
  <c r="C2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Wackett</author>
  </authors>
  <commentList>
    <comment ref="H55" authorId="0" shapeId="0" xr:uid="{00000000-0006-0000-0400-000001000000}">
      <text>
        <r>
          <rPr>
            <b/>
            <sz val="10"/>
            <color indexed="8"/>
            <rFont val="Tahoma"/>
            <family val="2"/>
          </rPr>
          <t>Andrew Wackett:</t>
        </r>
        <r>
          <rPr>
            <sz val="10"/>
            <color indexed="8"/>
            <rFont val="Tahoma"/>
            <family val="2"/>
          </rPr>
          <t xml:space="preserve">
</t>
        </r>
        <r>
          <rPr>
            <sz val="10"/>
            <color indexed="8"/>
            <rFont val="Tahoma"/>
            <family val="2"/>
          </rPr>
          <t>$7k is opening reval</t>
        </r>
      </text>
    </comment>
    <comment ref="D66" authorId="0" shapeId="0" xr:uid="{00000000-0006-0000-0400-000002000000}">
      <text>
        <r>
          <rPr>
            <b/>
            <sz val="9"/>
            <color indexed="8"/>
            <rFont val="Tahoma"/>
            <charset val="1"/>
          </rPr>
          <t>Andrew Wackett:</t>
        </r>
        <r>
          <rPr>
            <sz val="9"/>
            <color indexed="8"/>
            <rFont val="Tahoma"/>
            <charset val="1"/>
          </rPr>
          <t xml:space="preserve">
</t>
        </r>
        <r>
          <rPr>
            <sz val="9"/>
            <color indexed="8"/>
            <rFont val="Tahoma"/>
            <charset val="1"/>
          </rPr>
          <t xml:space="preserve">$16k is the opening cost
</t>
        </r>
      </text>
    </comment>
    <comment ref="H66" authorId="0" shapeId="0" xr:uid="{00000000-0006-0000-0400-000003000000}">
      <text>
        <r>
          <rPr>
            <b/>
            <sz val="9"/>
            <color indexed="8"/>
            <rFont val="Tahoma"/>
            <charset val="1"/>
          </rPr>
          <t>Andrew Wackett:</t>
        </r>
        <r>
          <rPr>
            <sz val="9"/>
            <color indexed="8"/>
            <rFont val="Tahoma"/>
            <charset val="1"/>
          </rPr>
          <t xml:space="preserve">
</t>
        </r>
        <r>
          <rPr>
            <sz val="9"/>
            <color indexed="8"/>
            <rFont val="Tahoma"/>
            <charset val="1"/>
          </rPr>
          <t>$17,835 is opening reval</t>
        </r>
      </text>
    </comment>
    <comment ref="D69" authorId="0" shapeId="0" xr:uid="{00000000-0006-0000-0400-000004000000}">
      <text>
        <r>
          <rPr>
            <b/>
            <sz val="9"/>
            <color indexed="8"/>
            <rFont val="Tahoma"/>
            <charset val="1"/>
          </rPr>
          <t>Andrew Wackett:</t>
        </r>
        <r>
          <rPr>
            <sz val="9"/>
            <color indexed="8"/>
            <rFont val="Tahoma"/>
            <charset val="1"/>
          </rPr>
          <t xml:space="preserve">
</t>
        </r>
        <r>
          <rPr>
            <sz val="9"/>
            <color indexed="8"/>
            <rFont val="Tahoma"/>
            <charset val="1"/>
          </rPr>
          <t>$70k is the opening cost</t>
        </r>
      </text>
    </comment>
    <comment ref="H69" authorId="0" shapeId="0" xr:uid="{00000000-0006-0000-0400-000005000000}">
      <text>
        <r>
          <rPr>
            <b/>
            <sz val="9"/>
            <color indexed="8"/>
            <rFont val="Tahoma"/>
            <charset val="1"/>
          </rPr>
          <t>Andrew Wackett:</t>
        </r>
        <r>
          <rPr>
            <sz val="9"/>
            <color indexed="8"/>
            <rFont val="Tahoma"/>
            <charset val="1"/>
          </rPr>
          <t xml:space="preserve">
</t>
        </r>
        <r>
          <rPr>
            <sz val="9"/>
            <color indexed="8"/>
            <rFont val="Tahoma"/>
            <charset val="1"/>
          </rPr>
          <t>$17k is opening reval</t>
        </r>
      </text>
    </comment>
    <comment ref="D70" authorId="0" shapeId="0" xr:uid="{00000000-0006-0000-0400-000006000000}">
      <text>
        <r>
          <rPr>
            <b/>
            <sz val="9"/>
            <color indexed="81"/>
            <rFont val="Tahoma"/>
            <charset val="1"/>
          </rPr>
          <t>Andrew Wackett:</t>
        </r>
        <r>
          <rPr>
            <sz val="9"/>
            <color indexed="81"/>
            <rFont val="Tahoma"/>
            <charset val="1"/>
          </rPr>
          <t xml:space="preserve">
$70k is the opening cost</t>
        </r>
      </text>
    </comment>
    <comment ref="H70" authorId="0" shapeId="0" xr:uid="{00000000-0006-0000-0400-000007000000}">
      <text>
        <r>
          <rPr>
            <b/>
            <sz val="9"/>
            <color indexed="8"/>
            <rFont val="Tahoma"/>
            <charset val="1"/>
          </rPr>
          <t>Andrew Wackett:</t>
        </r>
        <r>
          <rPr>
            <sz val="9"/>
            <color indexed="8"/>
            <rFont val="Tahoma"/>
            <charset val="1"/>
          </rPr>
          <t xml:space="preserve">
</t>
        </r>
        <r>
          <rPr>
            <sz val="9"/>
            <color indexed="8"/>
            <rFont val="Tahoma"/>
            <charset val="1"/>
          </rPr>
          <t>$17k is opening reval</t>
        </r>
      </text>
    </comment>
    <comment ref="D71" authorId="0" shapeId="0" xr:uid="{00000000-0006-0000-0400-000008000000}">
      <text>
        <r>
          <rPr>
            <b/>
            <sz val="9"/>
            <color indexed="81"/>
            <rFont val="Tahoma"/>
            <charset val="1"/>
          </rPr>
          <t>Andrew Wackett:</t>
        </r>
        <r>
          <rPr>
            <sz val="9"/>
            <color indexed="81"/>
            <rFont val="Tahoma"/>
            <charset val="1"/>
          </rPr>
          <t xml:space="preserve">
$68k is the opening cost</t>
        </r>
      </text>
    </comment>
    <comment ref="H71" authorId="0" shapeId="0" xr:uid="{00000000-0006-0000-0400-000009000000}">
      <text>
        <r>
          <rPr>
            <b/>
            <sz val="9"/>
            <color indexed="81"/>
            <rFont val="Tahoma"/>
            <charset val="1"/>
          </rPr>
          <t>Andrew Wackett:</t>
        </r>
        <r>
          <rPr>
            <sz val="9"/>
            <color indexed="81"/>
            <rFont val="Tahoma"/>
            <charset val="1"/>
          </rPr>
          <t xml:space="preserve">
$7k is the opening reval</t>
        </r>
      </text>
    </comment>
    <comment ref="D75" authorId="0" shapeId="0" xr:uid="{00000000-0006-0000-0400-00000A000000}">
      <text>
        <r>
          <rPr>
            <b/>
            <sz val="9"/>
            <color indexed="81"/>
            <rFont val="Tahoma"/>
            <charset val="1"/>
          </rPr>
          <t>Andrew Wackett:</t>
        </r>
        <r>
          <rPr>
            <sz val="9"/>
            <color indexed="81"/>
            <rFont val="Tahoma"/>
            <charset val="1"/>
          </rPr>
          <t xml:space="preserve">
$70k is the opening cost</t>
        </r>
      </text>
    </comment>
    <comment ref="H75" authorId="0" shapeId="0" xr:uid="{00000000-0006-0000-0400-00000B000000}">
      <text>
        <r>
          <rPr>
            <b/>
            <sz val="9"/>
            <color indexed="81"/>
            <rFont val="Tahoma"/>
            <charset val="1"/>
          </rPr>
          <t>Andrew Wackett:</t>
        </r>
        <r>
          <rPr>
            <sz val="9"/>
            <color indexed="81"/>
            <rFont val="Tahoma"/>
            <charset val="1"/>
          </rPr>
          <t xml:space="preserve">
$17k is opening reval</t>
        </r>
      </text>
    </comment>
    <comment ref="D112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Andrew Wackett:</t>
        </r>
        <r>
          <rPr>
            <sz val="9"/>
            <color indexed="81"/>
            <rFont val="Tahoma"/>
            <family val="2"/>
          </rPr>
          <t xml:space="preserve">
$40k is opening cost</t>
        </r>
      </text>
    </comment>
    <comment ref="H112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Andrew Wackett:</t>
        </r>
        <r>
          <rPr>
            <sz val="9"/>
            <color indexed="81"/>
            <rFont val="Tahoma"/>
            <family val="2"/>
          </rPr>
          <t xml:space="preserve">
$11.8k is opening reval</t>
        </r>
      </text>
    </comment>
    <comment ref="D113" authorId="0" shapeId="0" xr:uid="{00000000-0006-0000-0400-00000E000000}">
      <text>
        <r>
          <rPr>
            <b/>
            <sz val="9"/>
            <color indexed="81"/>
            <rFont val="Tahoma"/>
            <family val="2"/>
          </rPr>
          <t>Andrew Wackett:</t>
        </r>
        <r>
          <rPr>
            <sz val="9"/>
            <color indexed="81"/>
            <rFont val="Tahoma"/>
            <family val="2"/>
          </rPr>
          <t xml:space="preserve">
$4k is opening cost</t>
        </r>
      </text>
    </comment>
    <comment ref="H113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Andrew Wackett:</t>
        </r>
        <r>
          <rPr>
            <sz val="9"/>
            <color indexed="81"/>
            <rFont val="Tahoma"/>
            <family val="2"/>
          </rPr>
          <t xml:space="preserve">
$53k is opening reval</t>
        </r>
      </text>
    </comment>
    <comment ref="D118" authorId="0" shapeId="0" xr:uid="{00000000-0006-0000-0400-000010000000}">
      <text>
        <r>
          <rPr>
            <b/>
            <sz val="9"/>
            <color indexed="81"/>
            <rFont val="Tahoma"/>
            <family val="2"/>
          </rPr>
          <t>Andrew Wackett:</t>
        </r>
        <r>
          <rPr>
            <sz val="9"/>
            <color indexed="81"/>
            <rFont val="Tahoma"/>
            <family val="2"/>
          </rPr>
          <t xml:space="preserve">
MQA + MIG</t>
        </r>
      </text>
    </comment>
    <comment ref="H118" authorId="0" shapeId="0" xr:uid="{00000000-0006-0000-0400-000011000000}">
      <text>
        <r>
          <rPr>
            <b/>
            <sz val="9"/>
            <color indexed="81"/>
            <rFont val="Tahoma"/>
            <family val="2"/>
          </rPr>
          <t>Andrew Wackett:</t>
        </r>
        <r>
          <rPr>
            <sz val="9"/>
            <color indexed="81"/>
            <rFont val="Tahoma"/>
            <family val="2"/>
          </rPr>
          <t xml:space="preserve">
MQA + MIG</t>
        </r>
      </text>
    </comment>
    <comment ref="D119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Andrew Wackett:</t>
        </r>
        <r>
          <rPr>
            <sz val="9"/>
            <color indexed="81"/>
            <rFont val="Tahoma"/>
            <family val="2"/>
          </rPr>
          <t xml:space="preserve">
$15k is the opening cost</t>
        </r>
      </text>
    </comment>
    <comment ref="H119" authorId="0" shapeId="0" xr:uid="{00000000-0006-0000-0400-000013000000}">
      <text>
        <r>
          <rPr>
            <b/>
            <sz val="9"/>
            <color indexed="81"/>
            <rFont val="Tahoma"/>
            <family val="2"/>
          </rPr>
          <t>Andrew Wackett:</t>
        </r>
        <r>
          <rPr>
            <sz val="9"/>
            <color indexed="81"/>
            <rFont val="Tahoma"/>
            <family val="2"/>
          </rPr>
          <t xml:space="preserve">
$8k is the opening reval</t>
        </r>
      </text>
    </comment>
    <comment ref="D120" authorId="0" shapeId="0" xr:uid="{00000000-0006-0000-0400-000014000000}">
      <text>
        <r>
          <rPr>
            <b/>
            <sz val="9"/>
            <color indexed="81"/>
            <rFont val="Tahoma"/>
            <family val="2"/>
          </rPr>
          <t>Andrew Wackett:</t>
        </r>
        <r>
          <rPr>
            <sz val="9"/>
            <color indexed="81"/>
            <rFont val="Tahoma"/>
            <family val="2"/>
          </rPr>
          <t xml:space="preserve">
$30k is opening cost</t>
        </r>
      </text>
    </comment>
    <comment ref="H120" authorId="0" shapeId="0" xr:uid="{00000000-0006-0000-0400-000015000000}">
      <text>
        <r>
          <rPr>
            <b/>
            <sz val="9"/>
            <color indexed="81"/>
            <rFont val="Tahoma"/>
            <family val="2"/>
          </rPr>
          <t>Andrew Wackett:</t>
        </r>
        <r>
          <rPr>
            <sz val="9"/>
            <color indexed="81"/>
            <rFont val="Tahoma"/>
            <family val="2"/>
          </rPr>
          <t xml:space="preserve">
$13k is opening reval</t>
        </r>
      </text>
    </comment>
    <comment ref="D122" authorId="0" shapeId="0" xr:uid="{00000000-0006-0000-0400-000016000000}">
      <text>
        <r>
          <rPr>
            <b/>
            <sz val="9"/>
            <color indexed="81"/>
            <rFont val="Tahoma"/>
            <family val="2"/>
          </rPr>
          <t>Andrew Wackett:</t>
        </r>
        <r>
          <rPr>
            <sz val="9"/>
            <color indexed="81"/>
            <rFont val="Tahoma"/>
            <family val="2"/>
          </rPr>
          <t xml:space="preserve">
$17k is opening cost</t>
        </r>
      </text>
    </comment>
    <comment ref="H122" authorId="0" shapeId="0" xr:uid="{00000000-0006-0000-0400-000017000000}">
      <text>
        <r>
          <rPr>
            <b/>
            <sz val="9"/>
            <color indexed="81"/>
            <rFont val="Tahoma"/>
            <family val="2"/>
          </rPr>
          <t>Andrew Wackett:</t>
        </r>
        <r>
          <rPr>
            <sz val="9"/>
            <color indexed="81"/>
            <rFont val="Tahoma"/>
            <family val="2"/>
          </rPr>
          <t xml:space="preserve">
$18k is opening reval</t>
        </r>
      </text>
    </comment>
  </commentList>
</comments>
</file>

<file path=xl/sharedStrings.xml><?xml version="1.0" encoding="utf-8"?>
<sst xmlns="http://schemas.openxmlformats.org/spreadsheetml/2006/main" count="4712" uniqueCount="1232">
  <si>
    <t>The Wackett Family Superannuation Fund</t>
  </si>
  <si>
    <t>General Ledger</t>
  </si>
  <si>
    <t>Date</t>
  </si>
  <si>
    <t>Description</t>
  </si>
  <si>
    <t xml:space="preserve">Debit </t>
  </si>
  <si>
    <t xml:space="preserve">Credit </t>
  </si>
  <si>
    <t>WES money AW</t>
  </si>
  <si>
    <t>Purch BRS, BOA, AFW, TLS, NIX</t>
  </si>
  <si>
    <t>TAB applications 3,000 @ $2.05</t>
  </si>
  <si>
    <t>Interest</t>
  </si>
  <si>
    <t>FID</t>
  </si>
  <si>
    <t>Withholding tax</t>
  </si>
  <si>
    <t>Contributions $1,000 KW, $900 AW</t>
  </si>
  <si>
    <t>Purchase 500 WPL</t>
  </si>
  <si>
    <t>Totals</t>
  </si>
  <si>
    <t>Balance</t>
  </si>
  <si>
    <t>Repay Creditors</t>
  </si>
  <si>
    <t>Repaid Debtors</t>
  </si>
  <si>
    <t>Super conts employer + Rollover</t>
  </si>
  <si>
    <t>Bunnings Property trust + Wine Inv + Fees</t>
  </si>
  <si>
    <t>Boag Sale</t>
  </si>
  <si>
    <t>Bunnings Property Trust Refund</t>
  </si>
  <si>
    <t>Suncorp Metway + Telstra</t>
  </si>
  <si>
    <t>Porter Western Contribution</t>
  </si>
  <si>
    <t>Suncorp Metway refund</t>
  </si>
  <si>
    <t>Nautronix sale</t>
  </si>
  <si>
    <t>Austal Purchase</t>
  </si>
  <si>
    <t>Divs $370, Conts $1507.69, Debtors $600</t>
  </si>
  <si>
    <t>Prime Property Trust Purchase</t>
  </si>
  <si>
    <t>Seven Purchase</t>
  </si>
  <si>
    <t>Part TAB and SMPG Sale</t>
  </si>
  <si>
    <t>BWP Div $175, Conts $710.76, TAB &amp; SMPG</t>
  </si>
  <si>
    <t>Withholding Tax</t>
  </si>
  <si>
    <t>Life Ins K $547.43, A $648.04</t>
  </si>
  <si>
    <t>Sale 2000 BRS</t>
  </si>
  <si>
    <t>Div: MBL,TLS,ASB, SEV, PRX, WPL</t>
  </si>
  <si>
    <t>Div: BRS,TAB,TLS,PRX,PRX,WPL</t>
  </si>
  <si>
    <t>Div: BWP, TAB, TAB</t>
  </si>
  <si>
    <t>Debt 600, TLSCB 4500, MBLHA 10000</t>
  </si>
  <si>
    <t>Div: PRX</t>
  </si>
  <si>
    <t>Div: MBLHA</t>
  </si>
  <si>
    <t xml:space="preserve">BWP sale $6939.50,Div:TLS,WPL,MBLHA </t>
  </si>
  <si>
    <t>AWB Share Purchase</t>
  </si>
  <si>
    <t>Ins 1210.98, Tax 1265.65, APRA 395</t>
  </si>
  <si>
    <t>PRX div</t>
  </si>
  <si>
    <t>MBLHB Share sale</t>
  </si>
  <si>
    <t>Dividends: WPL, PRX, MBLHB</t>
  </si>
  <si>
    <t>Purchase TLS installment and ALN</t>
  </si>
  <si>
    <t>ASB Dividend</t>
  </si>
  <si>
    <t>Rollover from MBL Super</t>
  </si>
  <si>
    <t>TLS Dividend</t>
  </si>
  <si>
    <t>PRX Dividend</t>
  </si>
  <si>
    <t>SEV Dividend</t>
  </si>
  <si>
    <t>AWB Dividend</t>
  </si>
  <si>
    <t>Stamp Duty</t>
  </si>
  <si>
    <t>Tax Payment</t>
  </si>
  <si>
    <t>Purchase FXJ, AGL, less PRX Sale</t>
  </si>
  <si>
    <t>Purchase MIG</t>
  </si>
  <si>
    <t>Tax Refund</t>
  </si>
  <si>
    <t>Dividend FXJ, WPL, ALN</t>
  </si>
  <si>
    <t>Debits Tax</t>
  </si>
  <si>
    <t>Dividend SEV</t>
  </si>
  <si>
    <t>Accounting Fees</t>
  </si>
  <si>
    <t>Tax</t>
  </si>
  <si>
    <t>Sale Wine Investment Fund</t>
  </si>
  <si>
    <t>Life Insurance</t>
  </si>
  <si>
    <t>ALN Dividend</t>
  </si>
  <si>
    <t>Investments</t>
  </si>
  <si>
    <t>TAB refund due</t>
  </si>
  <si>
    <t>Mark to market adjustment</t>
  </si>
  <si>
    <t>Bunnings Property Trust</t>
  </si>
  <si>
    <t>Wine Investment Trust</t>
  </si>
  <si>
    <t>Suncorp Metway</t>
  </si>
  <si>
    <t>Telstra - Final Installment</t>
  </si>
  <si>
    <t>Realised Profits</t>
  </si>
  <si>
    <t>Mark to Market</t>
  </si>
  <si>
    <t xml:space="preserve"> </t>
  </si>
  <si>
    <t>Purchase 1000 TLSCB</t>
  </si>
  <si>
    <t>Purchase 100 MBLHA</t>
  </si>
  <si>
    <t>BWP Sale</t>
  </si>
  <si>
    <t>AWB Purchase</t>
  </si>
  <si>
    <t>AGL Dividend Reinvestment</t>
  </si>
  <si>
    <t>Debtors</t>
  </si>
  <si>
    <t>Repay debtors</t>
  </si>
  <si>
    <t>Fees recovered twice</t>
  </si>
  <si>
    <t>Repay Debtors</t>
  </si>
  <si>
    <t>Write off debtor</t>
  </si>
  <si>
    <t>Establishment Costs</t>
  </si>
  <si>
    <t>Legal costs</t>
  </si>
  <si>
    <t>Creditors</t>
  </si>
  <si>
    <t>Life Ins. paid by AW (KW $584.40, AW $652.0)</t>
  </si>
  <si>
    <t>Establishment fees paid by AW</t>
  </si>
  <si>
    <t>Repaid from Bank</t>
  </si>
  <si>
    <t>Members Funds - Andrew Wackett</t>
  </si>
  <si>
    <t>Net Loss B/F from 1998</t>
  </si>
  <si>
    <t>Colonial Super - Rollover from Porter Western</t>
  </si>
  <si>
    <t>Net Profit B/F from 1999</t>
  </si>
  <si>
    <t>Net Profit B/F from 2000</t>
  </si>
  <si>
    <t>Members Funds - Kathryn Wackett</t>
  </si>
  <si>
    <t>Spouse Contribution</t>
  </si>
  <si>
    <t>Profit and Loss - Revenue</t>
  </si>
  <si>
    <t>Dividends</t>
  </si>
  <si>
    <t>Bunnings Dividend</t>
  </si>
  <si>
    <t>Divs: TLS,WPL,MBLHA,BWP</t>
  </si>
  <si>
    <t>Profit and Loss - Expenses</t>
  </si>
  <si>
    <t>APRA Fee</t>
  </si>
  <si>
    <t>Account</t>
  </si>
  <si>
    <t>Allocation</t>
  </si>
  <si>
    <t>Revenue</t>
  </si>
  <si>
    <t xml:space="preserve">Total </t>
  </si>
  <si>
    <t xml:space="preserve">Andrew </t>
  </si>
  <si>
    <t xml:space="preserve">Kathryn </t>
  </si>
  <si>
    <t>Total</t>
  </si>
  <si>
    <t>Total Revenue</t>
  </si>
  <si>
    <t>Expenses</t>
  </si>
  <si>
    <t>Other</t>
  </si>
  <si>
    <t>Total Expenses</t>
  </si>
  <si>
    <t>Net Profit</t>
  </si>
  <si>
    <t>Members Funds C/F</t>
  </si>
  <si>
    <t>Contributions Received</t>
  </si>
  <si>
    <t>Members Funds B/F</t>
  </si>
  <si>
    <t>Allocation Percentage</t>
  </si>
  <si>
    <t>(Based on Members funds C/F)</t>
  </si>
  <si>
    <t>Assets</t>
  </si>
  <si>
    <t>Total Assets</t>
  </si>
  <si>
    <t>Liabilities</t>
  </si>
  <si>
    <t>Net Assets</t>
  </si>
  <si>
    <t>Members Funds</t>
  </si>
  <si>
    <t>Andrew Wackett</t>
  </si>
  <si>
    <t>Kathryn Wackett</t>
  </si>
  <si>
    <t>Total Members Funds</t>
  </si>
  <si>
    <t>Profit/</t>
  </si>
  <si>
    <t>Increment</t>
  </si>
  <si>
    <t>Shares</t>
  </si>
  <si>
    <t>Holding</t>
  </si>
  <si>
    <t>Cost</t>
  </si>
  <si>
    <t>CMP</t>
  </si>
  <si>
    <t>Value</t>
  </si>
  <si>
    <t>(Loss)</t>
  </si>
  <si>
    <t>97/98</t>
  </si>
  <si>
    <t>98/99</t>
  </si>
  <si>
    <t>99/00</t>
  </si>
  <si>
    <t>00/01</t>
  </si>
  <si>
    <t>Woodside</t>
  </si>
  <si>
    <t>Austal</t>
  </si>
  <si>
    <t>Seven</t>
  </si>
  <si>
    <t>AWB Limited</t>
  </si>
  <si>
    <t>Alinta</t>
  </si>
  <si>
    <t>MIG</t>
  </si>
  <si>
    <t>Investments Sold during the year ended 30 June 2001</t>
  </si>
  <si>
    <t>Cum.</t>
  </si>
  <si>
    <t>Purch Date</t>
  </si>
  <si>
    <t>Proceeds</t>
  </si>
  <si>
    <t>Reval</t>
  </si>
  <si>
    <t>Macquarie Bank</t>
  </si>
  <si>
    <t>Prime Property Trust</t>
  </si>
  <si>
    <t>Investments Sold during the year ended 30 June 2000</t>
  </si>
  <si>
    <t>Bristile</t>
  </si>
  <si>
    <t>Investments Sold during the year ended 30 June 1999</t>
  </si>
  <si>
    <t>Boag</t>
  </si>
  <si>
    <t>Nautronix</t>
  </si>
  <si>
    <t>TAB</t>
  </si>
  <si>
    <t>As Trustee for:</t>
  </si>
  <si>
    <t>Annual Accounts</t>
  </si>
  <si>
    <t>Net Profit B/F from 2001</t>
  </si>
  <si>
    <t>ASB Rights</t>
  </si>
  <si>
    <t>MIG Rights</t>
  </si>
  <si>
    <t>Dividend WPL ALN</t>
  </si>
  <si>
    <t>Dividend FXJ</t>
  </si>
  <si>
    <t>ATO Refund SEV Div</t>
  </si>
  <si>
    <t>ATO Refund (1855.07) SEV Div</t>
  </si>
  <si>
    <t>SIS Levy</t>
  </si>
  <si>
    <t>Dividend WPL ALN FXJ</t>
  </si>
  <si>
    <t>PAYG Installment</t>
  </si>
  <si>
    <t>Dividend TLS</t>
  </si>
  <si>
    <t>MBL Super rollover</t>
  </si>
  <si>
    <t>DRP AGL</t>
  </si>
  <si>
    <t>DRP MIG</t>
  </si>
  <si>
    <t xml:space="preserve"> 01/02</t>
  </si>
  <si>
    <t>Mincor (Africwest)</t>
  </si>
  <si>
    <t>Dividend AWB</t>
  </si>
  <si>
    <t>Dividend TLS ASB FXJ</t>
  </si>
  <si>
    <t>ASIC Fees</t>
  </si>
  <si>
    <t>Sale MIG Shares</t>
  </si>
  <si>
    <t>Dividend ALN</t>
  </si>
  <si>
    <t>Dividend WPL</t>
  </si>
  <si>
    <t>Acctg Fees</t>
  </si>
  <si>
    <t>ATO Refund</t>
  </si>
  <si>
    <t>Life Insurance - KJ 775.12, AC 877.95</t>
  </si>
  <si>
    <t>Net Profit B/F from 2002</t>
  </si>
  <si>
    <t>Investments Sold during the year ended 30 June 2003</t>
  </si>
  <si>
    <t xml:space="preserve"> 02/03</t>
  </si>
  <si>
    <t>Net Profit B/F from 2003</t>
  </si>
  <si>
    <t>ALNPA Application</t>
  </si>
  <si>
    <t>KJW MBL super rollover</t>
  </si>
  <si>
    <t>KJW REST super rollover, ALN refund</t>
  </si>
  <si>
    <t>KJW APF super rollover</t>
  </si>
  <si>
    <t>KJW REST super rollover</t>
  </si>
  <si>
    <t>ALN refund</t>
  </si>
  <si>
    <t>Dividend WPL ALN MCR</t>
  </si>
  <si>
    <t>Dividend FXJ SEV</t>
  </si>
  <si>
    <t>Dividend ALN ALNPA WPL AGL</t>
  </si>
  <si>
    <t>ALN Rights Application</t>
  </si>
  <si>
    <t>Audit Fees</t>
  </si>
  <si>
    <t>Life Insurance - KJ 835.36, AC 949.89</t>
  </si>
  <si>
    <t>Tethyan Copper Company</t>
  </si>
  <si>
    <t xml:space="preserve"> 03/04</t>
  </si>
  <si>
    <t>Net Profit B/F from 2004</t>
  </si>
  <si>
    <t>Legal Fees</t>
  </si>
  <si>
    <t>WPL, AGL Dividend</t>
  </si>
  <si>
    <t>MCR, ALN, ALNPA Dividend</t>
  </si>
  <si>
    <t>FXJ Dividend</t>
  </si>
  <si>
    <t>WDC Investment Purchase</t>
  </si>
  <si>
    <t>NAB Investment Purchase</t>
  </si>
  <si>
    <t>WDC Dividend</t>
  </si>
  <si>
    <t>WPL, MCR, ALN, ALNPA, FXJ, AGL, SEV Dividends</t>
  </si>
  <si>
    <t>AGL Capital return</t>
  </si>
  <si>
    <t>Life Ins KJW $907.05, ACW $1019.07</t>
  </si>
  <si>
    <t>QFX Investment Purchase</t>
  </si>
  <si>
    <t>MIG DRP</t>
  </si>
  <si>
    <t xml:space="preserve"> 04/05</t>
  </si>
  <si>
    <t>Life ins refund - AC $73.26 KJ $139.18</t>
  </si>
  <si>
    <t>Div NAB</t>
  </si>
  <si>
    <t>Div AWB</t>
  </si>
  <si>
    <t>Life ins - AC $211.78 KJ $253.58</t>
  </si>
  <si>
    <t>Div WDC</t>
  </si>
  <si>
    <t>Sale QFX</t>
  </si>
  <si>
    <t>Purchase AIHCA</t>
  </si>
  <si>
    <t>Div AGL</t>
  </si>
  <si>
    <t>Div WPL</t>
  </si>
  <si>
    <t>MBL Super contribution</t>
  </si>
  <si>
    <t>DIV MCR ALN ALNPA</t>
  </si>
  <si>
    <t>Div FXJ</t>
  </si>
  <si>
    <t>Div TLS</t>
  </si>
  <si>
    <t>Div ASB</t>
  </si>
  <si>
    <t>Div SEV</t>
  </si>
  <si>
    <t xml:space="preserve">Rollover MBL Super </t>
  </si>
  <si>
    <t>ATO super surcharge</t>
  </si>
  <si>
    <t>SIS levy</t>
  </si>
  <si>
    <t>Div AIHCA</t>
  </si>
  <si>
    <t>Tax prep fees</t>
  </si>
  <si>
    <t>Div ALN ALNPA</t>
  </si>
  <si>
    <t>Tax refund</t>
  </si>
  <si>
    <t>Div SEV FXJ MCR</t>
  </si>
  <si>
    <t>Life ins AC $1383.68 KJ $1129.40</t>
  </si>
  <si>
    <t>Net Profit B/F from 2005</t>
  </si>
  <si>
    <t xml:space="preserve"> 05/06</t>
  </si>
  <si>
    <t>Investments Sold during the year ended 30 June 2006</t>
  </si>
  <si>
    <t>QFX</t>
  </si>
  <si>
    <t>Alinta Infa Hdgs</t>
  </si>
  <si>
    <t>Realised profits</t>
  </si>
  <si>
    <t>AC and KJ Wackett</t>
  </si>
  <si>
    <t>Net Profit B/F from 2006</t>
  </si>
  <si>
    <t>Dividend NAB</t>
  </si>
  <si>
    <t>TYC takeover</t>
  </si>
  <si>
    <t>Dividend WDC</t>
  </si>
  <si>
    <t>Sale MCR</t>
  </si>
  <si>
    <t>Dividend AGL</t>
  </si>
  <si>
    <t>Buy WES</t>
  </si>
  <si>
    <t>Buy SRG</t>
  </si>
  <si>
    <t>Dividend ALN 147.89, ALNPA 92.48</t>
  </si>
  <si>
    <t>Dividend FXJ 278.50, MCR 255.00, ASB 368.28</t>
  </si>
  <si>
    <t>TLS T3 application 3000</t>
  </si>
  <si>
    <t>Accounting fees</t>
  </si>
  <si>
    <t>AIHCA takeover</t>
  </si>
  <si>
    <t>GC Wackett Rollover AXA</t>
  </si>
  <si>
    <t>ATO refund</t>
  </si>
  <si>
    <t>Dividend SRG</t>
  </si>
  <si>
    <t>AMP rollover - MBL ACW</t>
  </si>
  <si>
    <t>ATO qtly installment</t>
  </si>
  <si>
    <t>ATO super surcharge 04/05</t>
  </si>
  <si>
    <t>Life Ins ACW 1517.78, KJW 1237.23</t>
  </si>
  <si>
    <t>Investments Sold during the year ended 30 June 2007</t>
  </si>
  <si>
    <t xml:space="preserve"> 06/07</t>
  </si>
  <si>
    <t>Wesfarmers</t>
  </si>
  <si>
    <t>Transurban Group</t>
  </si>
  <si>
    <t>2007 Notes:</t>
  </si>
  <si>
    <t>ALN - June 06</t>
  </si>
  <si>
    <t>REPS conv</t>
  </si>
  <si>
    <t>AGL deal</t>
  </si>
  <si>
    <t>SRG ex MIG</t>
  </si>
  <si>
    <t>Purch</t>
  </si>
  <si>
    <t>TCL t/o</t>
  </si>
  <si>
    <t>WES DRP</t>
  </si>
  <si>
    <t>Geoff Wackett</t>
  </si>
  <si>
    <t>Net Profit B/F from 2007</t>
  </si>
  <si>
    <t>GC Wackett super roll-over</t>
  </si>
  <si>
    <t>NAB Dividend</t>
  </si>
  <si>
    <t>Sell AWB</t>
  </si>
  <si>
    <t>Sell AAN</t>
  </si>
  <si>
    <t>Buy CBA</t>
  </si>
  <si>
    <t>Buy WBC</t>
  </si>
  <si>
    <t>Buy ANZ</t>
  </si>
  <si>
    <t>MBL super contribution</t>
  </si>
  <si>
    <t>AGL Dividend</t>
  </si>
  <si>
    <t>CBA Dividend</t>
  </si>
  <si>
    <t>Super surcharge levy 02/03</t>
  </si>
  <si>
    <t>WBC Dividend</t>
  </si>
  <si>
    <t>ANZ Dividend</t>
  </si>
  <si>
    <t>KJW employer super contribution</t>
  </si>
  <si>
    <t>WPL Dividend</t>
  </si>
  <si>
    <t>Tax $6, SIS levy $45</t>
  </si>
  <si>
    <t>T3 second installment</t>
  </si>
  <si>
    <t>WES issue 68shs x $29</t>
  </si>
  <si>
    <t>Life ins KJW $1,384.41, ACW 1,534.42</t>
  </si>
  <si>
    <t>Commonwealth Bank</t>
  </si>
  <si>
    <t>TCL DRP</t>
  </si>
  <si>
    <t>WPL DRP</t>
  </si>
  <si>
    <t xml:space="preserve"> 07/08</t>
  </si>
  <si>
    <t>Bank Account - NAB</t>
  </si>
  <si>
    <t>Bank - NAB</t>
  </si>
  <si>
    <t>Net Profit B/F from 2008</t>
  </si>
  <si>
    <t>Tsf from Macquarie a/c</t>
  </si>
  <si>
    <t>Interest NAB</t>
  </si>
  <si>
    <t>Witholding tax NAB</t>
  </si>
  <si>
    <t>MQG Super contribution</t>
  </si>
  <si>
    <t>ATO tax</t>
  </si>
  <si>
    <t>Cheque book fee</t>
  </si>
  <si>
    <t>5/1/019</t>
  </si>
  <si>
    <t>WES Investment 271sh @ $13.50</t>
  </si>
  <si>
    <t>MIG Dividend</t>
  </si>
  <si>
    <t>Tax agent fees</t>
  </si>
  <si>
    <t>FXJ Investment 1500sh @ $0.75</t>
  </si>
  <si>
    <t>WDC Investment 498sh @ $10.04</t>
  </si>
  <si>
    <t>KJW Life Ins</t>
  </si>
  <si>
    <t>ACW Life Ins</t>
  </si>
  <si>
    <t>Investments Sold during the year ended 30 June 2008</t>
  </si>
  <si>
    <t xml:space="preserve"> 08/09</t>
  </si>
  <si>
    <t>Net Profit B/F from 2009</t>
  </si>
  <si>
    <t>ATO Installment</t>
  </si>
  <si>
    <t>MQG Super Contribution</t>
  </si>
  <si>
    <t>Co-contribution ATO Kathryn</t>
  </si>
  <si>
    <t>KJW Super contribution</t>
  </si>
  <si>
    <t>Deed ammendments</t>
  </si>
  <si>
    <t>WPL Share Issue</t>
  </si>
  <si>
    <t>Transfer from NAB</t>
  </si>
  <si>
    <t>ACW Super contribution ex AMP</t>
  </si>
  <si>
    <t>Purchase 500 BHP</t>
  </si>
  <si>
    <t>Purchase 500 QBE</t>
  </si>
  <si>
    <t>Carter Woodgate tax fees</t>
  </si>
  <si>
    <t>Life ins KJ 1796.37 AC 2638</t>
  </si>
  <si>
    <t>Transfer to MQG</t>
  </si>
  <si>
    <t>BHP</t>
  </si>
  <si>
    <t xml:space="preserve"> 09/10</t>
  </si>
  <si>
    <t>Intoll</t>
  </si>
  <si>
    <t>Net Profit B/F from 2010</t>
  </si>
  <si>
    <t>Westpac dividend</t>
  </si>
  <si>
    <t>ANZ dividend</t>
  </si>
  <si>
    <t>NAB dividend</t>
  </si>
  <si>
    <t>Macquarie interest</t>
  </si>
  <si>
    <t>Contribution Macquarie</t>
  </si>
  <si>
    <t>Intoll dividend</t>
  </si>
  <si>
    <t>WDC dividend</t>
  </si>
  <si>
    <t>QBE dividend</t>
  </si>
  <si>
    <t>FXJ dividend</t>
  </si>
  <si>
    <t>TLS dividend</t>
  </si>
  <si>
    <t>BHP dividend</t>
  </si>
  <si>
    <t>AGL dividend</t>
  </si>
  <si>
    <t>CBA dividend</t>
  </si>
  <si>
    <t>ASB dividend</t>
  </si>
  <si>
    <t>ATO installment</t>
  </si>
  <si>
    <t>SVW dividend</t>
  </si>
  <si>
    <t>Intoll scheme payment</t>
  </si>
  <si>
    <t>WRT dividend</t>
  </si>
  <si>
    <t>Insurance KJ $1798.32 AC $2973.14</t>
  </si>
  <si>
    <t>NAB interest</t>
  </si>
  <si>
    <t xml:space="preserve"> 10/11</t>
  </si>
  <si>
    <t>Investments Sold during the year ended 30 June 2011</t>
  </si>
  <si>
    <t>ANZ DIVIDEND A051/00132427</t>
  </si>
  <si>
    <t>WESTPAC DIVIDEND 001127211386</t>
  </si>
  <si>
    <t>NAB INT DIVIDEND DV121/00310783</t>
  </si>
  <si>
    <t>CHEQUE WITHDRAWAL 000077</t>
  </si>
  <si>
    <t>MACQUARIE CMA INTEREST PAID</t>
  </si>
  <si>
    <t>SuperChoice P/L PC06C043-2151511</t>
  </si>
  <si>
    <t>SuperChoice P/L PC06C040-2174393</t>
  </si>
  <si>
    <t>WRT DISTRIBUTION AUG11/00835190</t>
  </si>
  <si>
    <t>WDC DIS REAUS/00834284</t>
  </si>
  <si>
    <t>TELSTRA DIVIDEND 001129555791</t>
  </si>
  <si>
    <t>QBE ITM DIV 001131186899</t>
  </si>
  <si>
    <t>FAIRFAX 001132000692</t>
  </si>
  <si>
    <t>BHP LTD DIV AF363/00959292</t>
  </si>
  <si>
    <t>AGK DIVIDEND 001132043097</t>
  </si>
  <si>
    <t>CHEQUE WITHDRAWAL 000078</t>
  </si>
  <si>
    <t>AUSTAL LIMITED 64700002049</t>
  </si>
  <si>
    <t>CBA DIVIDEND 001128900253</t>
  </si>
  <si>
    <t>SEVEN GROUP S00007598611</t>
  </si>
  <si>
    <t>SuperChoice P/L PC06C042-2229369</t>
  </si>
  <si>
    <t>SuperChoice P/L PC06C039-2247524</t>
  </si>
  <si>
    <t>CHEQUE WITHDRAWAL 000079</t>
  </si>
  <si>
    <t>ANZ DIVIDEND A052/00133657</t>
  </si>
  <si>
    <t>WESTPAC DIVIDEND 001132989995</t>
  </si>
  <si>
    <t>NAB FIN DIVIDEND DV122/00313920</t>
  </si>
  <si>
    <t>SuperChoice P/L PC06C040-2298536</t>
  </si>
  <si>
    <t>WRT DISTRIBUTION REC12/00833192</t>
  </si>
  <si>
    <t>WDC DIS REA12/00832589</t>
  </si>
  <si>
    <t>SuperChoice P/L PC06C038-2325316</t>
  </si>
  <si>
    <t>CHEQUE WITHDRAWAL 000080</t>
  </si>
  <si>
    <t>FXJ ITM DIV 001136995220</t>
  </si>
  <si>
    <t>BHP LTD DIVIDEND AI364/00957251</t>
  </si>
  <si>
    <t>TELSTRA DIVIDEND 001134698171</t>
  </si>
  <si>
    <t>QBE FNL DIV 001137262704</t>
  </si>
  <si>
    <t>CHEQUE WITHDRAWAL 000081</t>
  </si>
  <si>
    <t>AGK DIVIDEND 001137383717</t>
  </si>
  <si>
    <t>CBA DIVIDEND 001135900691</t>
  </si>
  <si>
    <t>QBE SPP REFUND 001138060550</t>
  </si>
  <si>
    <t>SuperChoice P/L PC06C039-2367669</t>
  </si>
  <si>
    <t>B 5000 MFG @ 2.050 MACQUARIE</t>
  </si>
  <si>
    <t>B 14000 AGF @ 0.69 MACQUARIE</t>
  </si>
  <si>
    <t>CHEQUE WITHDRAWAL 000083</t>
  </si>
  <si>
    <t>CHEQUE BOOK FEE</t>
  </si>
  <si>
    <t>CHEQUE WITHDRAWAL 000082</t>
  </si>
  <si>
    <t>SuperChoice P/L PC06C034-2399702</t>
  </si>
  <si>
    <t>CHEQUE WITHDRAWAL 000084</t>
  </si>
  <si>
    <t>Net Profit B/F from 2012</t>
  </si>
  <si>
    <t>CHEQUE WITHDRAWAL 000077 ATO</t>
  </si>
  <si>
    <t>CHEQUE WITHDRAWAL 000078 ATO</t>
  </si>
  <si>
    <t>CHEQUE WITHDRAWAL 000079 ATO</t>
  </si>
  <si>
    <t>CHEQUE WITHDRAWAL 000081 ATO</t>
  </si>
  <si>
    <t>CHEQUE WITHDRAWAL 000082 Tax Fees</t>
  </si>
  <si>
    <t>CHEQUE 000083 Ins Ac 3192.02, KJ 2225.06</t>
  </si>
  <si>
    <t>CHEQUE 000084 AGL 174 @ $11.60</t>
  </si>
  <si>
    <t xml:space="preserve"> 11/12</t>
  </si>
  <si>
    <t>Magellan</t>
  </si>
  <si>
    <t>AMP China Growth Fund</t>
  </si>
  <si>
    <t>ANZ DIVIDEND A053/00133420</t>
  </si>
  <si>
    <t>WESTPAC DIVIDEND 001138771649</t>
  </si>
  <si>
    <t>CHEQUE WITHDRAWAL 000085</t>
  </si>
  <si>
    <t>NAB INT DIVIDEND DV131/00426723</t>
  </si>
  <si>
    <t>SuperChoice P/L PC06C039-2466204</t>
  </si>
  <si>
    <t>SuperChoice P/L PC06C031-2495361</t>
  </si>
  <si>
    <t>CHEQUE WITHDRAWAL 000086</t>
  </si>
  <si>
    <t>WDC AUG12/00830520</t>
  </si>
  <si>
    <t>WRT DISTRIBUTION AUG12/00831008</t>
  </si>
  <si>
    <t>TELSTRA DIVIDEND 001140362028</t>
  </si>
  <si>
    <t>FXJ DIV 001143241534</t>
  </si>
  <si>
    <t>QBE ITM DIV 001142817459</t>
  </si>
  <si>
    <t>AGK DIVIDEND 001143167021</t>
  </si>
  <si>
    <t>BHP LTD DIVIDEND AF365/00953973</t>
  </si>
  <si>
    <t>CBA DIVIDEND 001142078922</t>
  </si>
  <si>
    <t>CHEQUE WITHDRAWAL 000087</t>
  </si>
  <si>
    <t>MAGELLAN FIN GRP S00007598611</t>
  </si>
  <si>
    <t>SuperChoice P/L PC06C035-2550096</t>
  </si>
  <si>
    <t>SuperChoice P/L PC06C033-2584089</t>
  </si>
  <si>
    <t>NAB FIN DIVIDEND DV132/00425652</t>
  </si>
  <si>
    <t>ANZ DIVIDEND A054/00132721</t>
  </si>
  <si>
    <t>WBC DIVIDEND 001144506459</t>
  </si>
  <si>
    <t>CHEQUE WITHDRAWAL 000088</t>
  </si>
  <si>
    <t>SuperChoice P/L PC06C035-2628059</t>
  </si>
  <si>
    <t>SuperChoice P/L PC06C033-2662576</t>
  </si>
  <si>
    <t>WDC DISTRIBUTION FEB13/00829284</t>
  </si>
  <si>
    <t>WRT DISTRIBUTION FEB13/00829739</t>
  </si>
  <si>
    <t>FXJ ITM DIV 001149551319</t>
  </si>
  <si>
    <t>TELSTRA DIVIDEND 001147270158</t>
  </si>
  <si>
    <t>QBE FNL DIV 001149789482</t>
  </si>
  <si>
    <t>BHP LTD DIVIDEND 366AI/00950536</t>
  </si>
  <si>
    <t>WOODSIDE FIN12/00631972</t>
  </si>
  <si>
    <t>AGK DIVIDEND 001149976854</t>
  </si>
  <si>
    <t>CBA DIVIDEND 001148529536</t>
  </si>
  <si>
    <t>MACQUARIE ATLAS APR13/00806865</t>
  </si>
  <si>
    <t>SuperChoice P/L PC06C035-2717107</t>
  </si>
  <si>
    <t>CHEQUE WITHDRAWAL 000089</t>
  </si>
  <si>
    <t>B 1700 BXB @ 8.690 MACQUARIE</t>
  </si>
  <si>
    <t>B 1400 LLC @ 10.64 MACQUARIE</t>
  </si>
  <si>
    <t>S 1645 MFF @ 1.145 MACQUARIE</t>
  </si>
  <si>
    <t>S 545 MFFO @ 0.270 MACQUARIE</t>
  </si>
  <si>
    <t>MAGELLAN FLAGSHP S00007598611</t>
  </si>
  <si>
    <t>CHEQUE WITHDRAWAL 000090</t>
  </si>
  <si>
    <t>SuperChoice P/L PC06C032-2753677</t>
  </si>
  <si>
    <t>WOODSIDE AU13S/00631541</t>
  </si>
  <si>
    <t>BPAY TO CARTER WOODGATE Reference number: 230219 Receipt number: MBL201306038108316 Description: Tax 2012 Wackett S</t>
  </si>
  <si>
    <t>Members Funds - Geoff and Sandra Wackett</t>
  </si>
  <si>
    <t>Net Profit B/F from 2011</t>
  </si>
  <si>
    <t>CHEQUE WITHDRAWAL 000085 ATO</t>
  </si>
  <si>
    <t>CHEQUE WITHDRAWAL 000086 ATO</t>
  </si>
  <si>
    <t>CHEQUE WITHDRAWAL 000087 ATO</t>
  </si>
  <si>
    <t>CHEQUE WITHDRAWAL 000088 ATO</t>
  </si>
  <si>
    <t>CHEQUE WITHDRAWAL 000089 ATO</t>
  </si>
  <si>
    <t>CHEQUE 000090 Ins AC 3648.12, KJ 2492.54</t>
  </si>
  <si>
    <t>Contribution GS &amp; SL Wackett</t>
  </si>
  <si>
    <t>AGF DRP</t>
  </si>
  <si>
    <t xml:space="preserve"> 12/13</t>
  </si>
  <si>
    <t>Investments Sold during the year ended 30 June 2013</t>
  </si>
  <si>
    <t>Magellan Flagship Fund</t>
  </si>
  <si>
    <t>MFF Options</t>
  </si>
  <si>
    <t>Geoff &amp; Sandra</t>
  </si>
  <si>
    <t>BPAY TO TAX OFFICE PAYMENTS Reference number: 161778671655260 Receipt number: MBL201307018279812 Description: ATO Pmt</t>
  </si>
  <si>
    <t>ANZ DIVIDEND A055/00132521</t>
  </si>
  <si>
    <t>WBC DIVIDEND 001151123921</t>
  </si>
  <si>
    <t>ATO CHEQUE DEPOSIT</t>
  </si>
  <si>
    <t>NAB INT DIVIDEND DV141/00424611</t>
  </si>
  <si>
    <t>SuperChoice P/L PC06C035-2829816</t>
  </si>
  <si>
    <t>SuperChoice P/L PC06C032-2859823</t>
  </si>
  <si>
    <t>WDC DISTRIBUTION AUG13/00827845</t>
  </si>
  <si>
    <t>WRT DISTRIBUTION AUG13/00828005</t>
  </si>
  <si>
    <t>FXJ DIV 001155976298</t>
  </si>
  <si>
    <t>TELSTRA DIVIDEND 001152876905</t>
  </si>
  <si>
    <t>QBE ITM DIV 001155748448</t>
  </si>
  <si>
    <t>BHP LTD DIVIDEND AF367/00347483</t>
  </si>
  <si>
    <t>WOODSIDE INT13/00631168</t>
  </si>
  <si>
    <t>LLC DIST OCT13/00817069</t>
  </si>
  <si>
    <t>AGK DIVIDEND 001156207707</t>
  </si>
  <si>
    <t>CBA DIVIDEND 001154993046</t>
  </si>
  <si>
    <t>MACQUARIE ATLAS OCT13/00806521</t>
  </si>
  <si>
    <t>BXB FNL DIV 001156598684</t>
  </si>
  <si>
    <t>SuperChoice P/L PC06C032-2919192</t>
  </si>
  <si>
    <t>SAME DAY DEPOSIT ANDREW WACKETT ATFT WAC</t>
  </si>
  <si>
    <t>B 20000 YBR @ 0.57 MACQUARIE</t>
  </si>
  <si>
    <t>B 7000 BPT @ 1.389 MACQUARIE</t>
  </si>
  <si>
    <t>S 1000 MFG @ 11.14 MACQUARIE</t>
  </si>
  <si>
    <t>SuperChoice P/L PC06C033-2954509</t>
  </si>
  <si>
    <t>WES CAP RETURN CRE1A/01029882</t>
  </si>
  <si>
    <t>ANZ DIVIDEND A056/00132133</t>
  </si>
  <si>
    <t>NAB FIN DIVIDEND DV142/00423712</t>
  </si>
  <si>
    <t>WBC DIVIDEND 001157247892</t>
  </si>
  <si>
    <t>SuperChoice P/L PC06C032-3046697</t>
  </si>
  <si>
    <t>SuperChoice P/L PC06C031-3097406</t>
  </si>
  <si>
    <t>WDC DISTRIBUTION FEB14/00827044</t>
  </si>
  <si>
    <t>WRT DISTRIBUTION FEB14/00827211</t>
  </si>
  <si>
    <t>FXJ DIV 001161451209</t>
  </si>
  <si>
    <t>LLC DIST REC14/00816594</t>
  </si>
  <si>
    <t>BPAY TO CARTER WOODGATE Reference number: 230219 Receipt number: MBL2014032410319793 Description: Tax 2013 Wackett</t>
  </si>
  <si>
    <t>S 340 REC @ 4.4300 MACQUARIE</t>
  </si>
  <si>
    <t>S 7000 BPT @ 1.625 MACQUARIE</t>
  </si>
  <si>
    <t>S 1000 MFG @ 13.37 MACQUARIE</t>
  </si>
  <si>
    <t>WOODSIDE FIN13/00530962</t>
  </si>
  <si>
    <t>BHP LIMITED DIV AI368/00944486</t>
  </si>
  <si>
    <t>TELSTRA DIVIDEND 001159944873</t>
  </si>
  <si>
    <t>BEACH ENERGY LTD MAR14/00802785</t>
  </si>
  <si>
    <t>QBE FNL DIV 001161874550</t>
  </si>
  <si>
    <t>CBA DIVIDEND 001159097426</t>
  </si>
  <si>
    <t>MACQUARIE ATLAS APR14/00806274</t>
  </si>
  <si>
    <t>AGK DIVIDEND 001161592367</t>
  </si>
  <si>
    <t>BPAY TO TAX OFFICE PAYMENTS Reference number: 44645465000141777 Receipt number: MBL2014040710419098 Description: ATO Pmt</t>
  </si>
  <si>
    <t>BXB ITM DIV 001162100645</t>
  </si>
  <si>
    <t>SuperChoice P/L PC06C031-3190921</t>
  </si>
  <si>
    <t>BPAY TO COMMINSURE/COLONIAL Reference number: 26014025428 Receipt number: MBL2014051910795602 Description: Comminsure Life AW</t>
  </si>
  <si>
    <t>BPAY TO COMMINSURE/COLONIAL Reference number: 26009656104 Receipt number: MBL2014051910795596 Description: Comminsure life</t>
  </si>
  <si>
    <t>SuperChoice P/L PC06C031-3245894</t>
  </si>
  <si>
    <t>TCL CAP PAYMENT CAPA4/00807614</t>
  </si>
  <si>
    <t>CHEQUE WITHDRAWAL 000091</t>
  </si>
  <si>
    <t>WRT CAP RETURN CAPAU/00825785</t>
  </si>
  <si>
    <t>ç</t>
  </si>
  <si>
    <t>Net Profit B/F from 2013</t>
  </si>
  <si>
    <t>Payout GC&amp;SL Tax</t>
  </si>
  <si>
    <t>Payout GC&amp;SL Cash</t>
  </si>
  <si>
    <t>GC&amp;SL Cont tax net of interest</t>
  </si>
  <si>
    <t>CHEQUE WITHDRAWAL 000091 Legal fees</t>
  </si>
  <si>
    <t>Beach Petroleum</t>
  </si>
  <si>
    <t>Recall</t>
  </si>
  <si>
    <t>Investments Sold during the year ended 30 June 2014</t>
  </si>
  <si>
    <t xml:space="preserve"> 13/14</t>
  </si>
  <si>
    <t>Net Profit B/F from 2014</t>
  </si>
  <si>
    <t>ANZ DIVIDEND A057/00131690</t>
  </si>
  <si>
    <t>WBC DIVIDEND 001162964490</t>
  </si>
  <si>
    <t>NAB INT DIVIDEND DV151/00422059</t>
  </si>
  <si>
    <t>SuperChoice P/L PC06C029-3352332</t>
  </si>
  <si>
    <t>SuperChoice P/L PC06C027-3400407</t>
  </si>
  <si>
    <t>WDC DISTRIBUTION AUG14/00825814</t>
  </si>
  <si>
    <t>WRT DISTRIBUTION DSA14/00825760</t>
  </si>
  <si>
    <t>FXJ DIV 001167026097</t>
  </si>
  <si>
    <t>LLC DIST AUS14/00816109</t>
  </si>
  <si>
    <t>BHP LIMITED DIV AF369/00940868</t>
  </si>
  <si>
    <t>QBE ITM DIV 001167164788</t>
  </si>
  <si>
    <t>WOODSIDE INT14/00531742</t>
  </si>
  <si>
    <t>TELSTRA DIVIDEND 001165844886</t>
  </si>
  <si>
    <t>AGK DIVIDEND 001167582762</t>
  </si>
  <si>
    <t>CBA DIVIDEND 001164902706</t>
  </si>
  <si>
    <t>QBEINTEREST 001168444699</t>
  </si>
  <si>
    <t>QBESPPREFUND 001168397087</t>
  </si>
  <si>
    <t>MACQUARIE ATLAS OCT14/00806010</t>
  </si>
  <si>
    <t>BXB FNL DIV 001168147490</t>
  </si>
  <si>
    <t>SuperChoice P/L PC06C027-3488021</t>
  </si>
  <si>
    <t>SuperChoice P/L PC06C025-3536055</t>
  </si>
  <si>
    <t>ANZ DIVIDEND A058/00131227</t>
  </si>
  <si>
    <t>WESFARMERS LTD CREA1/01022540</t>
  </si>
  <si>
    <t>NAB FIN DIVIDEND DV152/00417748</t>
  </si>
  <si>
    <t>WESTPAC DIVIDEND 001169069801</t>
  </si>
  <si>
    <t>B 18000 CAJ @ 0.83</t>
  </si>
  <si>
    <t>SuperChoice P/L PC06C027-3618742</t>
  </si>
  <si>
    <t>SuperChoice P/L PC06C025-3666277</t>
  </si>
  <si>
    <t>SCENTRE DIST DAU15/00842661</t>
  </si>
  <si>
    <t>WFD DISTRIBUTION AUD15/00824327</t>
  </si>
  <si>
    <t>FXJ ITM DIV 001173666841</t>
  </si>
  <si>
    <t>LLC DIST REC15/00815731</t>
  </si>
  <si>
    <t>S 1000 MFG @ 19.75</t>
  </si>
  <si>
    <t>S 14870 AGF @ 1.17</t>
  </si>
  <si>
    <t>AGL DIVIDEND 001173289118</t>
  </si>
  <si>
    <t>WOODSIDE FIN14/00532141</t>
  </si>
  <si>
    <t>TELSTRA DIVIDEND 001171833012</t>
  </si>
  <si>
    <t>MACQUARIE ATLAS MAR15/00805845</t>
  </si>
  <si>
    <t>BHP LIMITED DIV AI370/00939125</t>
  </si>
  <si>
    <t>CBA DIVIDEND 001170935330</t>
  </si>
  <si>
    <t>BXB ITM DIV 001174346491</t>
  </si>
  <si>
    <t>QBE PAYMENT FPD15/00814797</t>
  </si>
  <si>
    <t>SuperChoice P/L PC06C024-3751224</t>
  </si>
  <si>
    <t>CAPITOL DIVIDEND APR15/00800342</t>
  </si>
  <si>
    <t>SuperChoice P/L PC06C022-3803408</t>
  </si>
  <si>
    <t>ATO ATO007000005754309</t>
  </si>
  <si>
    <t>S 512 AGF @ 1.7525</t>
  </si>
  <si>
    <t>TAX OFFICE PAYMENT</t>
  </si>
  <si>
    <t>NAB Rights issue</t>
  </si>
  <si>
    <t>COMMINSURE/COLONIAL</t>
  </si>
  <si>
    <t>CARTER WOODGATE Tax 2014 Wackett S</t>
  </si>
  <si>
    <t>QBE share issue</t>
  </si>
  <si>
    <t>AGL RETAIL OFFER</t>
  </si>
  <si>
    <t>Investments Sold during the year ended 30 June 2015</t>
  </si>
  <si>
    <t xml:space="preserve"> 14/15</t>
  </si>
  <si>
    <t>Notes:</t>
  </si>
  <si>
    <t>Check MFG</t>
  </si>
  <si>
    <t>Investments Sold during the year ended 30 June 2016</t>
  </si>
  <si>
    <t xml:space="preserve"> 15/16</t>
  </si>
  <si>
    <t>Net Profit B/F from 2015</t>
  </si>
  <si>
    <t>ANZ DIVIDEND A059/00130735</t>
  </si>
  <si>
    <t>WESTPAC DIVIDEND 001175338254</t>
  </si>
  <si>
    <t>NAB INT DIVIDEND DV161/00415251</t>
  </si>
  <si>
    <t>BPAY TO TAX OFFICE PAYMENTS Reference number: 551001434749185521 Receipt number: MBL2015070625931312 Description: ATO Pmt</t>
  </si>
  <si>
    <t>SuperChoice P/L PC06C022-3918320</t>
  </si>
  <si>
    <t>SuperChoice P/L PC06C019-3965786</t>
  </si>
  <si>
    <t>BPAY TO CBA ENT OFFER Reference number: 3098100011718280 Receipt number: MBL2015083130560526 Description: CBA rights issue</t>
  </si>
  <si>
    <t>SCG DISTRIBUTION AUG15/00834008</t>
  </si>
  <si>
    <t>WFD DISTRIBUTION AUG15/00823540</t>
  </si>
  <si>
    <t>FXJ FNL DIV 001179530880</t>
  </si>
  <si>
    <t>LLC DIST 15REC/00815901</t>
  </si>
  <si>
    <t>WOODSIDE INT15/00531548</t>
  </si>
  <si>
    <t>AGL DIVIDEND 001179568060</t>
  </si>
  <si>
    <t>TLS FNL DIV 001178319929</t>
  </si>
  <si>
    <t>BHP LTD DIVIDEND AF371/00937408</t>
  </si>
  <si>
    <t>MACQUARIE ATLAS SEP15/00805664</t>
  </si>
  <si>
    <t>CBA DIVIDEND 001177570840</t>
  </si>
  <si>
    <t>QBE DIVIDEND FP15I/00814185</t>
  </si>
  <si>
    <t>BXB FNL DIV 001180501883</t>
  </si>
  <si>
    <t>SuperChoice P/L PC06C023-4060953</t>
  </si>
  <si>
    <t>CAPITOL DIVIDEND OCT15/00800409</t>
  </si>
  <si>
    <t>BPAY TO TAX OFFICE PAYMENTS Reference number: 161778671655260 Receipt number: MBL2015102635196734 Description: ATO Pmt</t>
  </si>
  <si>
    <t>BPAY TO WESTPAC OFFER Reference number: 3121100009125655 Receipt number: MBL2015110936494548 Description: Westpac Rights</t>
  </si>
  <si>
    <t>SuperChoice P/L PC06C019-4121417</t>
  </si>
  <si>
    <t>NAB FIN DIVIDEND DV162/00425950</t>
  </si>
  <si>
    <t>ANZ DIVIDEND A060/00132671</t>
  </si>
  <si>
    <t>WESTPAC DIVIDEND 001182343879</t>
  </si>
  <si>
    <t>BPAY TO TAX OFFICE PAYMENTS Reference number: 161778671655260 Receipt number: MBL2015122340383986 Description: ATO Pmt</t>
  </si>
  <si>
    <t>TCL PAYMENT PRM15/00007496</t>
  </si>
  <si>
    <t>PAPER STATEMENT FEE</t>
  </si>
  <si>
    <t>SuperChoice P/L PC06C019-4220010</t>
  </si>
  <si>
    <t>SuperChoice P/L PC06C019-4275001</t>
  </si>
  <si>
    <t>SCG DISTRIBUTION FEB16/00832743</t>
  </si>
  <si>
    <t>WFD DISTRIBUTION FEB16/00822963</t>
  </si>
  <si>
    <t>S 1000 SVW @ 5.890</t>
  </si>
  <si>
    <t>S 3348 ASB @ 1.385</t>
  </si>
  <si>
    <t>LLC DIST REC16/00816098</t>
  </si>
  <si>
    <t>AGL DIVIDEND 001185408669</t>
  </si>
  <si>
    <t>FXJ ITM DIV 001185690366</t>
  </si>
  <si>
    <t>CBA DIVIDEND 001184370256</t>
  </si>
  <si>
    <t>BHP LTD DIVIDEND AI372/00935648</t>
  </si>
  <si>
    <t>MACQUARIE ATLAS MAR16/00805526</t>
  </si>
  <si>
    <t>TLS ITM DIV 001185982179</t>
  </si>
  <si>
    <t>QBE DIVIDEND FPA16/00814029</t>
  </si>
  <si>
    <t>BXB ITM DIV 001187855620</t>
  </si>
  <si>
    <t>BPAY TO TAX OFFICE PAYMENTS Reference number: 161778671655260 Receipt number: MBL2016041850023180 Description: ATO Pmt</t>
  </si>
  <si>
    <t>SuperChoice P/L PC06C020-4370817</t>
  </si>
  <si>
    <t>ATO ATO005000006886752</t>
  </si>
  <si>
    <t>BPAY TO COMMINSURE/COLONIAL Reference number: 26014025428 Receipt number: MBL2016052353038984 Description: CommInsure</t>
  </si>
  <si>
    <t>BPAY TO COMMINSURE/COLONIAL Reference number: 26009656104 Receipt number: MBL2016052353038987 Description: CommInsure</t>
  </si>
  <si>
    <t>SuperChoice P/L PC06C020-4410931</t>
  </si>
  <si>
    <t>AUDIT LETTER FEE</t>
  </si>
  <si>
    <t>BPAY TO CARTER WOODGATE Reference number: 230219 Receipt number: MBL2016053053653495 Description: Tax 2012 Wackett S</t>
  </si>
  <si>
    <t>ANZ DIVIDEND A061/00132813</t>
  </si>
  <si>
    <t>BPAY TO TAX OFFICE PAYMENTS Reference number: 551001434749185711 Receipt number: MBL2016070456517417 Description: ATO Pmt</t>
  </si>
  <si>
    <t>WESTPAC DIVIDEND 001189261137</t>
  </si>
  <si>
    <t>NAB INT DIVIDEND DV171/00427498</t>
  </si>
  <si>
    <t>BPAY TO TAX OFFICE PAYMENTS Reference number: 161778671655260 Receipt number: MBL2016071157153385 Description: ATO Pmt</t>
  </si>
  <si>
    <t>SuperChoice P/L PC06C019-4507120</t>
  </si>
  <si>
    <t>SuperChoice P/L PC06C018-4541105</t>
  </si>
  <si>
    <t>SCG DISTRIBUTION AUG16/00831496</t>
  </si>
  <si>
    <t>WFD DISTRIBUTION AUG16/00822349</t>
  </si>
  <si>
    <t>FXJ FNL DIV 001191700125</t>
  </si>
  <si>
    <t>LLC DIST 16REC/00815940</t>
  </si>
  <si>
    <t>BHP LTD DIVIDEND AF373/00932496</t>
  </si>
  <si>
    <t>AGL DIVIDEND 001193105342</t>
  </si>
  <si>
    <t>TLS FNL DIV 001192058108</t>
  </si>
  <si>
    <t>SuperChoice P/L PC06C013-4578022</t>
  </si>
  <si>
    <t>QBE DIVIDEND 16FPA/00813821</t>
  </si>
  <si>
    <t>CBA FNL DIV 001191256489</t>
  </si>
  <si>
    <t>WOODSIDE INT16/00529784</t>
  </si>
  <si>
    <t>MACQUARIE ATLAS SEP16/00805420</t>
  </si>
  <si>
    <t>SOUTH32 LIMITED AF001/00916320</t>
  </si>
  <si>
    <t>BXB FNL DIV 001193996370</t>
  </si>
  <si>
    <t>BPAY TO TAX OFFICE PAYMENTS Reference number: 161778671655260 Receipt number: MBL2016101965785955 Description: ATO Pmt</t>
  </si>
  <si>
    <t>SuperChoice P/L PC06C017-4617812</t>
  </si>
  <si>
    <t>SuperChoice P/L PC06C018-4665029</t>
  </si>
  <si>
    <t>NAB FIN DIVIDEND DV172/00425459</t>
  </si>
  <si>
    <t>ANZ DIVIDEND A062/00131384</t>
  </si>
  <si>
    <t>SuperChoice P/L PC06C012-4693139</t>
  </si>
  <si>
    <t>BPAY TO TAX OFFICE PAYMENTS Reference number: 161778671655260 Receipt number: MBL2016122171226370 Description: ATO Pmt</t>
  </si>
  <si>
    <t>WBC DIVIDEND 001195689195</t>
  </si>
  <si>
    <t>SuperChoice P/L PC06C017-4732689</t>
  </si>
  <si>
    <t>SuperChoice P/L PC06C016-4777360</t>
  </si>
  <si>
    <t>WFD DISTRIBUTION FEB17/00821732</t>
  </si>
  <si>
    <t>SCG DISTRIBUTION 17FEB/00830431</t>
  </si>
  <si>
    <t>FXJ ITM DIV 001200943096</t>
  </si>
  <si>
    <t>SuperChoice P/L PC06C009-4805956</t>
  </si>
  <si>
    <t>LLC DIST REC17/00815705</t>
  </si>
  <si>
    <t>AGL DIVIDEND 001198880605</t>
  </si>
  <si>
    <t>BHP LTD DIVIDEND AI374/00929393</t>
  </si>
  <si>
    <t>WOODSIDE FIN16/00528937</t>
  </si>
  <si>
    <t>TLS ITM DIV 001199537257</t>
  </si>
  <si>
    <t>CBA ITM DIV 001198338301</t>
  </si>
  <si>
    <t>SOUTH32 DIVIDEND AI002/00920299</t>
  </si>
  <si>
    <t>MACQUARIE ATLAS APR17/00805406</t>
  </si>
  <si>
    <t>BPAY TO TAX OFFICE PAYMENTS Reference number: 161778671655260 Receipt number: MBL2017041080108316 Description: ATO Pmt</t>
  </si>
  <si>
    <t>BXB ITM DIV 001201184040</t>
  </si>
  <si>
    <t>QBE DIVIDEND FPA17/00813315</t>
  </si>
  <si>
    <t>SuperChoice P/L PC06C014-4839266</t>
  </si>
  <si>
    <t>BPAY TO CARTER WOODGATE Reference number: 230219 Receipt number: MBL2017052383810501 Description: Tax 2012 Wackett S</t>
  </si>
  <si>
    <t>BPAY TO COMMINSURE/COLONIAL Reference number: 26014025428 Receipt number: MBL2017052383810184 Description: CommInsure</t>
  </si>
  <si>
    <t>BPAY TO COMMINSURE/COLONIAL Reference number: 26009656104 Receipt number: MBL2017052383810188 Description: CommInsure</t>
  </si>
  <si>
    <t>SuperChoice P/L PC06C015-4872501</t>
  </si>
  <si>
    <t>INTEREST PAID</t>
  </si>
  <si>
    <t>ATO ATO001100007918223</t>
  </si>
  <si>
    <t>SuperChoice P/L PC06C007-4882345</t>
  </si>
  <si>
    <t>BPAY TO TAX OFFICE PAYMENTS Reference number: 551001434749185711 Receipt number: MBL2017061986301180 Description: ATO Pmt</t>
  </si>
  <si>
    <t>QUICKSUPER QUICKSPR1964344977</t>
  </si>
  <si>
    <t>Net Loss B/F from 2016</t>
  </si>
  <si>
    <t xml:space="preserve"> 16/17</t>
  </si>
  <si>
    <t>ANZ DIVIDEND A063/00129192</t>
  </si>
  <si>
    <t>WBC DIVIDEND 001202375735</t>
  </si>
  <si>
    <t>NAB INT DIVIDEND DV181/00424608</t>
  </si>
  <si>
    <t>SCG DISTRIBUTION AUG17/00829079</t>
  </si>
  <si>
    <t>WFD DISTRIBUTION AUG17/00820829</t>
  </si>
  <si>
    <t>BPAY TO BOARDROOM P/L #18</t>
  </si>
  <si>
    <t>FXJ FNL DIV 001204977339</t>
  </si>
  <si>
    <t>LLC DIST 17REC/00815334</t>
  </si>
  <si>
    <t>WOODSIDE INT17/00528016</t>
  </si>
  <si>
    <t>S 500 S32 @ 3.1600</t>
  </si>
  <si>
    <t>S 20000 YBR @ 0.14</t>
  </si>
  <si>
    <t>S 135 CYB @ 5.0000</t>
  </si>
  <si>
    <t>S 1458 AGL @ 23.51</t>
  </si>
  <si>
    <t>S 489 WES @ 41.100</t>
  </si>
  <si>
    <t>S 850 MFG @ 23.600</t>
  </si>
  <si>
    <t>S 5120 TLS @ 3.620</t>
  </si>
  <si>
    <t>S 1700 BXB @ 9.010</t>
  </si>
  <si>
    <t>S 4000 FXJ @ 0.960</t>
  </si>
  <si>
    <t>S 18000 CAJ @ 0.28</t>
  </si>
  <si>
    <t>S 1397 MQA @ 5.620</t>
  </si>
  <si>
    <t>S 677 LLC @ 17.800</t>
  </si>
  <si>
    <t>S 160 CBA @ 76.570</t>
  </si>
  <si>
    <t>S 3243 SCG @ 4.000</t>
  </si>
  <si>
    <t>S 1255 TCL @ 12.00</t>
  </si>
  <si>
    <t>S 500 ANZ @ 30.270</t>
  </si>
  <si>
    <t>AGL FNL DIV 001204896863</t>
  </si>
  <si>
    <t>BHP LTD DIVIDEND AF375/00926275</t>
  </si>
  <si>
    <t>TLS FNL DIV 001205391216</t>
  </si>
  <si>
    <t>QBE DIVIDEND 17FPA/00812867</t>
  </si>
  <si>
    <t>CBA FNL DIV 001204235599</t>
  </si>
  <si>
    <t>BXB FNL DIV 001208192864</t>
  </si>
  <si>
    <t>SOUTH32 DIVIDEND AF003/00917961</t>
  </si>
  <si>
    <t>QUICKSUPER QUICKSPR2041279158</t>
  </si>
  <si>
    <t>TRANSACT TFR TO 965538515 WACKETT FAMILY</t>
  </si>
  <si>
    <t>REBATE OF ADVISER COMMISSION</t>
  </si>
  <si>
    <t>QUICKSUPER QUICKSPR2098524626</t>
  </si>
  <si>
    <t>WOODSIDE 18RES/00100173</t>
  </si>
  <si>
    <t>QUICKSUPER QUICKSPR2159037095</t>
  </si>
  <si>
    <t>BPAY TO CARTER WOODGATE</t>
  </si>
  <si>
    <t>BPAY TO COMMINSURE/COLONIAL</t>
  </si>
  <si>
    <t>ATO ATO004000009247368</t>
  </si>
  <si>
    <t>QUICKSUPER QUICKSPR2200849192</t>
  </si>
  <si>
    <t>BPAY TO TAX OFFICE PAYMENTS</t>
  </si>
  <si>
    <t>Bank Account - Macquarie Cash Management Account</t>
  </si>
  <si>
    <t>Bank Account - Macquarie Vision Cash Account</t>
  </si>
  <si>
    <t>TRANSFER FROM CMH 119641330</t>
  </si>
  <si>
    <t>W3359203 HOW0052AU APPLICATION</t>
  </si>
  <si>
    <t>W3359200 NAB03MTHZ APPLICATION</t>
  </si>
  <si>
    <t>W3359204 ETL0018AU APPLICATION</t>
  </si>
  <si>
    <t>W3359202 MIA0001AU APPLICATION</t>
  </si>
  <si>
    <t>W3359201 MGE0001AU APPLICATION</t>
  </si>
  <si>
    <t>BUY 159 GOLD</t>
  </si>
  <si>
    <t>MPW PORTFOLIO MGMT FEE</t>
  </si>
  <si>
    <t>WRAP SOLUTIONS ADMIN FEE</t>
  </si>
  <si>
    <t>NAB FINAL DIV DV182/00721019</t>
  </si>
  <si>
    <t>WBC DIVIDEND 001209637821</t>
  </si>
  <si>
    <t>BUY 149 TCLF</t>
  </si>
  <si>
    <t>DIST - PIMCO GLOBAL BOND FUND W/S</t>
  </si>
  <si>
    <t>MAGELLAN GLOBALT S00105525184</t>
  </si>
  <si>
    <t>DIST - KAPSTREAM ABSOLUTE RETURN INCOME</t>
  </si>
  <si>
    <t>DIST - NAB TD 03MTH</t>
  </si>
  <si>
    <t>W3480417 NAB03MTHZ REDEMPTION</t>
  </si>
  <si>
    <t>W3483915 NAB06MTHZ APPLICATION</t>
  </si>
  <si>
    <t>TCL DIV/DIST AUI18/00881877</t>
  </si>
  <si>
    <t>MAGELLAN FIN GRP S00105525184</t>
  </si>
  <si>
    <t>WFD DISTRIBUTION FEB18/00877956</t>
  </si>
  <si>
    <t>BUY 71 WPLF</t>
  </si>
  <si>
    <t>LLC DIST 18REC/00848562</t>
  </si>
  <si>
    <t>WOODSIDE FIN17/00697969</t>
  </si>
  <si>
    <t>BHP LTD DIVIDEND AI376/01294000</t>
  </si>
  <si>
    <t>CBA ITM DIV 001211323375</t>
  </si>
  <si>
    <t>WESFARMERS LTD INT18/01167029</t>
  </si>
  <si>
    <t>DIST - PIMCO GLOBAL BOND FUND - W/S</t>
  </si>
  <si>
    <t>QBE DIVIDEND FPA18/00899225</t>
  </si>
  <si>
    <t>WESTFIELD CORP SOA02/00864082</t>
  </si>
  <si>
    <t>WESTFIELD CORP SSF2A/00810487</t>
  </si>
  <si>
    <t>Net Profit B/F from 2017</t>
  </si>
  <si>
    <t>Investments Sold during the year ended 30 June 2018</t>
  </si>
  <si>
    <t xml:space="preserve"> 17/18</t>
  </si>
  <si>
    <t>Pimco Global Bond Fund</t>
  </si>
  <si>
    <t>Kapstream Absolute Return Fund</t>
  </si>
  <si>
    <t>MFS Global Equity Trust</t>
  </si>
  <si>
    <t>Magellan Global Fund</t>
  </si>
  <si>
    <t>Magellan Global Trust</t>
  </si>
  <si>
    <t>Less revaluations on partly realised investments (WES,MFG,LLC,CBA,TCL)</t>
  </si>
  <si>
    <t>Offset to mark to market adj of $14,134.34</t>
  </si>
  <si>
    <t>Bank - Macquarie Cash</t>
  </si>
  <si>
    <t>Bank - Macquarie Vision</t>
  </si>
  <si>
    <t>Net Profit B/F from 2018</t>
  </si>
  <si>
    <t>Investments Sold during the year ended 30 June 2019</t>
  </si>
  <si>
    <t>QUICKSUPER QUICKSPR2286547356</t>
  </si>
  <si>
    <t>TRANSACT TFR TO 965538515 WACKETT FAMILY Receipt number: 33950408 BSB: 182512 A/C: 965538515</t>
  </si>
  <si>
    <t>TRANSACT TFR TO 965538515 WACKETT FAMILY Receipt number: 34375664 BSB: 182512 A/C: 965538515</t>
  </si>
  <si>
    <t>QUICKSUPER QUICKSPR2349491018</t>
  </si>
  <si>
    <t>TFR TO VISION CASH Receipt number: 34982392 BSB: 182512 A/C: 965538515</t>
  </si>
  <si>
    <t>BPAY TO CARTER WOODGATE Receipt number: MBL20190401145683511 CRN: 230219</t>
  </si>
  <si>
    <t>QUICKSUPER QUICKSPR2415395802</t>
  </si>
  <si>
    <t>TRANSACT TFR TO 965538515 WACKETT FAMILY Receipt number: 35824975 BSB: 182512 A/C: 965538515</t>
  </si>
  <si>
    <t>BPAY TO TAX OFFICE PAYMENTS Receipt number: MBL20190604151553338 CRN: 551001434749185711</t>
  </si>
  <si>
    <t>QUICKSUPER QUICKSPR2460378095</t>
  </si>
  <si>
    <t>WBC DIVIDEND 001216390685</t>
  </si>
  <si>
    <t>MPW PORTFOLIO MGMT FEE Receipt number: 0552524811</t>
  </si>
  <si>
    <t>WRAP SOLUTIONS ADMIN FEE Receipt number: 0552524807</t>
  </si>
  <si>
    <t>NAB INTERIM DIV DV191/00723468</t>
  </si>
  <si>
    <t>DIST - MAGELLAN GLOBAL FUND</t>
  </si>
  <si>
    <t>DIST - MFS GLOBAL EQUITY TRUST</t>
  </si>
  <si>
    <t>SELL 540 URW</t>
  </si>
  <si>
    <t>WESTFIELD CORP SSF1A/00863916</t>
  </si>
  <si>
    <t>DIST - NAB TD 06MTH</t>
  </si>
  <si>
    <t>W6129264 NAB06MTHZ REDEMPTION</t>
  </si>
  <si>
    <t>W6139319 NAB03MTHZ APPLICATION Receipt number: 0557071442</t>
  </si>
  <si>
    <t>MPW PORTFOLIO MGMT FEE Receipt number: 0558302964</t>
  </si>
  <si>
    <t>WRAP SOLUTIONS ADMIN FEE Receipt number: 0558302960</t>
  </si>
  <si>
    <t>TCL DIV/DIST AUF18/00900137</t>
  </si>
  <si>
    <t>MPW PORTFOLIO MGMT FEE Receipt number: 0563078918</t>
  </si>
  <si>
    <t>WRAP SOLUTIONS ADMIN FEE Receipt number: 0563078914</t>
  </si>
  <si>
    <t>BUY 348 TCLF Receipt number: 0564225433</t>
  </si>
  <si>
    <t>WOODSIDE INT18/00690799</t>
  </si>
  <si>
    <t>LLC DIST REC18/00846291</t>
  </si>
  <si>
    <t>BHP LTD DIVIDEND AF377/01260977</t>
  </si>
  <si>
    <t>WESFARMERS LTD FIN18/01148480</t>
  </si>
  <si>
    <t>CBA FNL DIV 001218432048</t>
  </si>
  <si>
    <t>QBE DIVIDEND 18FPA/00890732</t>
  </si>
  <si>
    <t>MPW PORTFOLIO MGMT FEE Receipt number: 0568882403</t>
  </si>
  <si>
    <t>WRAP SOLUTIONS ADMIN FEE Receipt number: 0568882399</t>
  </si>
  <si>
    <t>ADMIN FEE REBATE FOR HOW0052AU</t>
  </si>
  <si>
    <t>W6284145 NAB03MTHZ REDEMPTION</t>
  </si>
  <si>
    <t>W6288955 NAB03MTHZ APPLICATION Receipt number: 0573196873</t>
  </si>
  <si>
    <t>BUY 1200 NDQ Receipt number: 0573794621</t>
  </si>
  <si>
    <t>BUY 251 VAP Receipt number: 0573794529</t>
  </si>
  <si>
    <t>BUY 52 IVV Receipt number: 0573794501</t>
  </si>
  <si>
    <t>SELL 159 GOLD</t>
  </si>
  <si>
    <t>WRAP SOLUTIONS ADMIN FEE Receipt number: 0574282673</t>
  </si>
  <si>
    <t>MPW PORTFOLIO MGMT FEE Receipt number: 0574282677</t>
  </si>
  <si>
    <t>BUY 2950 PDL Receipt number: 0575673886</t>
  </si>
  <si>
    <t>MPW PORTFOLIO MGMT FEE Receipt number: 0578886253</t>
  </si>
  <si>
    <t>WRAP SOLUTIONS ADMIN FEE Receipt number: 0578886249</t>
  </si>
  <si>
    <t>NAB FINAL DIV DV192/00711360</t>
  </si>
  <si>
    <t>BUY 2900 ORG Receipt number: 0580298390</t>
  </si>
  <si>
    <t>PDL FNL DIV 001223751729</t>
  </si>
  <si>
    <t>WBC DIVIDEND 001223236621</t>
  </si>
  <si>
    <t>MPW PORTFOLIO MGMT FEE Receipt number: 0583667751</t>
  </si>
  <si>
    <t>WRAP SOLUTIONS ADMIN FEE Receipt number: 0583667747</t>
  </si>
  <si>
    <t>IVV PAYMENT JAN19/00823943</t>
  </si>
  <si>
    <t>NDQ DST DEC 001224032372</t>
  </si>
  <si>
    <t>VAP PAYMENT JAN19/00818668</t>
  </si>
  <si>
    <t>BHP GROUP DIV AS378/01270956</t>
  </si>
  <si>
    <t>W6422186 NAB03MTHZ REDEMPTION</t>
  </si>
  <si>
    <t>W6431518 MBL03MTHZ APPLICATION Receipt number: 0588566326</t>
  </si>
  <si>
    <t>MPW PORTFOLIO MGMT FEE Receipt number: 0589018014</t>
  </si>
  <si>
    <t>WRAP SOLUTIONS ADMIN FEE Receipt number: 0589018010</t>
  </si>
  <si>
    <t>TCL DIV/DIST AUI19/00886670</t>
  </si>
  <si>
    <t>TRF FROM CMA</t>
  </si>
  <si>
    <t>BUY 15000 MGGSPP Receipt number: 0591147984</t>
  </si>
  <si>
    <t>MPW PORTFOLIO MGMT FEE Receipt number: 0593299201</t>
  </si>
  <si>
    <t>WRAP SOLUTIONS ADMIN FEE Receipt number: 0593299197</t>
  </si>
  <si>
    <t>WOODSIDE FIN18/00688819</t>
  </si>
  <si>
    <t>LLC DIST INT19/00848155</t>
  </si>
  <si>
    <t>BHP GROUP DIV AI379/01240406</t>
  </si>
  <si>
    <t>CBA ITM DIV 001224766796</t>
  </si>
  <si>
    <t>Origin Energy S00105525184</t>
  </si>
  <si>
    <t>MPW PORTFOLIO MGMT FEE Receipt number: 0598858514</t>
  </si>
  <si>
    <t>WRAP SOLUTIONS ADMIN FEE Receipt number: 0598858510</t>
  </si>
  <si>
    <t>BUY 1250 WOR Receipt number: 0599383714</t>
  </si>
  <si>
    <t>SELL 1200 NDQ</t>
  </si>
  <si>
    <t>IVV PAYMENT APR19/00823524</t>
  </si>
  <si>
    <t>WESFARMERS LTD INT19/01142002</t>
  </si>
  <si>
    <t>VAP PAYMENT APR19/00818457</t>
  </si>
  <si>
    <t>QBE DIVIDEND 18AFP/00881037</t>
  </si>
  <si>
    <t>ADVISER FEE Receipt number: 0604399609</t>
  </si>
  <si>
    <t>ADMINISTRATION FEE Receipt number: 0604399605</t>
  </si>
  <si>
    <t>W6576234 MBL03MTHZ REDEMPTION</t>
  </si>
  <si>
    <t>DIST - MACQUARIE TD 03MTH</t>
  </si>
  <si>
    <t>W6583848 NAB06MTHZ APPLICATION Receipt number: 0605755332</t>
  </si>
  <si>
    <t>BPAY TO TAX OFFICE PAYMENTS Receipt number: MBL20190516149893877 CRN: 44645465000190277</t>
  </si>
  <si>
    <t>BUY 6500 DJW Receipt number: 0606311389</t>
  </si>
  <si>
    <t>BPAY TO COMMINSURE/COLONIAL Receipt number: MBL20190529151002822 CRN: 26014025428</t>
  </si>
  <si>
    <t>SELL 635 QBE</t>
  </si>
  <si>
    <t>TRANSACT TFR TO 119641314 KATHRYN JANE W Receipt number: 36031394 BSB: 186200 A/C: 000119641314 Payment description: Re-Pay life ins AW</t>
  </si>
  <si>
    <t>ADMINISTRATION FEE Receipt number: 0609274720</t>
  </si>
  <si>
    <t>ADVISER FEE Receipt number: 0609274724</t>
  </si>
  <si>
    <t>WBC DIVIDEND 001229552115</t>
  </si>
  <si>
    <t>PDL ITM DIV 001229850483</t>
  </si>
  <si>
    <t>Mark to market</t>
  </si>
  <si>
    <t xml:space="preserve"> 18/19</t>
  </si>
  <si>
    <t>Coles</t>
  </si>
  <si>
    <t>Djerriwarrh</t>
  </si>
  <si>
    <t>Origin Energy</t>
  </si>
  <si>
    <t>Pendal</t>
  </si>
  <si>
    <t>Vanguard Aus Prop Sec Index ETF</t>
  </si>
  <si>
    <t>Net Profit B/F from 2019</t>
  </si>
  <si>
    <t>DEPOSIT</t>
  </si>
  <si>
    <t>QUICKSUPER QUICKSPR2548099102</t>
  </si>
  <si>
    <t>QUICKSUPER QUICKSPR2621339552</t>
  </si>
  <si>
    <t>QUICKSUPER QUICKSPR2686238083</t>
  </si>
  <si>
    <t>QUICKSUPER QUICKSPR2720454269</t>
  </si>
  <si>
    <t>ADVISER FEE Receipt number: 0614748652</t>
  </si>
  <si>
    <t>ADMINISTRATION FEE Receipt number: 0614748648</t>
  </si>
  <si>
    <t>NAB INTERIM DIV DV201/00700026</t>
  </si>
  <si>
    <t>IVV PAYMENT JUL19/00823156</t>
  </si>
  <si>
    <t>BUY 2175 CGF Receipt number: 0617780530</t>
  </si>
  <si>
    <t>VAP PAYMENT JUL19/00818630</t>
  </si>
  <si>
    <t>SELL 1000 TCL</t>
  </si>
  <si>
    <t>SELL 52 IVV</t>
  </si>
  <si>
    <t>ADMINISTRATION FEE Receipt number: 0621376415</t>
  </si>
  <si>
    <t>ADVISER FEE Receipt number: 0621376419</t>
  </si>
  <si>
    <t>TCL DIV/DIST AUF19/00883485</t>
  </si>
  <si>
    <t>BUY 15000 TCLSPP Receipt number: 0624489346</t>
  </si>
  <si>
    <t>DJERRIWARRH DIV AUG19/00812861</t>
  </si>
  <si>
    <t>ADVISER FEE Receipt number: 0626236654</t>
  </si>
  <si>
    <t>ADMINISTRATION FEE Receipt number: 0626236650</t>
  </si>
  <si>
    <t>SELL 723 LLC</t>
  </si>
  <si>
    <t>W6799604 MGE0001AU REDEMPTION</t>
  </si>
  <si>
    <t>BUY 26650 MHHPN Receipt number: 0627650283</t>
  </si>
  <si>
    <t>BPAY TO TAL LIFE LTD Receipt number: MBL20190916160662894 CRN: 00180816960</t>
  </si>
  <si>
    <t>BPAY TO TAL LIFE LTD Receipt number: MBL20190916160662617 CRN: 00180816849</t>
  </si>
  <si>
    <t>LLC DIST 19REC/00848473</t>
  </si>
  <si>
    <t>WOODSIDE INT19/00655146</t>
  </si>
  <si>
    <t>BHP GROUP DIV AF380/01218880</t>
  </si>
  <si>
    <t>CHALLENGER LTD SEP19/00833240</t>
  </si>
  <si>
    <t>WOR DIVIDEND FIN19/00818496</t>
  </si>
  <si>
    <t>COLES GROUP LTD FIN19/01243247</t>
  </si>
  <si>
    <t>CBA FNL DIV 001231259216</t>
  </si>
  <si>
    <t>SELL 2175 CGF</t>
  </si>
  <si>
    <t>ADVISER FEE Receipt number: 0631978824</t>
  </si>
  <si>
    <t>ADMINISTRATION FEE Receipt number: 0631978820</t>
  </si>
  <si>
    <t>WESFARMERS LTD FIN19/01129644</t>
  </si>
  <si>
    <t>VAP PAYMENT OCT19/00819267</t>
  </si>
  <si>
    <t>ADVISER FEE Receipt number: 0638189755</t>
  </si>
  <si>
    <t>ADMINISTRATION FEE Receipt number: 0638189751</t>
  </si>
  <si>
    <t>SELL 540 NAB</t>
  </si>
  <si>
    <t>SELL 26650 MHH</t>
  </si>
  <si>
    <t>W6908140 MGE0001AU REDEMPTION</t>
  </si>
  <si>
    <t>W6916806 NAB06MTHZ REDEMPTION</t>
  </si>
  <si>
    <t>W6921396 NAB06MTHZ APPLICATION Receipt number: 0639693866</t>
  </si>
  <si>
    <t>BUY 30000 WBCSPP Receipt number: 0641518721</t>
  </si>
  <si>
    <t>ADVISER FEE Receipt number: 0642687127</t>
  </si>
  <si>
    <t>ADMINISTRATION FEE Receipt number: 0642687123</t>
  </si>
  <si>
    <t>PDL FNL DIV 001236362742</t>
  </si>
  <si>
    <t>WBC DIVIDEND 001235829570</t>
  </si>
  <si>
    <t>ADVISER FEE Receipt number: 0647945687</t>
  </si>
  <si>
    <t>ADMINISTRATION FEE Receipt number: 0647945683</t>
  </si>
  <si>
    <t>VAP PAYMENT JAN20/00819973</t>
  </si>
  <si>
    <t>ADVISER FEE Receipt number: 0653618790</t>
  </si>
  <si>
    <t>ADMINISTRATION FEE Receipt number: 0653618786</t>
  </si>
  <si>
    <t>TCL DIV/DIST AUI20/00883563</t>
  </si>
  <si>
    <t>DJERRIWARRH DIV FEB20/00812507</t>
  </si>
  <si>
    <t>ADVISER FEE Receipt number: 0658428714</t>
  </si>
  <si>
    <t>ADMINISTRATION FEE Receipt number: 0658428710</t>
  </si>
  <si>
    <t>WOODSIDE FIN19/00656204</t>
  </si>
  <si>
    <t>BHP GROUP DIV AI381/01209835</t>
  </si>
  <si>
    <t>WOR DIVIDEND INT20/00818306</t>
  </si>
  <si>
    <t>COLES GROUP LTD INT20/01203368</t>
  </si>
  <si>
    <t>WESFARMERS LTD INT20/01120291</t>
  </si>
  <si>
    <t>CBA ITM DIV 001237575513</t>
  </si>
  <si>
    <t>ADVISER FEE Receipt number: 0665908418</t>
  </si>
  <si>
    <t>ADMINISTRATION FEE Receipt number: 0665908414</t>
  </si>
  <si>
    <t>VAP PAYMENT APR20/00820037</t>
  </si>
  <si>
    <t>ADVISER FEE Receipt number: 0672114270</t>
  </si>
  <si>
    <t>ADMINISTRATION FEE Receipt number: 0672114266</t>
  </si>
  <si>
    <t>W7300293 NAB06MTHZ REDEMPTION</t>
  </si>
  <si>
    <t>W7306836 MBL03MTHZ APPLICATION Receipt number: 0674125816</t>
  </si>
  <si>
    <t>BUY 920 IOZ Receipt number: 0674352789</t>
  </si>
  <si>
    <t>BUY 465 WPL Receipt number: 0674351841</t>
  </si>
  <si>
    <t>SELL 1250 WOR</t>
  </si>
  <si>
    <t>SELL 1762 WBC</t>
  </si>
  <si>
    <t>ADVISER FEE Receipt number: 0677225199</t>
  </si>
  <si>
    <t>ADMINISTRATION FEE Receipt number: 0677225195</t>
  </si>
  <si>
    <t>BPAY TO CARTER WOODGATE Receipt number: MBL20200603184432958 CRN: 230219</t>
  </si>
  <si>
    <t>Investments Sold during the year ended 30 June 2020</t>
  </si>
  <si>
    <t>MGE0001AU REDEMPTION</t>
  </si>
  <si>
    <t>Contra'd into MFS Fully Hedged</t>
  </si>
  <si>
    <t>iShares ASX200 IOZ</t>
  </si>
  <si>
    <t>Mac Term Deposit</t>
  </si>
  <si>
    <t>MFS Fully Hedged</t>
  </si>
  <si>
    <t xml:space="preserve"> 19/20</t>
  </si>
  <si>
    <t>Less revaluations on partly realised investments (TCL,MGE,MFS)</t>
  </si>
  <si>
    <t>Offset to mark to market adj of -$43,604.41</t>
  </si>
  <si>
    <t>DEPOSIT - Life ins Refund AW</t>
  </si>
  <si>
    <t>DEPOSIT - Life ins Refund KW</t>
  </si>
  <si>
    <t xml:space="preserve"> 20/21</t>
  </si>
  <si>
    <t>Investments Sold during the year ended 30 June 2021</t>
  </si>
  <si>
    <t>BPAY TO TAL LIFE LTD</t>
  </si>
  <si>
    <t>QUICKSUPER QUICKSPR2803883763</t>
  </si>
  <si>
    <t>TRANSFER TO CMH 965538515</t>
  </si>
  <si>
    <t>ADVISER FEE Receipt number: 0682874390</t>
  </si>
  <si>
    <t>IOZ PAYMENT JUL20/00810297</t>
  </si>
  <si>
    <t>VAP PAYMENT JUL20/00820286</t>
  </si>
  <si>
    <t>ADVISER FEE Receipt number: 0690183432</t>
  </si>
  <si>
    <t>ADMINISTRATION FEE Receipt number: 0690183428</t>
  </si>
  <si>
    <t>TCL DIV/DIST AUF20/00883988</t>
  </si>
  <si>
    <t>W7512793 MBL03MTHZ REDEMPTION</t>
  </si>
  <si>
    <t>W7539290 NAB06MTHZ APPLICATION Receipt number: 0692714561</t>
  </si>
  <si>
    <t>DJERRIWARRH DIV AUG20/00812145</t>
  </si>
  <si>
    <t>ADVISER FEE Receipt number: 0695277210</t>
  </si>
  <si>
    <t>ADMINISTRATION FEE Receipt number: 0695277206</t>
  </si>
  <si>
    <t>BUY 5000 AZJ Receipt number: 0695976990</t>
  </si>
  <si>
    <t>WOODSIDE INT20/00666568</t>
  </si>
  <si>
    <t>BHP GROUP DIV AF382/01206293</t>
  </si>
  <si>
    <t>COLES GROUP LTD FIN20/01189727</t>
  </si>
  <si>
    <t>CBA FNL DIV 001249340187</t>
  </si>
  <si>
    <t>WESFARMERS LTD FIN20/01115853</t>
  </si>
  <si>
    <t>BPAY TO TAX OFFICE PAYMENTS Receipt number: MBL20201005195766460 CRN: 161778671655260</t>
  </si>
  <si>
    <t>ADVISER FEE Receipt number: 0701961892</t>
  </si>
  <si>
    <t>ADMINISTRATION FEE Receipt number: 0701961888</t>
  </si>
  <si>
    <t>VAP PAYMENT OCT20/00819487</t>
  </si>
  <si>
    <t>IOZ PAYMENT OCT20/00810081</t>
  </si>
  <si>
    <t>BUY 20000 MHH Receipt number: 0706333211</t>
  </si>
  <si>
    <t>SELL 29786 MGG</t>
  </si>
  <si>
    <t>SELL 920 IOZ</t>
  </si>
  <si>
    <t>W7690285 MUA0002AU APPLICATION Receipt number: 0706539563</t>
  </si>
  <si>
    <t>W7678148 OPH2093AU APPLICATION Receipt number: 0706539555</t>
  </si>
  <si>
    <t>ADVISER FEE Receipt number: 0708265405</t>
  </si>
  <si>
    <t>ADMINISTRATION FEE Receipt number: 0708265401</t>
  </si>
  <si>
    <t>ADVISER FEE Receipt number: 0713614909</t>
  </si>
  <si>
    <t>ADMINISTRATION FEE Receipt number: 0713614905</t>
  </si>
  <si>
    <t>PDL FNL DIV 001254801582</t>
  </si>
  <si>
    <t>ADVISER FEE Receipt number: 0719272194</t>
  </si>
  <si>
    <t>ADMINISTRATION FEE Receipt number: 0719272190</t>
  </si>
  <si>
    <t>MAGELLAN HIGHCON S00105525184</t>
  </si>
  <si>
    <t>VAP PAYMENT JAN21/00819378</t>
  </si>
  <si>
    <t>BUY 800 NCM Receipt number: 0722701582</t>
  </si>
  <si>
    <t>SELL 500 BHP</t>
  </si>
  <si>
    <t>QUICKSUPER QUICKSPR2877582248</t>
  </si>
  <si>
    <t>ADVISER FEE Receipt number: 0725228924</t>
  </si>
  <si>
    <t>ADMINISTRATION FEE Receipt number: 0725228920</t>
  </si>
  <si>
    <t>BUY 9680 MGEF Receipt number: 0727606888</t>
  </si>
  <si>
    <t>TCL DIV/DIST AUI21/00882557</t>
  </si>
  <si>
    <t>W7955837 NAB06MTHZ REDEMPTION</t>
  </si>
  <si>
    <t>DJERRIWARRH DIV FEB21/00811993</t>
  </si>
  <si>
    <t>W8001266 MBL03MTHZ APPLICATION Receipt number: 0729506083</t>
  </si>
  <si>
    <t>ADVISER FEE Receipt number: 0730645612</t>
  </si>
  <si>
    <t>ADMINISTRATION FEE Receipt number: 0730645608</t>
  </si>
  <si>
    <t>ADMIN FEE REBATE FOR MUA0002AU</t>
  </si>
  <si>
    <t>WOODSIDE FIN20/00665261</t>
  </si>
  <si>
    <t>NCM DIV 001256587250</t>
  </si>
  <si>
    <t>COLES GROUP LTD INT21/01183620</t>
  </si>
  <si>
    <t>BPAY TO TAX OFFICE PAYMENTS Receipt number: MBL20210329211346119 CRN: 161778671655260</t>
  </si>
  <si>
    <t>CBA ITM DIV 001256164785</t>
  </si>
  <si>
    <t>AZJ LIMITED MAR21/00850462</t>
  </si>
  <si>
    <t>WESFARMERS LTD INT21/01109605</t>
  </si>
  <si>
    <t>ADVISER FEE Receipt number: 0738151736</t>
  </si>
  <si>
    <t>ADMINISTRATION FEE Receipt number: 0738151732</t>
  </si>
  <si>
    <t>BPAY TO CARTER WOODGATE Receipt number: MBL20210419211733287 CRN: 230219</t>
  </si>
  <si>
    <t>VAP PAYMENT APR21/00819199</t>
  </si>
  <si>
    <t>QUICKSUPER QUICKSPR2953328894</t>
  </si>
  <si>
    <t>ADVISER FEE Receipt number: 0744524313</t>
  </si>
  <si>
    <t>ADMINISTRATION FEE Receipt number: 0744524309</t>
  </si>
  <si>
    <t>BUY 30000 PDLSPP Receipt number: 0747904712</t>
  </si>
  <si>
    <t>W8267791 MBL03MTHZ REDEMPTION</t>
  </si>
  <si>
    <t>W8272330 MBL06MTHZ APPLICATION Receipt number: 0748718064</t>
  </si>
  <si>
    <t>ADVISER FEE Receipt number: 0749618396</t>
  </si>
  <si>
    <t>ADMINISTRATION FEE Receipt number: 0749618392</t>
  </si>
  <si>
    <t>BPAY TO TAX OFFICE PAYMENTS Receipt number: MBL20210607212864790 CRN: 551000446454657021</t>
  </si>
  <si>
    <t>SELL 4362 PDL</t>
  </si>
  <si>
    <t>QUICKSUPER QUICKSPR2989971526</t>
  </si>
  <si>
    <t>PDL Int Div</t>
  </si>
  <si>
    <t>ADMINISTRATION FEE</t>
  </si>
  <si>
    <t>Don't copy</t>
  </si>
  <si>
    <t>Net Profit B/F from 2020</t>
  </si>
  <si>
    <t>Aurizon</t>
  </si>
  <si>
    <t>Magellan High Conviction</t>
  </si>
  <si>
    <t>Munro Global Growth</t>
  </si>
  <si>
    <t>Ophir Global Opportunities</t>
  </si>
  <si>
    <t>Newcrest</t>
  </si>
  <si>
    <t>Magellan Global Fund (Closed)</t>
  </si>
  <si>
    <t>Less revaluations on partly realised investments (PDL)</t>
  </si>
  <si>
    <t>MFG Options</t>
  </si>
  <si>
    <t>Offset to mark to market adj of $79609.43</t>
  </si>
  <si>
    <t>Net Profit B/F from 2021</t>
  </si>
  <si>
    <t>Trial Balance as at 30 June 2022</t>
  </si>
  <si>
    <t>Account name:</t>
  </si>
  <si>
    <t>WACKETT FAMILY SUPERANNUATION FUND</t>
  </si>
  <si>
    <t>Account number:</t>
  </si>
  <si>
    <t>D64049</t>
  </si>
  <si>
    <t>Account type:</t>
  </si>
  <si>
    <t>Macquarie Investment Custodial</t>
  </si>
  <si>
    <t>Adviser:</t>
  </si>
  <si>
    <t>Anthony Goyder &amp; Sean Keady</t>
  </si>
  <si>
    <t>08 9224 0813</t>
  </si>
  <si>
    <t>Total Portfolio:</t>
  </si>
  <si>
    <t>As at:</t>
  </si>
  <si>
    <t>Code</t>
  </si>
  <si>
    <t>Units</t>
  </si>
  <si>
    <t>Cost per unit</t>
  </si>
  <si>
    <t>Market price</t>
  </si>
  <si>
    <t>Market value</t>
  </si>
  <si>
    <t>Growth</t>
  </si>
  <si>
    <t>Today's change</t>
  </si>
  <si>
    <t>% of portfolio</t>
  </si>
  <si>
    <t>Australian Listed Securities</t>
  </si>
  <si>
    <t>AZJ</t>
  </si>
  <si>
    <t>Aurizon Holdings Limited</t>
  </si>
  <si>
    <t>CBA</t>
  </si>
  <si>
    <t>Commonwealth Bank Of Australia</t>
  </si>
  <si>
    <t>COL</t>
  </si>
  <si>
    <t>Coles Group Limited</t>
  </si>
  <si>
    <t>MFG</t>
  </si>
  <si>
    <t>Magellan Financial Group Limited</t>
  </si>
  <si>
    <t>MFGO</t>
  </si>
  <si>
    <t>Magellan Fin Group Ltd Opt Exp 16Apr27</t>
  </si>
  <si>
    <t>MGF</t>
  </si>
  <si>
    <t>Magellan Global Fund Closed Class</t>
  </si>
  <si>
    <t>MGFO</t>
  </si>
  <si>
    <t>Magellan Global Fund Opt Exp 01 Mar 24</t>
  </si>
  <si>
    <t>MIN</t>
  </si>
  <si>
    <t>Mineral Resources Limited</t>
  </si>
  <si>
    <t>NCM</t>
  </si>
  <si>
    <t>Newcrest Mining Limited</t>
  </si>
  <si>
    <t>PDL</t>
  </si>
  <si>
    <t>Pendal Group Limited</t>
  </si>
  <si>
    <t>VAP</t>
  </si>
  <si>
    <t>Vanguard Aus Prop Securities Index ETF</t>
  </si>
  <si>
    <t>WDS</t>
  </si>
  <si>
    <t>Woodside Energy Group Ltd</t>
  </si>
  <si>
    <t>WES</t>
  </si>
  <si>
    <t>Wesfarmers Limited</t>
  </si>
  <si>
    <t>Managed Investments</t>
  </si>
  <si>
    <t>BFL0002AU</t>
  </si>
  <si>
    <t>Bennelong Concentrated Aust Equities</t>
  </si>
  <si>
    <t>ETL0018AU</t>
  </si>
  <si>
    <t>PIMCO Global Bond Fund - w/s</t>
  </si>
  <si>
    <t>ETL0041AU</t>
  </si>
  <si>
    <t>MFS Hedged Global Equity Trust</t>
  </si>
  <si>
    <t>ETL0071AU</t>
  </si>
  <si>
    <t>T. Rowe Price Global Equity Fund</t>
  </si>
  <si>
    <t>HOW0052AU</t>
  </si>
  <si>
    <t>Kapstream Absolute Return Income Fund</t>
  </si>
  <si>
    <t>MIA0001AU</t>
  </si>
  <si>
    <t>MUA0002AU</t>
  </si>
  <si>
    <t>Munro Global Growth Fund</t>
  </si>
  <si>
    <t>OPH2093AU</t>
  </si>
  <si>
    <t>Ophir Global Opportunities Fund</t>
  </si>
  <si>
    <t>Australian Fixed Interest and Cash</t>
  </si>
  <si>
    <t>MBL06MTHZ</t>
  </si>
  <si>
    <t>Macquarie TD 06mth maturity 28/11/22 rate 2.1%</t>
  </si>
  <si>
    <t>Direct Cash</t>
  </si>
  <si>
    <t>Macquarie Vision Cash Account (000965538515)</t>
  </si>
  <si>
    <t>Pending Settlements</t>
  </si>
  <si>
    <t>Portfolio Total</t>
  </si>
  <si>
    <t>PDL ITM DIV 001260378110</t>
  </si>
  <si>
    <t>ADVISER FEE</t>
  </si>
  <si>
    <t>BUY 1800 AZJ</t>
  </si>
  <si>
    <t>BUY 300 WPL</t>
  </si>
  <si>
    <t>DIST - MUNRO GLOBAL GROWTH FUND</t>
  </si>
  <si>
    <t>DIST - MFS FULLY HEDGED GLOBAL EQUITY TR</t>
  </si>
  <si>
    <t>VAP PAYMENT JUL21/00818759</t>
  </si>
  <si>
    <t>MAGELLAN MAGELLAN0002460107</t>
  </si>
  <si>
    <t>DUDLEY GAGER DK and WT Gager</t>
  </si>
  <si>
    <t>DIST - OPHIR GLOBAL OPPORTUNITIES FUND</t>
  </si>
  <si>
    <t>TCL DIV/DIST AUF21/00880358</t>
  </si>
  <si>
    <t>DJERRIWARRH DIV REC21/00811495</t>
  </si>
  <si>
    <t>AZJ LIMITED SEP21/00853531</t>
  </si>
  <si>
    <t>WOODSIDE INT21/00656204</t>
  </si>
  <si>
    <t>COLES GROUP LTD FIN21/01173454</t>
  </si>
  <si>
    <t>CBA FNL DIV 001263324718</t>
  </si>
  <si>
    <t>BUY 262 TCLF</t>
  </si>
  <si>
    <t>NCM DIV 001265389305</t>
  </si>
  <si>
    <t>WESFARMERS LTD FIN21/01103609</t>
  </si>
  <si>
    <t>VAP PAYMENT OCT21/00818783</t>
  </si>
  <si>
    <t>QUICKSUPER QUICKSPR3069880546</t>
  </si>
  <si>
    <t>DUDLEY GAGER SGC Jul Sep Gager</t>
  </si>
  <si>
    <t>W8857750 MBL06MTHZ REDEMPTION</t>
  </si>
  <si>
    <t>DIST - MACQUARIE TD 06MTH</t>
  </si>
  <si>
    <t>W8864616 MBL06MTHZ APPLICATION</t>
  </si>
  <si>
    <t>BUY 550 MIN</t>
  </si>
  <si>
    <t>BUY 11500 MGF</t>
  </si>
  <si>
    <t>WESFARMERS LTD RCA21/01221781</t>
  </si>
  <si>
    <t>SELL 20000 MHHT</t>
  </si>
  <si>
    <t>SELL 6500 DJW</t>
  </si>
  <si>
    <t>PDL FNL DIV 001270253958</t>
  </si>
  <si>
    <t>MAGELLAN MAGELLAN0002713060</t>
  </si>
  <si>
    <t>VAP PAYMENT JAN22/00818563</t>
  </si>
  <si>
    <t>QUICKSUPER QUICKSPR3128738528</t>
  </si>
  <si>
    <t>DUDLEY GAGER GagerSuper Q4 2021</t>
  </si>
  <si>
    <t>QUICKSUPER QUICKSPR3145961850</t>
  </si>
  <si>
    <t>TCL DISTRIBUTION AUI22/00877627</t>
  </si>
  <si>
    <t>QUICKSUPER QUICKSPR3165803021</t>
  </si>
  <si>
    <t>BUY 26500 MGF</t>
  </si>
  <si>
    <t>WOODSIDE FIN21/00655120</t>
  </si>
  <si>
    <t>W9214598 MGE0001AU REDEMPTION</t>
  </si>
  <si>
    <t>AZJ LIMITED MAR22/00854413</t>
  </si>
  <si>
    <t>WESFARMERS LTD INT22/01105840</t>
  </si>
  <si>
    <t>CBA ITM DIV 001272032661</t>
  </si>
  <si>
    <t>NCM DIV 001272909055</t>
  </si>
  <si>
    <t>COLES GROUP LTD INT22/01162512</t>
  </si>
  <si>
    <t>VAP PAYMENT APR22/00818428</t>
  </si>
  <si>
    <t>QUICKSUPER QUICKSPR3195566673</t>
  </si>
  <si>
    <t>QUICKSUPER QUICKSPR3209891268</t>
  </si>
  <si>
    <t>W9556348 BFL0002AU APPLICATION</t>
  </si>
  <si>
    <t>W9556347 ETL0071AU APPLICATION</t>
  </si>
  <si>
    <t>W9553402 MBL06MTHZ REDEMPTION</t>
  </si>
  <si>
    <t>W9560050 MBL06MTHZ APPLICATION</t>
  </si>
  <si>
    <t>SELL 2614 TCL</t>
  </si>
  <si>
    <t>SELL 2900 ORG</t>
  </si>
  <si>
    <t>CONCESSIONAL CONT</t>
  </si>
  <si>
    <t>QUICKSUPER QUICKSPR3234420153</t>
  </si>
  <si>
    <t>QUICKSUPER QUICKSPR3234420152</t>
  </si>
  <si>
    <t>ATO ATO001000016725288</t>
  </si>
  <si>
    <t>Investment Schedule as at 30 June 2022</t>
  </si>
  <si>
    <t xml:space="preserve"> 21/22</t>
  </si>
  <si>
    <t>Mineral Resources</t>
  </si>
  <si>
    <t>Bennelong Concentrated</t>
  </si>
  <si>
    <t>T Rowe Price Global</t>
  </si>
  <si>
    <t>Investments Sold during the year ended 30 June 2022</t>
  </si>
  <si>
    <t>M Global Fund Options</t>
  </si>
  <si>
    <t>For the Year Ended 30 June 2022</t>
  </si>
  <si>
    <t>Profit and Loss Statement for the period ended 30 June 2022</t>
  </si>
  <si>
    <t>Balance Sheet as at 30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</si>
</sst>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164" formatCode="&quot;$&quot;#,##0.00_);\(&quot;$&quot;#,##0.00\)"/>
    <numFmt numFmtId="165" formatCode="0.0%"/>
    <numFmt numFmtId="166" formatCode="0.00_);[Red]\(0.00\)"/>
  </numFmts>
  <fonts count="17" x14ac:knownFonts="1">
    <font>
      <sz val="11"/>
      <name val="Times New Roman"/>
    </font>
    <font>
      <sz val="10"/>
      <color theme="1"/>
      <name val="Arial"/>
      <family val="2"/>
    </font>
    <font>
      <b/>
      <sz val="11"/>
      <name val="Times New Roman"/>
    </font>
    <font>
      <sz val="11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"/>
      <name val="Tahoma"/>
      <charset val="1"/>
    </font>
    <font>
      <sz val="9"/>
      <color indexed="8"/>
      <name val="Tahoma"/>
      <charset val="1"/>
    </font>
    <font>
      <sz val="10"/>
      <color indexed="8"/>
      <name val="Tahoma"/>
      <family val="2"/>
    </font>
    <font>
      <b/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4" fontId="0" fillId="0" borderId="0" xfId="0" applyNumberFormat="1"/>
    <xf numFmtId="15" fontId="0" fillId="0" borderId="0" xfId="0" applyNumberFormat="1" applyAlignment="1">
      <alignment horizontal="left"/>
    </xf>
    <xf numFmtId="4" fontId="0" fillId="0" borderId="1" xfId="0" applyNumberFormat="1" applyBorder="1"/>
    <xf numFmtId="3" fontId="0" fillId="0" borderId="0" xfId="0" applyNumberFormat="1"/>
    <xf numFmtId="164" fontId="0" fillId="0" borderId="0" xfId="0" applyNumberFormat="1"/>
    <xf numFmtId="39" fontId="0" fillId="0" borderId="0" xfId="0" applyNumberFormat="1"/>
    <xf numFmtId="39" fontId="0" fillId="0" borderId="1" xfId="0" applyNumberFormat="1" applyBorder="1"/>
    <xf numFmtId="0" fontId="2" fillId="0" borderId="0" xfId="0" applyFont="1" applyAlignment="1">
      <alignment horizontal="centerContinuous"/>
    </xf>
    <xf numFmtId="39" fontId="2" fillId="0" borderId="0" xfId="0" applyNumberFormat="1" applyFont="1"/>
    <xf numFmtId="39" fontId="0" fillId="0" borderId="2" xfId="0" applyNumberFormat="1" applyBorder="1"/>
    <xf numFmtId="39" fontId="2" fillId="0" borderId="3" xfId="0" applyNumberFormat="1" applyFont="1" applyBorder="1"/>
    <xf numFmtId="39" fontId="2" fillId="0" borderId="1" xfId="0" applyNumberFormat="1" applyFont="1" applyBorder="1"/>
    <xf numFmtId="39" fontId="0" fillId="0" borderId="0" xfId="0" applyNumberFormat="1" applyBorder="1"/>
    <xf numFmtId="0" fontId="3" fillId="0" borderId="0" xfId="0" applyFont="1"/>
    <xf numFmtId="165" fontId="0" fillId="0" borderId="0" xfId="1" applyNumberFormat="1" applyFont="1"/>
    <xf numFmtId="4" fontId="2" fillId="0" borderId="1" xfId="0" applyNumberFormat="1" applyFont="1" applyBorder="1"/>
    <xf numFmtId="4" fontId="0" fillId="0" borderId="2" xfId="0" applyNumberFormat="1" applyBorder="1"/>
    <xf numFmtId="4" fontId="2" fillId="0" borderId="3" xfId="0" applyNumberFormat="1" applyFont="1" applyBorder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/>
    <xf numFmtId="15" fontId="7" fillId="0" borderId="0" xfId="0" applyNumberFormat="1" applyFont="1" applyAlignment="1">
      <alignment horizontal="left"/>
    </xf>
    <xf numFmtId="0" fontId="7" fillId="0" borderId="0" xfId="0" applyFont="1"/>
    <xf numFmtId="4" fontId="0" fillId="0" borderId="0" xfId="0" applyNumberFormat="1" applyBorder="1"/>
    <xf numFmtId="2" fontId="6" fillId="0" borderId="0" xfId="0" applyNumberFormat="1" applyFont="1"/>
    <xf numFmtId="16" fontId="0" fillId="0" borderId="0" xfId="0" applyNumberFormat="1"/>
    <xf numFmtId="39" fontId="6" fillId="0" borderId="0" xfId="0" applyNumberFormat="1" applyFont="1" applyBorder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166" fontId="0" fillId="0" borderId="0" xfId="0" applyNumberFormat="1"/>
    <xf numFmtId="40" fontId="0" fillId="0" borderId="0" xfId="0" applyNumberFormat="1"/>
    <xf numFmtId="40" fontId="2" fillId="0" borderId="0" xfId="0" applyNumberFormat="1" applyFont="1" applyAlignment="1">
      <alignment horizontal="right"/>
    </xf>
    <xf numFmtId="40" fontId="0" fillId="0" borderId="1" xfId="0" applyNumberFormat="1" applyBorder="1"/>
    <xf numFmtId="40" fontId="7" fillId="0" borderId="0" xfId="0" applyNumberFormat="1" applyFont="1"/>
    <xf numFmtId="40" fontId="6" fillId="0" borderId="0" xfId="0" applyNumberFormat="1" applyFont="1"/>
    <xf numFmtId="40" fontId="10" fillId="0" borderId="0" xfId="0" applyNumberFormat="1" applyFont="1"/>
    <xf numFmtId="15" fontId="0" fillId="0" borderId="0" xfId="0" applyNumberFormat="1" applyFill="1" applyAlignment="1">
      <alignment horizontal="left"/>
    </xf>
    <xf numFmtId="0" fontId="1" fillId="0" borderId="0" xfId="2"/>
    <xf numFmtId="4" fontId="1" fillId="0" borderId="0" xfId="2" applyNumberFormat="1"/>
    <xf numFmtId="15" fontId="1" fillId="0" borderId="0" xfId="2" applyNumberFormat="1"/>
    <xf numFmtId="3" fontId="1" fillId="0" borderId="0" xfId="2" applyNumberFormat="1"/>
    <xf numFmtId="8" fontId="1" fillId="0" borderId="0" xfId="2" applyNumberFormat="1"/>
    <xf numFmtId="3" fontId="0" fillId="0" borderId="0" xfId="0" applyNumberFormat="1" applyFill="1"/>
    <xf numFmtId="4" fontId="0" fillId="0" borderId="0" xfId="0" applyNumberFormat="1" applyFill="1"/>
  </cellXfs>
  <cellStyles count="3">
    <cellStyle name="Normal" xfId="0" builtinId="0"/>
    <cellStyle name="Normal 2" xfId="2" xr:uid="{A631A005-6B9F-43C6-9093-CFD15C803317}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63"/>
  <sheetViews>
    <sheetView workbookViewId="0"/>
  </sheetViews>
  <sheetFormatPr defaultColWidth="8.85546875" defaultRowHeight="15" x14ac:dyDescent="0.25"/>
  <cols>
    <col min="1" max="1" width="10.42578125" style="32" customWidth="1"/>
    <col min="2" max="2" width="40.42578125" customWidth="1"/>
    <col min="3" max="4" width="12.85546875" customWidth="1"/>
    <col min="6" max="6" width="9.42578125" bestFit="1" customWidth="1"/>
  </cols>
  <sheetData>
    <row r="1" spans="1:4" x14ac:dyDescent="0.25">
      <c r="A1" s="30" t="s">
        <v>0</v>
      </c>
      <c r="C1" s="34"/>
      <c r="D1" s="34"/>
    </row>
    <row r="2" spans="1:4" x14ac:dyDescent="0.25">
      <c r="A2" s="30" t="s">
        <v>1</v>
      </c>
      <c r="C2" s="34"/>
      <c r="D2" s="34"/>
    </row>
    <row r="3" spans="1:4" x14ac:dyDescent="0.25">
      <c r="C3" s="34"/>
      <c r="D3" s="34"/>
    </row>
    <row r="4" spans="1:4" x14ac:dyDescent="0.25">
      <c r="A4" s="30" t="s">
        <v>766</v>
      </c>
      <c r="C4" s="34"/>
      <c r="D4" s="34"/>
    </row>
    <row r="5" spans="1:4" x14ac:dyDescent="0.25">
      <c r="A5" s="30" t="s">
        <v>2</v>
      </c>
      <c r="B5" s="1" t="s">
        <v>3</v>
      </c>
      <c r="C5" s="35" t="s">
        <v>4</v>
      </c>
      <c r="D5" s="35" t="s">
        <v>5</v>
      </c>
    </row>
    <row r="6" spans="1:4" hidden="1" x14ac:dyDescent="0.25">
      <c r="A6" s="4">
        <v>35936</v>
      </c>
      <c r="B6" t="s">
        <v>6</v>
      </c>
      <c r="C6" s="34">
        <v>58394.3</v>
      </c>
      <c r="D6" s="34"/>
    </row>
    <row r="7" spans="1:4" hidden="1" x14ac:dyDescent="0.25">
      <c r="A7" s="4">
        <v>35943</v>
      </c>
      <c r="B7" t="s">
        <v>7</v>
      </c>
      <c r="C7" s="34"/>
      <c r="D7" s="34">
        <v>11167.1</v>
      </c>
    </row>
    <row r="8" spans="1:4" hidden="1" x14ac:dyDescent="0.25">
      <c r="A8" s="4">
        <v>35943</v>
      </c>
      <c r="B8" t="s">
        <v>8</v>
      </c>
      <c r="C8" s="34"/>
      <c r="D8" s="34">
        <v>6150</v>
      </c>
    </row>
    <row r="9" spans="1:4" hidden="1" x14ac:dyDescent="0.25">
      <c r="A9" s="4">
        <v>35947</v>
      </c>
      <c r="B9" t="s">
        <v>9</v>
      </c>
      <c r="C9" s="34">
        <v>71.44</v>
      </c>
      <c r="D9" s="34"/>
    </row>
    <row r="10" spans="1:4" hidden="1" x14ac:dyDescent="0.25">
      <c r="A10" s="4">
        <v>35947</v>
      </c>
      <c r="B10" t="s">
        <v>10</v>
      </c>
      <c r="C10" s="34"/>
      <c r="D10" s="34">
        <v>24.65</v>
      </c>
    </row>
    <row r="11" spans="1:4" hidden="1" x14ac:dyDescent="0.25">
      <c r="A11" s="4">
        <v>35947</v>
      </c>
      <c r="B11" t="s">
        <v>10</v>
      </c>
      <c r="C11" s="34"/>
      <c r="D11" s="34">
        <v>0.54</v>
      </c>
    </row>
    <row r="12" spans="1:4" hidden="1" x14ac:dyDescent="0.25">
      <c r="A12" s="4">
        <v>35947</v>
      </c>
      <c r="B12" t="s">
        <v>11</v>
      </c>
      <c r="C12" s="34"/>
      <c r="D12" s="34">
        <v>34.450000000000003</v>
      </c>
    </row>
    <row r="13" spans="1:4" hidden="1" x14ac:dyDescent="0.25">
      <c r="A13" s="4">
        <v>35964</v>
      </c>
      <c r="B13" t="s">
        <v>12</v>
      </c>
      <c r="C13" s="34">
        <v>1900</v>
      </c>
      <c r="D13" s="34"/>
    </row>
    <row r="14" spans="1:4" hidden="1" x14ac:dyDescent="0.25">
      <c r="A14" s="4">
        <v>35969</v>
      </c>
      <c r="B14" t="s">
        <v>13</v>
      </c>
      <c r="C14" s="34"/>
      <c r="D14" s="34">
        <v>4195.34</v>
      </c>
    </row>
    <row r="15" spans="1:4" hidden="1" x14ac:dyDescent="0.25">
      <c r="A15" s="4">
        <v>35976</v>
      </c>
      <c r="B15" t="s">
        <v>14</v>
      </c>
      <c r="C15" s="36">
        <f>SUM(C6:C14)</f>
        <v>60365.740000000005</v>
      </c>
      <c r="D15" s="36">
        <f>SUM(D6:D14)</f>
        <v>21572.080000000002</v>
      </c>
    </row>
    <row r="16" spans="1:4" hidden="1" x14ac:dyDescent="0.25">
      <c r="A16" s="4"/>
      <c r="B16" s="4" t="s">
        <v>15</v>
      </c>
      <c r="C16" s="34">
        <f>IF(C15&gt;D15,C15-D15," ")</f>
        <v>38793.660000000003</v>
      </c>
      <c r="D16" s="34" t="str">
        <f>IF(D15&gt;C15,D15-C15," ")</f>
        <v xml:space="preserve"> </v>
      </c>
    </row>
    <row r="17" spans="1:4" hidden="1" x14ac:dyDescent="0.25">
      <c r="A17" s="4">
        <v>35977</v>
      </c>
      <c r="B17" t="s">
        <v>9</v>
      </c>
      <c r="C17" s="34">
        <v>152.55000000000001</v>
      </c>
      <c r="D17" s="34"/>
    </row>
    <row r="18" spans="1:4" hidden="1" x14ac:dyDescent="0.25">
      <c r="A18" s="4">
        <v>35977</v>
      </c>
      <c r="B18" t="s">
        <v>10</v>
      </c>
      <c r="C18" s="34"/>
      <c r="D18" s="34">
        <v>1.18</v>
      </c>
    </row>
    <row r="19" spans="1:4" hidden="1" x14ac:dyDescent="0.25">
      <c r="A19" s="4">
        <v>35978</v>
      </c>
      <c r="B19" t="s">
        <v>16</v>
      </c>
      <c r="C19" s="34"/>
      <c r="D19" s="34">
        <v>1625.4</v>
      </c>
    </row>
    <row r="20" spans="1:4" hidden="1" x14ac:dyDescent="0.25">
      <c r="A20" s="4">
        <v>36344</v>
      </c>
      <c r="B20" t="s">
        <v>17</v>
      </c>
      <c r="C20" s="34">
        <v>4569.45</v>
      </c>
      <c r="D20" s="34"/>
    </row>
    <row r="21" spans="1:4" hidden="1" x14ac:dyDescent="0.25">
      <c r="A21" s="4">
        <v>36006</v>
      </c>
      <c r="B21" t="s">
        <v>18</v>
      </c>
      <c r="C21" s="34">
        <v>3457.79</v>
      </c>
      <c r="D21" s="34"/>
    </row>
    <row r="22" spans="1:4" hidden="1" x14ac:dyDescent="0.25">
      <c r="A22" s="4">
        <v>36008</v>
      </c>
      <c r="B22" t="s">
        <v>9</v>
      </c>
      <c r="C22" s="34">
        <v>161.81</v>
      </c>
      <c r="D22" s="34"/>
    </row>
    <row r="23" spans="1:4" hidden="1" x14ac:dyDescent="0.25">
      <c r="A23" s="4">
        <v>36008</v>
      </c>
      <c r="B23" t="s">
        <v>10</v>
      </c>
      <c r="C23" s="34"/>
      <c r="D23" s="34">
        <v>4.91</v>
      </c>
    </row>
    <row r="24" spans="1:4" hidden="1" x14ac:dyDescent="0.25">
      <c r="A24" s="4">
        <v>36034</v>
      </c>
      <c r="B24" t="s">
        <v>19</v>
      </c>
      <c r="C24" s="34"/>
      <c r="D24" s="34">
        <v>15600</v>
      </c>
    </row>
    <row r="25" spans="1:4" hidden="1" x14ac:dyDescent="0.25">
      <c r="A25" s="4">
        <v>36039</v>
      </c>
      <c r="B25" t="s">
        <v>9</v>
      </c>
      <c r="C25" s="34">
        <v>166.12</v>
      </c>
      <c r="D25" s="34"/>
    </row>
    <row r="26" spans="1:4" hidden="1" x14ac:dyDescent="0.25">
      <c r="A26" s="4">
        <v>36039</v>
      </c>
      <c r="B26" t="s">
        <v>10</v>
      </c>
      <c r="C26" s="34"/>
      <c r="D26" s="34">
        <v>0.1</v>
      </c>
    </row>
    <row r="27" spans="1:4" hidden="1" x14ac:dyDescent="0.25">
      <c r="A27" s="4">
        <v>36048</v>
      </c>
      <c r="B27" t="s">
        <v>20</v>
      </c>
      <c r="C27" s="34">
        <v>1347.7</v>
      </c>
      <c r="D27" s="34"/>
    </row>
    <row r="28" spans="1:4" hidden="1" x14ac:dyDescent="0.25">
      <c r="A28" s="4">
        <v>36061</v>
      </c>
      <c r="B28" t="s">
        <v>21</v>
      </c>
      <c r="C28" s="34">
        <v>3000</v>
      </c>
      <c r="D28" s="34"/>
    </row>
    <row r="29" spans="1:4" hidden="1" x14ac:dyDescent="0.25">
      <c r="A29" s="4">
        <v>36069</v>
      </c>
      <c r="B29" t="s">
        <v>9</v>
      </c>
      <c r="C29" s="34">
        <v>119.34</v>
      </c>
      <c r="D29" s="34"/>
    </row>
    <row r="30" spans="1:4" hidden="1" x14ac:dyDescent="0.25">
      <c r="A30" s="4">
        <v>36069</v>
      </c>
      <c r="B30" t="s">
        <v>10</v>
      </c>
      <c r="C30" s="34"/>
      <c r="D30" s="34">
        <v>2.71</v>
      </c>
    </row>
    <row r="31" spans="1:4" hidden="1" x14ac:dyDescent="0.25">
      <c r="A31" s="4">
        <v>36088</v>
      </c>
      <c r="B31" t="s">
        <v>22</v>
      </c>
      <c r="C31" s="34"/>
      <c r="D31" s="34">
        <v>5400</v>
      </c>
    </row>
    <row r="32" spans="1:4" hidden="1" x14ac:dyDescent="0.25">
      <c r="A32" s="4">
        <v>36089</v>
      </c>
      <c r="B32" t="s">
        <v>23</v>
      </c>
      <c r="C32" s="34">
        <v>1723.08</v>
      </c>
      <c r="D32" s="34"/>
    </row>
    <row r="33" spans="1:4" hidden="1" x14ac:dyDescent="0.25">
      <c r="A33" s="4">
        <v>36100</v>
      </c>
      <c r="B33" t="s">
        <v>9</v>
      </c>
      <c r="C33" s="34">
        <v>127.74</v>
      </c>
      <c r="D33" s="34"/>
    </row>
    <row r="34" spans="1:4" hidden="1" x14ac:dyDescent="0.25">
      <c r="A34" s="4">
        <v>36100</v>
      </c>
      <c r="B34" t="s">
        <v>10</v>
      </c>
      <c r="C34" s="34"/>
      <c r="D34" s="34">
        <v>1.1100000000000001</v>
      </c>
    </row>
    <row r="35" spans="1:4" hidden="1" x14ac:dyDescent="0.25">
      <c r="A35" s="4">
        <v>36130</v>
      </c>
      <c r="B35" t="s">
        <v>9</v>
      </c>
      <c r="C35" s="34">
        <v>115.87</v>
      </c>
      <c r="D35" s="34"/>
    </row>
    <row r="36" spans="1:4" hidden="1" x14ac:dyDescent="0.25">
      <c r="A36" s="4">
        <v>36130</v>
      </c>
      <c r="B36" t="s">
        <v>10</v>
      </c>
      <c r="C36" s="34"/>
      <c r="D36" s="34">
        <v>0.08</v>
      </c>
    </row>
    <row r="37" spans="1:4" hidden="1" x14ac:dyDescent="0.25">
      <c r="A37" s="4">
        <v>36136</v>
      </c>
      <c r="B37" t="s">
        <v>24</v>
      </c>
      <c r="C37" s="34">
        <v>1880</v>
      </c>
      <c r="D37" s="34"/>
    </row>
    <row r="38" spans="1:4" hidden="1" x14ac:dyDescent="0.25">
      <c r="A38" s="4">
        <v>36145</v>
      </c>
      <c r="B38" t="s">
        <v>25</v>
      </c>
      <c r="C38" s="34">
        <v>1540.08</v>
      </c>
      <c r="D38" s="34"/>
    </row>
    <row r="39" spans="1:4" hidden="1" x14ac:dyDescent="0.25">
      <c r="A39" s="4">
        <v>36161</v>
      </c>
      <c r="B39" t="s">
        <v>9</v>
      </c>
      <c r="C39" s="34">
        <v>122.45</v>
      </c>
      <c r="D39" s="34"/>
    </row>
    <row r="40" spans="1:4" hidden="1" x14ac:dyDescent="0.25">
      <c r="A40" s="4">
        <v>36161</v>
      </c>
      <c r="B40" t="s">
        <v>10</v>
      </c>
      <c r="C40" s="34"/>
      <c r="D40" s="34">
        <v>2.12</v>
      </c>
    </row>
    <row r="41" spans="1:4" hidden="1" x14ac:dyDescent="0.25">
      <c r="A41" s="4">
        <v>36174</v>
      </c>
      <c r="B41" t="s">
        <v>25</v>
      </c>
      <c r="C41" s="34">
        <v>859.64</v>
      </c>
      <c r="D41" s="34"/>
    </row>
    <row r="42" spans="1:4" hidden="1" x14ac:dyDescent="0.25">
      <c r="A42" s="4">
        <v>36192</v>
      </c>
      <c r="B42" t="s">
        <v>9</v>
      </c>
      <c r="C42" s="34">
        <v>128.33000000000001</v>
      </c>
      <c r="D42" s="34"/>
    </row>
    <row r="43" spans="1:4" hidden="1" x14ac:dyDescent="0.25">
      <c r="A43" s="4">
        <v>36192</v>
      </c>
      <c r="B43" t="s">
        <v>10</v>
      </c>
      <c r="C43" s="34"/>
      <c r="D43" s="34">
        <v>0.59</v>
      </c>
    </row>
    <row r="44" spans="1:4" hidden="1" x14ac:dyDescent="0.25">
      <c r="A44" s="4">
        <v>36201</v>
      </c>
      <c r="B44" t="s">
        <v>26</v>
      </c>
      <c r="C44" s="34"/>
      <c r="D44" s="34">
        <v>1422.72</v>
      </c>
    </row>
    <row r="45" spans="1:4" hidden="1" x14ac:dyDescent="0.25">
      <c r="A45" s="4">
        <v>36209</v>
      </c>
      <c r="B45" t="s">
        <v>27</v>
      </c>
      <c r="C45" s="34">
        <v>1277.69</v>
      </c>
      <c r="D45" s="34"/>
    </row>
    <row r="46" spans="1:4" hidden="1" x14ac:dyDescent="0.25">
      <c r="A46" s="4">
        <v>36214</v>
      </c>
      <c r="B46" t="s">
        <v>28</v>
      </c>
      <c r="C46" s="34"/>
      <c r="D46" s="34">
        <v>7184.2</v>
      </c>
    </row>
    <row r="47" spans="1:4" hidden="1" x14ac:dyDescent="0.25">
      <c r="A47" s="4">
        <v>36220</v>
      </c>
      <c r="B47" t="s">
        <v>9</v>
      </c>
      <c r="C47" s="34">
        <v>110.91</v>
      </c>
      <c r="D47" s="34"/>
    </row>
    <row r="48" spans="1:4" hidden="1" x14ac:dyDescent="0.25">
      <c r="A48" s="4">
        <v>36220</v>
      </c>
      <c r="B48" t="s">
        <v>10</v>
      </c>
      <c r="C48" s="34"/>
      <c r="D48" s="34">
        <v>0.84</v>
      </c>
    </row>
    <row r="49" spans="1:4" hidden="1" x14ac:dyDescent="0.25">
      <c r="A49" s="4">
        <v>36234</v>
      </c>
      <c r="B49" t="s">
        <v>29</v>
      </c>
      <c r="C49" s="34"/>
      <c r="D49" s="34">
        <v>4792.83</v>
      </c>
    </row>
    <row r="50" spans="1:4" hidden="1" x14ac:dyDescent="0.25">
      <c r="A50" s="4">
        <v>36248</v>
      </c>
      <c r="B50" t="s">
        <v>30</v>
      </c>
      <c r="C50" s="34">
        <v>3401.03</v>
      </c>
      <c r="D50" s="34"/>
    </row>
    <row r="51" spans="1:4" hidden="1" x14ac:dyDescent="0.25">
      <c r="A51" s="4">
        <v>36251</v>
      </c>
      <c r="B51" t="s">
        <v>9</v>
      </c>
      <c r="C51" s="34">
        <v>95.35</v>
      </c>
      <c r="D51" s="34"/>
    </row>
    <row r="52" spans="1:4" hidden="1" x14ac:dyDescent="0.25">
      <c r="A52" s="4">
        <v>36251</v>
      </c>
      <c r="B52" t="s">
        <v>10</v>
      </c>
      <c r="C52" s="34"/>
      <c r="D52" s="34">
        <v>2.11</v>
      </c>
    </row>
    <row r="53" spans="1:4" hidden="1" x14ac:dyDescent="0.25">
      <c r="A53" s="4">
        <v>36250</v>
      </c>
      <c r="B53" t="s">
        <v>31</v>
      </c>
      <c r="C53" s="34">
        <v>3446.37</v>
      </c>
      <c r="D53" s="34"/>
    </row>
    <row r="54" spans="1:4" hidden="1" x14ac:dyDescent="0.25">
      <c r="A54" s="4">
        <v>36281</v>
      </c>
      <c r="B54" t="s">
        <v>9</v>
      </c>
      <c r="C54" s="34">
        <f>12.59+3.66</f>
        <v>16.25</v>
      </c>
      <c r="D54" s="34"/>
    </row>
    <row r="55" spans="1:4" hidden="1" x14ac:dyDescent="0.25">
      <c r="A55" s="4">
        <v>36281</v>
      </c>
      <c r="B55" t="s">
        <v>10</v>
      </c>
      <c r="C55" s="34"/>
      <c r="D55" s="34">
        <v>2.08</v>
      </c>
    </row>
    <row r="56" spans="1:4" hidden="1" x14ac:dyDescent="0.25">
      <c r="A56" s="4">
        <v>36281</v>
      </c>
      <c r="B56" t="s">
        <v>32</v>
      </c>
      <c r="C56" s="34"/>
      <c r="D56" s="34">
        <f>5.8+1.45</f>
        <v>7.25</v>
      </c>
    </row>
    <row r="57" spans="1:4" hidden="1" x14ac:dyDescent="0.25">
      <c r="A57" s="4">
        <v>36281</v>
      </c>
      <c r="B57" t="s">
        <v>9</v>
      </c>
      <c r="C57" s="34">
        <f>95.81+6.41</f>
        <v>102.22</v>
      </c>
      <c r="D57" s="34"/>
    </row>
    <row r="58" spans="1:4" hidden="1" x14ac:dyDescent="0.25">
      <c r="A58" s="4">
        <v>36281</v>
      </c>
      <c r="B58" t="s">
        <v>10</v>
      </c>
      <c r="C58" s="34"/>
      <c r="D58" s="34">
        <v>0.12</v>
      </c>
    </row>
    <row r="59" spans="1:4" hidden="1" x14ac:dyDescent="0.25">
      <c r="A59" s="4">
        <v>36321</v>
      </c>
      <c r="B59" t="s">
        <v>9</v>
      </c>
      <c r="C59" s="34">
        <v>12.61</v>
      </c>
      <c r="D59" s="34"/>
    </row>
    <row r="60" spans="1:4" hidden="1" x14ac:dyDescent="0.25">
      <c r="A60" s="4">
        <v>36308</v>
      </c>
      <c r="B60" t="s">
        <v>9</v>
      </c>
      <c r="C60" s="34">
        <v>80.14</v>
      </c>
      <c r="D60" s="34"/>
    </row>
    <row r="61" spans="1:4" hidden="1" x14ac:dyDescent="0.25">
      <c r="A61" s="4">
        <v>36308</v>
      </c>
      <c r="B61" t="s">
        <v>10</v>
      </c>
      <c r="C61" s="34"/>
      <c r="D61" s="34">
        <v>0.04</v>
      </c>
    </row>
    <row r="62" spans="1:4" hidden="1" x14ac:dyDescent="0.25">
      <c r="A62" s="4">
        <v>36312</v>
      </c>
      <c r="B62" t="s">
        <v>33</v>
      </c>
      <c r="C62" s="34"/>
      <c r="D62" s="34">
        <v>1195.47</v>
      </c>
    </row>
    <row r="63" spans="1:4" hidden="1" x14ac:dyDescent="0.25">
      <c r="A63" s="4">
        <v>36312</v>
      </c>
      <c r="B63" t="s">
        <v>9</v>
      </c>
      <c r="C63" s="34">
        <v>12.86</v>
      </c>
      <c r="D63" s="34"/>
    </row>
    <row r="64" spans="1:4" hidden="1" x14ac:dyDescent="0.25">
      <c r="A64" s="4">
        <v>36340</v>
      </c>
      <c r="B64" t="s">
        <v>10</v>
      </c>
      <c r="C64" s="34"/>
      <c r="D64" s="34">
        <v>0.01</v>
      </c>
    </row>
    <row r="65" spans="1:4" hidden="1" x14ac:dyDescent="0.25">
      <c r="A65" s="4"/>
      <c r="C65" s="34"/>
      <c r="D65" s="34"/>
    </row>
    <row r="66" spans="1:4" hidden="1" x14ac:dyDescent="0.25">
      <c r="A66" s="4">
        <v>36341</v>
      </c>
      <c r="B66" t="s">
        <v>14</v>
      </c>
      <c r="C66" s="36">
        <f>SUM(C16:C65)</f>
        <v>66821.040000000008</v>
      </c>
      <c r="D66" s="36">
        <f>SUM(D16:D65)</f>
        <v>37245.87000000001</v>
      </c>
    </row>
    <row r="67" spans="1:4" hidden="1" x14ac:dyDescent="0.25">
      <c r="A67" s="4"/>
      <c r="B67" s="4" t="s">
        <v>15</v>
      </c>
      <c r="C67" s="34">
        <f>IF(C66&gt;D66,C66-D66," ")</f>
        <v>29575.17</v>
      </c>
      <c r="D67" s="34"/>
    </row>
    <row r="68" spans="1:4" hidden="1" x14ac:dyDescent="0.25">
      <c r="A68" s="4">
        <v>36342</v>
      </c>
      <c r="B68" s="4" t="s">
        <v>9</v>
      </c>
      <c r="C68" s="34">
        <v>8.57</v>
      </c>
      <c r="D68" s="34"/>
    </row>
    <row r="69" spans="1:4" hidden="1" x14ac:dyDescent="0.25">
      <c r="A69" s="4">
        <v>36350</v>
      </c>
      <c r="B69" s="4" t="s">
        <v>10</v>
      </c>
      <c r="C69" s="34"/>
      <c r="D69" s="34">
        <v>0.01</v>
      </c>
    </row>
    <row r="70" spans="1:4" hidden="1" x14ac:dyDescent="0.25">
      <c r="A70" s="4">
        <v>36374</v>
      </c>
      <c r="B70" s="4" t="s">
        <v>9</v>
      </c>
      <c r="C70" s="34">
        <v>12.69</v>
      </c>
      <c r="D70" s="34"/>
    </row>
    <row r="71" spans="1:4" hidden="1" x14ac:dyDescent="0.25">
      <c r="A71" s="4">
        <v>36382</v>
      </c>
      <c r="B71" s="4" t="s">
        <v>10</v>
      </c>
      <c r="C71" s="34"/>
      <c r="D71" s="34">
        <v>0.01</v>
      </c>
    </row>
    <row r="72" spans="1:4" hidden="1" x14ac:dyDescent="0.25">
      <c r="A72" s="4">
        <v>36397</v>
      </c>
      <c r="B72" s="4" t="s">
        <v>9</v>
      </c>
      <c r="C72" s="34">
        <v>9.86</v>
      </c>
      <c r="D72" s="34"/>
    </row>
    <row r="73" spans="1:4" hidden="1" x14ac:dyDescent="0.25">
      <c r="A73" s="4">
        <v>36342</v>
      </c>
      <c r="B73" s="4" t="s">
        <v>9</v>
      </c>
      <c r="C73" s="34">
        <v>92.28</v>
      </c>
      <c r="D73" s="34"/>
    </row>
    <row r="74" spans="1:4" hidden="1" x14ac:dyDescent="0.25">
      <c r="A74" s="4">
        <v>36342</v>
      </c>
      <c r="B74" s="4" t="s">
        <v>10</v>
      </c>
      <c r="C74" s="34"/>
      <c r="D74" s="34">
        <v>0.06</v>
      </c>
    </row>
    <row r="75" spans="1:4" hidden="1" x14ac:dyDescent="0.25">
      <c r="A75" s="4">
        <v>36374</v>
      </c>
      <c r="B75" s="4" t="s">
        <v>9</v>
      </c>
      <c r="C75" s="34">
        <v>95.69</v>
      </c>
      <c r="D75" s="34"/>
    </row>
    <row r="76" spans="1:4" hidden="1" x14ac:dyDescent="0.25">
      <c r="A76" s="4">
        <v>36399</v>
      </c>
      <c r="B76" s="4" t="s">
        <v>10</v>
      </c>
      <c r="C76" s="34"/>
      <c r="D76" s="34">
        <v>2.15</v>
      </c>
    </row>
    <row r="77" spans="1:4" hidden="1" x14ac:dyDescent="0.25">
      <c r="A77" s="4">
        <v>36404</v>
      </c>
      <c r="B77" s="4" t="s">
        <v>9</v>
      </c>
      <c r="C77" s="34">
        <v>98.92</v>
      </c>
      <c r="D77" s="34"/>
    </row>
    <row r="78" spans="1:4" hidden="1" x14ac:dyDescent="0.25">
      <c r="A78" s="4">
        <v>36410</v>
      </c>
      <c r="B78" s="4" t="s">
        <v>34</v>
      </c>
      <c r="C78" s="34">
        <v>2715.8</v>
      </c>
      <c r="D78" s="34"/>
    </row>
    <row r="79" spans="1:4" hidden="1" x14ac:dyDescent="0.25">
      <c r="A79" s="4">
        <v>36432</v>
      </c>
      <c r="B79" s="4" t="s">
        <v>10</v>
      </c>
      <c r="C79" s="34"/>
      <c r="D79" s="34">
        <v>1.69</v>
      </c>
    </row>
    <row r="80" spans="1:4" hidden="1" x14ac:dyDescent="0.25">
      <c r="A80" s="4">
        <v>36434</v>
      </c>
      <c r="B80" s="4" t="s">
        <v>9</v>
      </c>
      <c r="C80" s="34">
        <v>113.32</v>
      </c>
      <c r="D80" s="34"/>
    </row>
    <row r="81" spans="1:4" hidden="1" x14ac:dyDescent="0.25">
      <c r="A81" s="4">
        <v>36461</v>
      </c>
      <c r="B81" s="4" t="s">
        <v>9</v>
      </c>
      <c r="C81" s="34">
        <v>104.07</v>
      </c>
      <c r="D81" s="34"/>
    </row>
    <row r="82" spans="1:4" hidden="1" x14ac:dyDescent="0.25">
      <c r="A82" s="4">
        <v>36461</v>
      </c>
      <c r="B82" s="4" t="s">
        <v>10</v>
      </c>
      <c r="C82" s="34"/>
      <c r="D82" s="34">
        <v>0.13</v>
      </c>
    </row>
    <row r="83" spans="1:4" hidden="1" x14ac:dyDescent="0.25">
      <c r="A83" s="4">
        <v>36514</v>
      </c>
      <c r="B83" s="4" t="s">
        <v>35</v>
      </c>
      <c r="C83" s="34">
        <v>584.34</v>
      </c>
      <c r="D83" s="34"/>
    </row>
    <row r="84" spans="1:4" hidden="1" x14ac:dyDescent="0.25">
      <c r="A84" s="4">
        <v>36514</v>
      </c>
      <c r="B84" s="4" t="s">
        <v>36</v>
      </c>
      <c r="C84" s="34">
        <v>426.58</v>
      </c>
      <c r="D84" s="34"/>
    </row>
    <row r="85" spans="1:4" hidden="1" x14ac:dyDescent="0.25">
      <c r="A85" s="4">
        <v>36514</v>
      </c>
      <c r="B85" s="4" t="s">
        <v>37</v>
      </c>
      <c r="C85" s="34">
        <v>349.56</v>
      </c>
      <c r="D85" s="34"/>
    </row>
    <row r="86" spans="1:4" hidden="1" x14ac:dyDescent="0.25">
      <c r="A86" s="4">
        <v>36526</v>
      </c>
      <c r="B86" s="4" t="s">
        <v>9</v>
      </c>
      <c r="C86" s="34">
        <v>261.8</v>
      </c>
      <c r="D86" s="34"/>
    </row>
    <row r="87" spans="1:4" hidden="1" x14ac:dyDescent="0.25">
      <c r="A87" s="4">
        <v>36526</v>
      </c>
      <c r="B87" s="4" t="s">
        <v>10</v>
      </c>
      <c r="C87" s="34"/>
      <c r="D87" s="34">
        <v>2.36</v>
      </c>
    </row>
    <row r="88" spans="1:4" hidden="1" x14ac:dyDescent="0.25">
      <c r="A88" s="4">
        <v>36538</v>
      </c>
      <c r="B88" s="4" t="s">
        <v>38</v>
      </c>
      <c r="C88" s="34"/>
      <c r="D88" s="34">
        <v>13900</v>
      </c>
    </row>
    <row r="89" spans="1:4" hidden="1" x14ac:dyDescent="0.25">
      <c r="A89" s="4">
        <v>36577</v>
      </c>
      <c r="B89" s="4" t="s">
        <v>39</v>
      </c>
      <c r="C89" s="34">
        <v>92.7</v>
      </c>
      <c r="D89" s="34"/>
    </row>
    <row r="90" spans="1:4" hidden="1" x14ac:dyDescent="0.25">
      <c r="A90" s="4">
        <v>36577</v>
      </c>
      <c r="B90" s="4" t="s">
        <v>40</v>
      </c>
      <c r="C90" s="34">
        <v>60.44</v>
      </c>
      <c r="D90" s="34"/>
    </row>
    <row r="91" spans="1:4" hidden="1" x14ac:dyDescent="0.25">
      <c r="A91" s="4">
        <v>36617</v>
      </c>
      <c r="B91" s="4" t="s">
        <v>9</v>
      </c>
      <c r="C91" s="34">
        <v>266.79000000000002</v>
      </c>
      <c r="D91" s="34"/>
    </row>
    <row r="92" spans="1:4" hidden="1" x14ac:dyDescent="0.25">
      <c r="A92" s="4">
        <v>36617</v>
      </c>
      <c r="B92" s="4" t="s">
        <v>10</v>
      </c>
      <c r="C92" s="34"/>
      <c r="D92" s="34">
        <v>2.2400000000000002</v>
      </c>
    </row>
    <row r="93" spans="1:4" hidden="1" x14ac:dyDescent="0.25">
      <c r="A93" s="4">
        <v>36657</v>
      </c>
      <c r="B93" s="4" t="s">
        <v>41</v>
      </c>
      <c r="C93" s="34">
        <v>7629.25</v>
      </c>
      <c r="D93" s="34"/>
    </row>
    <row r="94" spans="1:4" hidden="1" x14ac:dyDescent="0.25">
      <c r="A94" s="4">
        <v>36678</v>
      </c>
      <c r="B94" s="4" t="s">
        <v>42</v>
      </c>
      <c r="C94" s="34"/>
      <c r="D94" s="34">
        <v>11473.21</v>
      </c>
    </row>
    <row r="95" spans="1:4" hidden="1" x14ac:dyDescent="0.25">
      <c r="A95" s="4">
        <v>36690</v>
      </c>
      <c r="B95" s="4" t="s">
        <v>43</v>
      </c>
      <c r="C95" s="34"/>
      <c r="D95" s="34">
        <v>2871.63</v>
      </c>
    </row>
    <row r="96" spans="1:4" hidden="1" x14ac:dyDescent="0.25">
      <c r="A96" s="4">
        <v>36690</v>
      </c>
      <c r="B96" s="4" t="s">
        <v>44</v>
      </c>
      <c r="C96" s="34">
        <v>82.4</v>
      </c>
      <c r="D96" s="34"/>
    </row>
    <row r="97" spans="1:4" hidden="1" x14ac:dyDescent="0.25">
      <c r="A97" s="4"/>
      <c r="B97" s="4"/>
      <c r="C97" s="34"/>
      <c r="D97" s="34"/>
    </row>
    <row r="98" spans="1:4" hidden="1" x14ac:dyDescent="0.25">
      <c r="A98" s="4">
        <v>36707</v>
      </c>
      <c r="B98" t="s">
        <v>14</v>
      </c>
      <c r="C98" s="36">
        <f>SUM(C67:C97)</f>
        <v>42580.229999999996</v>
      </c>
      <c r="D98" s="36">
        <f>SUM(D67:D97)</f>
        <v>28253.49</v>
      </c>
    </row>
    <row r="99" spans="1:4" hidden="1" x14ac:dyDescent="0.25">
      <c r="A99" s="4"/>
      <c r="B99" s="4" t="s">
        <v>15</v>
      </c>
      <c r="C99" s="34">
        <f>IF(C98&gt;D98,C98-D98," ")</f>
        <v>14326.739999999994</v>
      </c>
      <c r="D99" s="34"/>
    </row>
    <row r="100" spans="1:4" hidden="1" x14ac:dyDescent="0.25">
      <c r="A100" s="4">
        <v>36708</v>
      </c>
      <c r="B100" s="4" t="s">
        <v>9</v>
      </c>
      <c r="C100" s="34">
        <v>277.79000000000002</v>
      </c>
      <c r="D100" s="34"/>
    </row>
    <row r="101" spans="1:4" hidden="1" x14ac:dyDescent="0.25">
      <c r="A101" s="4">
        <v>36708</v>
      </c>
      <c r="B101" s="4" t="s">
        <v>10</v>
      </c>
      <c r="C101" s="34"/>
      <c r="D101" s="34">
        <v>2.09</v>
      </c>
    </row>
    <row r="102" spans="1:4" hidden="1" x14ac:dyDescent="0.25">
      <c r="A102" s="4">
        <v>36746</v>
      </c>
      <c r="B102" s="4" t="s">
        <v>45</v>
      </c>
      <c r="C102" s="34">
        <v>9831</v>
      </c>
      <c r="D102" s="34"/>
    </row>
    <row r="103" spans="1:4" hidden="1" x14ac:dyDescent="0.25">
      <c r="A103" s="4">
        <v>36797</v>
      </c>
      <c r="B103" s="4" t="s">
        <v>46</v>
      </c>
      <c r="C103" s="34">
        <v>290.48</v>
      </c>
      <c r="D103" s="34"/>
    </row>
    <row r="104" spans="1:4" hidden="1" x14ac:dyDescent="0.25">
      <c r="A104" s="4">
        <v>36800</v>
      </c>
      <c r="B104" s="4" t="s">
        <v>9</v>
      </c>
      <c r="C104" s="34">
        <v>292.2</v>
      </c>
      <c r="D104" s="34"/>
    </row>
    <row r="105" spans="1:4" hidden="1" x14ac:dyDescent="0.25">
      <c r="A105" s="4">
        <v>36800</v>
      </c>
      <c r="B105" s="4" t="s">
        <v>10</v>
      </c>
      <c r="C105" s="34"/>
      <c r="D105" s="34">
        <v>2.0499999999999998</v>
      </c>
    </row>
    <row r="106" spans="1:4" hidden="1" x14ac:dyDescent="0.25">
      <c r="A106" s="4">
        <v>36829</v>
      </c>
      <c r="B106" s="4" t="s">
        <v>47</v>
      </c>
      <c r="C106" s="34"/>
      <c r="D106" s="34">
        <v>3912.5</v>
      </c>
    </row>
    <row r="107" spans="1:4" hidden="1" x14ac:dyDescent="0.25">
      <c r="A107" s="4">
        <v>36829</v>
      </c>
      <c r="B107" s="4" t="s">
        <v>48</v>
      </c>
      <c r="C107" s="34">
        <v>50.52</v>
      </c>
      <c r="D107" s="34"/>
    </row>
    <row r="108" spans="1:4" hidden="1" x14ac:dyDescent="0.25">
      <c r="A108" s="4">
        <v>36829</v>
      </c>
      <c r="B108" s="4" t="s">
        <v>49</v>
      </c>
      <c r="C108" s="34">
        <v>8256.8799999999992</v>
      </c>
      <c r="D108" s="34"/>
    </row>
    <row r="109" spans="1:4" hidden="1" x14ac:dyDescent="0.25">
      <c r="A109" s="4">
        <v>36830</v>
      </c>
      <c r="B109" s="4" t="s">
        <v>50</v>
      </c>
      <c r="C109" s="34">
        <v>200</v>
      </c>
      <c r="D109" s="34"/>
    </row>
    <row r="110" spans="1:4" hidden="1" x14ac:dyDescent="0.25">
      <c r="A110" s="4">
        <v>36850</v>
      </c>
      <c r="B110" s="4" t="s">
        <v>51</v>
      </c>
      <c r="C110" s="34">
        <v>86</v>
      </c>
      <c r="D110" s="34"/>
    </row>
    <row r="111" spans="1:4" hidden="1" x14ac:dyDescent="0.25">
      <c r="A111" s="4">
        <v>36872</v>
      </c>
      <c r="B111" s="4" t="s">
        <v>52</v>
      </c>
      <c r="C111" s="34">
        <v>155</v>
      </c>
      <c r="D111" s="34"/>
    </row>
    <row r="112" spans="1:4" hidden="1" x14ac:dyDescent="0.25">
      <c r="A112" s="4">
        <v>36892</v>
      </c>
      <c r="B112" s="4" t="s">
        <v>9</v>
      </c>
      <c r="C112" s="34">
        <v>412.72</v>
      </c>
      <c r="D112" s="34"/>
    </row>
    <row r="113" spans="1:4" hidden="1" x14ac:dyDescent="0.25">
      <c r="A113" s="4">
        <v>36892</v>
      </c>
      <c r="B113" s="4" t="s">
        <v>10</v>
      </c>
      <c r="C113" s="34"/>
      <c r="D113" s="34">
        <v>2.84</v>
      </c>
    </row>
    <row r="114" spans="1:4" hidden="1" x14ac:dyDescent="0.25">
      <c r="A114" s="4">
        <v>36906</v>
      </c>
      <c r="B114" s="4" t="s">
        <v>53</v>
      </c>
      <c r="C114" s="34">
        <v>1005.62</v>
      </c>
      <c r="D114" s="34"/>
    </row>
    <row r="115" spans="1:4" hidden="1" x14ac:dyDescent="0.25">
      <c r="A115" s="4">
        <v>36943</v>
      </c>
      <c r="B115" s="4" t="s">
        <v>9</v>
      </c>
      <c r="C115" s="34">
        <v>77.25</v>
      </c>
      <c r="D115" s="34"/>
    </row>
    <row r="116" spans="1:4" hidden="1" x14ac:dyDescent="0.25">
      <c r="A116" s="4">
        <v>36943</v>
      </c>
      <c r="B116" s="4" t="s">
        <v>10</v>
      </c>
      <c r="C116" s="34"/>
      <c r="D116" s="34">
        <v>0.54</v>
      </c>
    </row>
    <row r="117" spans="1:4" hidden="1" x14ac:dyDescent="0.25">
      <c r="A117" s="4">
        <v>36914</v>
      </c>
      <c r="B117" s="4" t="s">
        <v>54</v>
      </c>
      <c r="C117" s="34"/>
      <c r="D117" s="34">
        <v>5</v>
      </c>
    </row>
    <row r="118" spans="1:4" hidden="1" x14ac:dyDescent="0.25">
      <c r="A118" s="4">
        <v>36916</v>
      </c>
      <c r="B118" s="4" t="s">
        <v>9</v>
      </c>
      <c r="C118" s="34">
        <v>30.35</v>
      </c>
      <c r="D118" s="34"/>
    </row>
    <row r="119" spans="1:4" hidden="1" x14ac:dyDescent="0.25">
      <c r="A119" s="4">
        <v>36916</v>
      </c>
      <c r="B119" s="4" t="s">
        <v>10</v>
      </c>
      <c r="C119" s="34"/>
      <c r="D119" s="34">
        <v>18.760000000000002</v>
      </c>
    </row>
    <row r="120" spans="1:4" hidden="1" x14ac:dyDescent="0.25">
      <c r="A120" s="4">
        <v>36931</v>
      </c>
      <c r="B120" s="4" t="s">
        <v>55</v>
      </c>
      <c r="C120" s="34"/>
      <c r="D120" s="34">
        <v>93</v>
      </c>
    </row>
    <row r="121" spans="1:4" hidden="1" x14ac:dyDescent="0.25">
      <c r="A121" s="4">
        <v>36937</v>
      </c>
      <c r="B121" s="4" t="s">
        <v>56</v>
      </c>
      <c r="C121" s="34"/>
      <c r="D121" s="34">
        <v>14276.7</v>
      </c>
    </row>
    <row r="122" spans="1:4" hidden="1" x14ac:dyDescent="0.25">
      <c r="A122" s="4">
        <v>36938</v>
      </c>
      <c r="B122" s="4" t="s">
        <v>57</v>
      </c>
      <c r="C122" s="34"/>
      <c r="D122" s="34">
        <v>9811.7000000000007</v>
      </c>
    </row>
    <row r="123" spans="1:4" hidden="1" x14ac:dyDescent="0.25">
      <c r="A123" s="4">
        <v>36963</v>
      </c>
      <c r="B123" s="4" t="s">
        <v>51</v>
      </c>
      <c r="C123" s="34">
        <v>86</v>
      </c>
      <c r="D123" s="34"/>
    </row>
    <row r="124" spans="1:4" hidden="1" x14ac:dyDescent="0.25">
      <c r="A124" s="4">
        <v>36978</v>
      </c>
      <c r="B124" s="4" t="s">
        <v>58</v>
      </c>
      <c r="C124" s="34">
        <v>500.11</v>
      </c>
      <c r="D124" s="34"/>
    </row>
    <row r="125" spans="1:4" hidden="1" x14ac:dyDescent="0.25">
      <c r="A125" s="4">
        <v>36991</v>
      </c>
      <c r="B125" s="4" t="s">
        <v>59</v>
      </c>
      <c r="C125" s="34">
        <v>453</v>
      </c>
      <c r="D125" s="34"/>
    </row>
    <row r="126" spans="1:4" hidden="1" x14ac:dyDescent="0.25">
      <c r="A126" s="4">
        <v>37008</v>
      </c>
      <c r="B126" s="4" t="s">
        <v>9</v>
      </c>
      <c r="C126" s="34">
        <v>139.63</v>
      </c>
      <c r="D126" s="34"/>
    </row>
    <row r="127" spans="1:4" hidden="1" x14ac:dyDescent="0.25">
      <c r="A127" s="4">
        <v>37008</v>
      </c>
      <c r="B127" s="4" t="s">
        <v>10</v>
      </c>
      <c r="C127" s="34"/>
      <c r="D127" s="34">
        <v>0.69</v>
      </c>
    </row>
    <row r="128" spans="1:4" hidden="1" x14ac:dyDescent="0.25">
      <c r="A128" s="4">
        <v>37008</v>
      </c>
      <c r="B128" s="4" t="s">
        <v>60</v>
      </c>
      <c r="C128" s="34"/>
      <c r="D128" s="34">
        <v>0.3</v>
      </c>
    </row>
    <row r="129" spans="1:4" hidden="1" x14ac:dyDescent="0.25">
      <c r="A129" s="4">
        <v>37011</v>
      </c>
      <c r="B129" s="4" t="s">
        <v>61</v>
      </c>
      <c r="C129" s="34">
        <v>50</v>
      </c>
      <c r="D129" s="34"/>
    </row>
    <row r="130" spans="1:4" hidden="1" x14ac:dyDescent="0.25">
      <c r="A130" s="4">
        <v>37012</v>
      </c>
      <c r="B130" s="4" t="s">
        <v>62</v>
      </c>
      <c r="C130" s="34"/>
      <c r="D130" s="34">
        <v>485</v>
      </c>
    </row>
    <row r="131" spans="1:4" hidden="1" x14ac:dyDescent="0.25">
      <c r="A131" s="4">
        <v>37014</v>
      </c>
      <c r="B131" s="4" t="s">
        <v>63</v>
      </c>
      <c r="C131" s="34"/>
      <c r="D131" s="34">
        <v>330</v>
      </c>
    </row>
    <row r="132" spans="1:4" hidden="1" x14ac:dyDescent="0.25">
      <c r="A132" s="4">
        <v>37019</v>
      </c>
      <c r="B132" s="4" t="s">
        <v>50</v>
      </c>
      <c r="C132" s="34">
        <v>160</v>
      </c>
      <c r="D132" s="34"/>
    </row>
    <row r="133" spans="1:4" hidden="1" x14ac:dyDescent="0.25">
      <c r="A133" s="4">
        <v>37027</v>
      </c>
      <c r="B133" s="4" t="s">
        <v>63</v>
      </c>
      <c r="C133" s="34">
        <v>3</v>
      </c>
      <c r="D133" s="34"/>
    </row>
    <row r="134" spans="1:4" hidden="1" x14ac:dyDescent="0.25">
      <c r="A134" s="4">
        <v>37042</v>
      </c>
      <c r="B134" s="4" t="s">
        <v>64</v>
      </c>
      <c r="C134" s="34">
        <v>5000</v>
      </c>
      <c r="D134" s="34"/>
    </row>
    <row r="135" spans="1:4" hidden="1" x14ac:dyDescent="0.25">
      <c r="A135" s="4">
        <v>37046</v>
      </c>
      <c r="B135" s="4" t="s">
        <v>65</v>
      </c>
      <c r="C135" s="34"/>
      <c r="D135" s="34">
        <v>1427.51</v>
      </c>
    </row>
    <row r="136" spans="1:4" hidden="1" x14ac:dyDescent="0.25">
      <c r="A136" s="4">
        <v>37071</v>
      </c>
      <c r="B136" s="4" t="s">
        <v>49</v>
      </c>
      <c r="C136" s="34">
        <v>5369.11</v>
      </c>
      <c r="D136" s="34"/>
    </row>
    <row r="137" spans="1:4" hidden="1" x14ac:dyDescent="0.25">
      <c r="A137" s="4">
        <v>37071</v>
      </c>
      <c r="B137" s="4" t="s">
        <v>66</v>
      </c>
      <c r="C137" s="34">
        <v>15.75</v>
      </c>
      <c r="D137" s="34"/>
    </row>
    <row r="138" spans="1:4" hidden="1" x14ac:dyDescent="0.25">
      <c r="A138" s="4">
        <v>37072</v>
      </c>
      <c r="B138" t="s">
        <v>14</v>
      </c>
      <c r="C138" s="36">
        <f>SUM(C99:C137)</f>
        <v>47069.149999999994</v>
      </c>
      <c r="D138" s="36">
        <f>SUM(D99:D137)</f>
        <v>30368.679999999997</v>
      </c>
    </row>
    <row r="139" spans="1:4" hidden="1" x14ac:dyDescent="0.25">
      <c r="A139" s="4"/>
      <c r="B139" s="4" t="s">
        <v>15</v>
      </c>
      <c r="C139" s="34">
        <f>IF(C138&gt;D138,C138-D138," ")</f>
        <v>16700.469999999998</v>
      </c>
      <c r="D139" s="34"/>
    </row>
    <row r="140" spans="1:4" s="25" customFormat="1" hidden="1" x14ac:dyDescent="0.25">
      <c r="A140" s="24">
        <v>37073</v>
      </c>
      <c r="B140" s="4" t="s">
        <v>10</v>
      </c>
      <c r="C140" s="37"/>
      <c r="D140" s="37">
        <v>6.44</v>
      </c>
    </row>
    <row r="141" spans="1:4" s="25" customFormat="1" hidden="1" x14ac:dyDescent="0.25">
      <c r="A141" s="24">
        <v>37081</v>
      </c>
      <c r="B141" s="4" t="s">
        <v>53</v>
      </c>
      <c r="C141" s="37">
        <v>639.94000000000005</v>
      </c>
      <c r="D141" s="37"/>
    </row>
    <row r="142" spans="1:4" s="25" customFormat="1" hidden="1" x14ac:dyDescent="0.25">
      <c r="A142" s="24">
        <v>37099</v>
      </c>
      <c r="B142" s="24" t="s">
        <v>9</v>
      </c>
      <c r="C142" s="37">
        <v>114.94</v>
      </c>
      <c r="D142" s="37"/>
    </row>
    <row r="143" spans="1:4" s="25" customFormat="1" hidden="1" x14ac:dyDescent="0.25">
      <c r="A143" s="24">
        <v>37099</v>
      </c>
      <c r="B143" s="4" t="s">
        <v>60</v>
      </c>
      <c r="C143" s="37"/>
      <c r="D143" s="37">
        <v>2.9</v>
      </c>
    </row>
    <row r="144" spans="1:4" s="25" customFormat="1" hidden="1" x14ac:dyDescent="0.25">
      <c r="A144" s="24">
        <v>37158</v>
      </c>
      <c r="B144" s="24" t="s">
        <v>165</v>
      </c>
      <c r="C144" s="37"/>
      <c r="D144" s="37">
        <v>2122</v>
      </c>
    </row>
    <row r="145" spans="1:4" s="25" customFormat="1" hidden="1" x14ac:dyDescent="0.25">
      <c r="A145" s="24">
        <v>37158</v>
      </c>
      <c r="B145" s="24" t="s">
        <v>167</v>
      </c>
      <c r="C145" s="37">
        <v>144.75</v>
      </c>
      <c r="D145" s="37"/>
    </row>
    <row r="146" spans="1:4" s="25" customFormat="1" hidden="1" x14ac:dyDescent="0.25">
      <c r="A146" s="24">
        <v>37159</v>
      </c>
      <c r="B146" s="24" t="s">
        <v>166</v>
      </c>
      <c r="C146" s="37"/>
      <c r="D146" s="37">
        <v>7472.7</v>
      </c>
    </row>
    <row r="147" spans="1:4" s="25" customFormat="1" hidden="1" x14ac:dyDescent="0.25">
      <c r="A147" s="24">
        <v>37188</v>
      </c>
      <c r="B147" s="24" t="s">
        <v>168</v>
      </c>
      <c r="C147" s="37">
        <v>175</v>
      </c>
      <c r="D147" s="37"/>
    </row>
    <row r="148" spans="1:4" s="25" customFormat="1" hidden="1" x14ac:dyDescent="0.25">
      <c r="A148" s="24">
        <v>37190</v>
      </c>
      <c r="B148" s="24" t="s">
        <v>9</v>
      </c>
      <c r="C148" s="37">
        <v>130.79</v>
      </c>
      <c r="D148" s="37"/>
    </row>
    <row r="149" spans="1:4" s="25" customFormat="1" hidden="1" x14ac:dyDescent="0.25">
      <c r="A149" s="24">
        <v>37190</v>
      </c>
      <c r="B149" s="24" t="s">
        <v>60</v>
      </c>
      <c r="C149" s="37"/>
      <c r="D149" s="37">
        <v>4.5</v>
      </c>
    </row>
    <row r="150" spans="1:4" s="25" customFormat="1" hidden="1" x14ac:dyDescent="0.25">
      <c r="A150" s="24">
        <v>37197</v>
      </c>
      <c r="B150" s="24" t="s">
        <v>50</v>
      </c>
      <c r="C150" s="37">
        <v>220</v>
      </c>
      <c r="D150" s="37"/>
    </row>
    <row r="151" spans="1:4" s="25" customFormat="1" hidden="1" x14ac:dyDescent="0.25">
      <c r="A151" s="24">
        <v>37211</v>
      </c>
      <c r="B151" s="24" t="s">
        <v>62</v>
      </c>
      <c r="C151" s="37"/>
      <c r="D151" s="37">
        <v>495</v>
      </c>
    </row>
    <row r="152" spans="1:4" s="23" customFormat="1" hidden="1" x14ac:dyDescent="0.25">
      <c r="A152" s="24">
        <v>37237</v>
      </c>
      <c r="B152" s="24" t="s">
        <v>169</v>
      </c>
      <c r="C152" s="37">
        <v>2006.07</v>
      </c>
      <c r="D152" s="37"/>
    </row>
    <row r="153" spans="1:4" s="23" customFormat="1" hidden="1" x14ac:dyDescent="0.25">
      <c r="A153" s="24">
        <v>36914</v>
      </c>
      <c r="B153" s="24" t="s">
        <v>53</v>
      </c>
      <c r="C153" s="37">
        <v>365.68</v>
      </c>
      <c r="D153" s="37"/>
    </row>
    <row r="154" spans="1:4" s="23" customFormat="1" hidden="1" x14ac:dyDescent="0.25">
      <c r="A154" s="24">
        <v>36916</v>
      </c>
      <c r="B154" s="24" t="s">
        <v>9</v>
      </c>
      <c r="C154" s="37">
        <v>75.930000000000007</v>
      </c>
      <c r="D154" s="37"/>
    </row>
    <row r="155" spans="1:4" s="23" customFormat="1" hidden="1" x14ac:dyDescent="0.25">
      <c r="A155" s="24">
        <v>36916</v>
      </c>
      <c r="B155" s="24" t="s">
        <v>10</v>
      </c>
      <c r="C155" s="37"/>
      <c r="D155" s="37">
        <v>0.7</v>
      </c>
    </row>
    <row r="156" spans="1:4" s="23" customFormat="1" hidden="1" x14ac:dyDescent="0.25">
      <c r="A156" s="24">
        <v>36921</v>
      </c>
      <c r="B156" s="24" t="s">
        <v>171</v>
      </c>
      <c r="C156" s="37"/>
      <c r="D156" s="37">
        <v>45</v>
      </c>
    </row>
    <row r="157" spans="1:4" s="23" customFormat="1" hidden="1" x14ac:dyDescent="0.25">
      <c r="A157" s="24">
        <v>37320</v>
      </c>
      <c r="B157" s="24" t="s">
        <v>173</v>
      </c>
      <c r="C157" s="37"/>
      <c r="D157" s="37">
        <v>244</v>
      </c>
    </row>
    <row r="158" spans="1:4" s="23" customFormat="1" hidden="1" x14ac:dyDescent="0.25">
      <c r="A158" s="24">
        <v>37340</v>
      </c>
      <c r="B158" s="24" t="s">
        <v>172</v>
      </c>
      <c r="C158" s="37">
        <v>392</v>
      </c>
      <c r="D158" s="37"/>
    </row>
    <row r="159" spans="1:4" s="23" customFormat="1" hidden="1" x14ac:dyDescent="0.25">
      <c r="A159" s="24">
        <v>37368</v>
      </c>
      <c r="B159" s="24" t="s">
        <v>61</v>
      </c>
      <c r="C159" s="37">
        <v>50</v>
      </c>
      <c r="D159" s="37"/>
    </row>
    <row r="160" spans="1:4" s="23" customFormat="1" hidden="1" x14ac:dyDescent="0.25">
      <c r="A160" s="24">
        <v>37372</v>
      </c>
      <c r="B160" s="24" t="s">
        <v>173</v>
      </c>
      <c r="C160" s="37"/>
      <c r="D160" s="37">
        <v>110</v>
      </c>
    </row>
    <row r="161" spans="1:4" s="23" customFormat="1" hidden="1" x14ac:dyDescent="0.25">
      <c r="A161" s="24">
        <v>37372</v>
      </c>
      <c r="B161" s="24" t="s">
        <v>9</v>
      </c>
      <c r="C161" s="37">
        <v>82.47</v>
      </c>
      <c r="D161" s="37"/>
    </row>
    <row r="162" spans="1:4" s="23" customFormat="1" hidden="1" x14ac:dyDescent="0.25">
      <c r="A162" s="24">
        <v>37372</v>
      </c>
      <c r="B162" s="24" t="s">
        <v>10</v>
      </c>
      <c r="C162" s="37"/>
      <c r="D162" s="37">
        <v>1.7</v>
      </c>
    </row>
    <row r="163" spans="1:4" s="23" customFormat="1" hidden="1" x14ac:dyDescent="0.25">
      <c r="A163" s="24">
        <v>37375</v>
      </c>
      <c r="B163" s="24" t="s">
        <v>166</v>
      </c>
      <c r="C163" s="37"/>
      <c r="D163" s="37">
        <v>3648</v>
      </c>
    </row>
    <row r="164" spans="1:4" s="25" customFormat="1" hidden="1" x14ac:dyDescent="0.25">
      <c r="A164" s="24">
        <v>37411</v>
      </c>
      <c r="B164" s="24" t="s">
        <v>65</v>
      </c>
      <c r="C164" s="37"/>
      <c r="D164" s="37">
        <v>1576.53</v>
      </c>
    </row>
    <row r="165" spans="1:4" s="25" customFormat="1" hidden="1" x14ac:dyDescent="0.25">
      <c r="A165" s="24">
        <v>37411</v>
      </c>
      <c r="B165" s="24" t="s">
        <v>174</v>
      </c>
      <c r="C165" s="37">
        <v>220</v>
      </c>
      <c r="D165" s="37"/>
    </row>
    <row r="166" spans="1:4" s="25" customFormat="1" hidden="1" x14ac:dyDescent="0.25">
      <c r="A166" s="24">
        <v>37432</v>
      </c>
      <c r="B166" s="24" t="s">
        <v>175</v>
      </c>
      <c r="C166" s="37">
        <v>7390.34</v>
      </c>
      <c r="D166" s="37"/>
    </row>
    <row r="167" spans="1:4" s="25" customFormat="1" hidden="1" x14ac:dyDescent="0.25">
      <c r="A167" s="4">
        <v>37437</v>
      </c>
      <c r="B167" t="s">
        <v>14</v>
      </c>
      <c r="C167" s="36">
        <f>SUM(C139:C166)</f>
        <v>28708.379999999997</v>
      </c>
      <c r="D167" s="36">
        <f>SUM(D139:D166)</f>
        <v>15729.470000000003</v>
      </c>
    </row>
    <row r="168" spans="1:4" s="25" customFormat="1" hidden="1" x14ac:dyDescent="0.25">
      <c r="A168" s="4"/>
      <c r="B168" s="4" t="s">
        <v>15</v>
      </c>
      <c r="C168" s="34">
        <f>IF(C167&gt;D167,C167-D167," ")</f>
        <v>12978.909999999994</v>
      </c>
      <c r="D168" s="34"/>
    </row>
    <row r="169" spans="1:4" s="25" customFormat="1" hidden="1" x14ac:dyDescent="0.25">
      <c r="A169" s="4">
        <v>37449</v>
      </c>
      <c r="B169" s="4" t="s">
        <v>180</v>
      </c>
      <c r="C169" s="34">
        <v>639.94000000000005</v>
      </c>
      <c r="D169" s="34"/>
    </row>
    <row r="170" spans="1:4" s="25" customFormat="1" hidden="1" x14ac:dyDescent="0.25">
      <c r="A170" s="4">
        <v>37463</v>
      </c>
      <c r="B170" s="24" t="s">
        <v>9</v>
      </c>
      <c r="C170" s="34">
        <v>79.88</v>
      </c>
      <c r="D170" s="34"/>
    </row>
    <row r="171" spans="1:4" s="25" customFormat="1" hidden="1" x14ac:dyDescent="0.25">
      <c r="A171" s="4">
        <v>37463</v>
      </c>
      <c r="B171" s="4" t="s">
        <v>60</v>
      </c>
      <c r="C171" s="34"/>
      <c r="D171" s="34">
        <v>3</v>
      </c>
    </row>
    <row r="172" spans="1:4" s="25" customFormat="1" hidden="1" x14ac:dyDescent="0.25">
      <c r="A172" s="4">
        <v>37523</v>
      </c>
      <c r="B172" s="4" t="s">
        <v>167</v>
      </c>
      <c r="C172" s="34">
        <v>154.5</v>
      </c>
      <c r="D172" s="34"/>
    </row>
    <row r="173" spans="1:4" s="25" customFormat="1" hidden="1" x14ac:dyDescent="0.25">
      <c r="A173" s="4">
        <v>37554</v>
      </c>
      <c r="B173" s="24" t="s">
        <v>9</v>
      </c>
      <c r="C173" s="34">
        <v>126.83</v>
      </c>
      <c r="D173" s="34"/>
    </row>
    <row r="174" spans="1:4" s="25" customFormat="1" hidden="1" x14ac:dyDescent="0.25">
      <c r="A174" s="4">
        <v>37559</v>
      </c>
      <c r="B174" s="4" t="s">
        <v>181</v>
      </c>
      <c r="C174" s="34">
        <v>562.4</v>
      </c>
      <c r="D174" s="34"/>
    </row>
    <row r="175" spans="1:4" s="25" customFormat="1" hidden="1" x14ac:dyDescent="0.25">
      <c r="A175" s="4">
        <v>37593</v>
      </c>
      <c r="B175" s="4" t="s">
        <v>61</v>
      </c>
      <c r="C175" s="34">
        <v>155</v>
      </c>
      <c r="D175" s="34"/>
    </row>
    <row r="176" spans="1:4" s="25" customFormat="1" hidden="1" x14ac:dyDescent="0.25">
      <c r="A176" s="4">
        <v>37627</v>
      </c>
      <c r="B176" s="4" t="s">
        <v>180</v>
      </c>
      <c r="C176" s="34">
        <v>502.81</v>
      </c>
      <c r="D176" s="34"/>
    </row>
    <row r="177" spans="1:4" s="25" customFormat="1" hidden="1" x14ac:dyDescent="0.25">
      <c r="A177" s="4">
        <v>37629</v>
      </c>
      <c r="B177" s="4" t="s">
        <v>182</v>
      </c>
      <c r="C177" s="34"/>
      <c r="D177" s="34">
        <v>200</v>
      </c>
    </row>
    <row r="178" spans="1:4" s="25" customFormat="1" hidden="1" x14ac:dyDescent="0.25">
      <c r="A178" s="4">
        <v>37631</v>
      </c>
      <c r="B178" s="4" t="s">
        <v>183</v>
      </c>
      <c r="C178" s="34">
        <v>13221.57</v>
      </c>
      <c r="D178" s="34"/>
    </row>
    <row r="179" spans="1:4" s="25" customFormat="1" hidden="1" x14ac:dyDescent="0.25">
      <c r="A179" s="4">
        <v>37645</v>
      </c>
      <c r="B179" s="24" t="s">
        <v>9</v>
      </c>
      <c r="C179" s="34">
        <v>160.84</v>
      </c>
      <c r="D179" s="34"/>
    </row>
    <row r="180" spans="1:4" s="25" customFormat="1" hidden="1" x14ac:dyDescent="0.25">
      <c r="A180" s="4">
        <v>37645</v>
      </c>
      <c r="B180" s="4" t="s">
        <v>60</v>
      </c>
      <c r="C180" s="34"/>
      <c r="D180" s="34">
        <v>0.7</v>
      </c>
    </row>
    <row r="181" spans="1:4" s="25" customFormat="1" hidden="1" x14ac:dyDescent="0.25">
      <c r="A181" s="4">
        <v>37697</v>
      </c>
      <c r="B181" s="4" t="s">
        <v>168</v>
      </c>
      <c r="C181" s="34">
        <v>125</v>
      </c>
      <c r="D181" s="34"/>
    </row>
    <row r="182" spans="1:4" s="25" customFormat="1" hidden="1" x14ac:dyDescent="0.25">
      <c r="A182" s="4">
        <v>37699</v>
      </c>
      <c r="B182" s="4" t="s">
        <v>184</v>
      </c>
      <c r="C182" s="34">
        <v>63</v>
      </c>
      <c r="D182" s="34"/>
    </row>
    <row r="183" spans="1:4" s="25" customFormat="1" hidden="1" x14ac:dyDescent="0.25">
      <c r="A183" s="4">
        <v>37722</v>
      </c>
      <c r="B183" s="4" t="s">
        <v>185</v>
      </c>
      <c r="C183" s="34">
        <v>205</v>
      </c>
      <c r="D183" s="34"/>
    </row>
    <row r="184" spans="1:4" s="25" customFormat="1" hidden="1" x14ac:dyDescent="0.25">
      <c r="A184" s="4">
        <v>37725</v>
      </c>
      <c r="B184" s="4" t="s">
        <v>186</v>
      </c>
      <c r="C184" s="34"/>
      <c r="D184" s="34">
        <v>550</v>
      </c>
    </row>
    <row r="185" spans="1:4" s="25" customFormat="1" hidden="1" x14ac:dyDescent="0.25">
      <c r="A185" s="4">
        <v>37725</v>
      </c>
      <c r="B185" s="4" t="s">
        <v>61</v>
      </c>
      <c r="C185" s="34">
        <v>80</v>
      </c>
      <c r="D185" s="34"/>
    </row>
    <row r="186" spans="1:4" s="25" customFormat="1" hidden="1" x14ac:dyDescent="0.25">
      <c r="A186" s="4">
        <v>37727</v>
      </c>
      <c r="B186" s="4" t="s">
        <v>171</v>
      </c>
      <c r="C186" s="34"/>
      <c r="D186" s="34">
        <v>45</v>
      </c>
    </row>
    <row r="187" spans="1:4" s="25" customFormat="1" hidden="1" x14ac:dyDescent="0.25">
      <c r="A187" s="4">
        <v>37735</v>
      </c>
      <c r="B187" s="4" t="s">
        <v>9</v>
      </c>
      <c r="C187" s="34">
        <v>254.56</v>
      </c>
      <c r="D187" s="34"/>
    </row>
    <row r="188" spans="1:4" s="25" customFormat="1" hidden="1" x14ac:dyDescent="0.25">
      <c r="A188" s="4">
        <v>37735</v>
      </c>
      <c r="B188" s="4" t="s">
        <v>60</v>
      </c>
      <c r="C188" s="34"/>
      <c r="D188" s="34">
        <v>1.8</v>
      </c>
    </row>
    <row r="189" spans="1:4" s="25" customFormat="1" hidden="1" x14ac:dyDescent="0.25">
      <c r="A189" s="4">
        <v>37740</v>
      </c>
      <c r="B189" s="4" t="s">
        <v>187</v>
      </c>
      <c r="C189" s="34">
        <v>915.12</v>
      </c>
      <c r="D189" s="34"/>
    </row>
    <row r="190" spans="1:4" s="25" customFormat="1" hidden="1" x14ac:dyDescent="0.25">
      <c r="A190" s="4">
        <v>37754</v>
      </c>
      <c r="B190" s="4" t="s">
        <v>174</v>
      </c>
      <c r="C190" s="34">
        <v>300</v>
      </c>
      <c r="D190" s="34"/>
    </row>
    <row r="191" spans="1:4" s="25" customFormat="1" hidden="1" x14ac:dyDescent="0.25">
      <c r="A191" s="4">
        <v>37783</v>
      </c>
      <c r="B191" s="4" t="s">
        <v>188</v>
      </c>
      <c r="C191" s="37"/>
      <c r="D191" s="34">
        <v>1653.07</v>
      </c>
    </row>
    <row r="192" spans="1:4" s="25" customFormat="1" hidden="1" x14ac:dyDescent="0.25">
      <c r="A192" s="4">
        <v>37789</v>
      </c>
      <c r="B192" s="24" t="s">
        <v>175</v>
      </c>
      <c r="C192" s="34">
        <v>8321.6</v>
      </c>
      <c r="D192" s="34"/>
    </row>
    <row r="193" spans="1:4" s="25" customFormat="1" hidden="1" x14ac:dyDescent="0.25">
      <c r="A193" s="4"/>
      <c r="B193" s="4"/>
      <c r="C193" s="34"/>
      <c r="D193" s="34"/>
    </row>
    <row r="194" spans="1:4" s="25" customFormat="1" hidden="1" x14ac:dyDescent="0.25">
      <c r="A194" s="4"/>
      <c r="B194" s="4"/>
      <c r="C194" s="34"/>
      <c r="D194" s="34"/>
    </row>
    <row r="195" spans="1:4" s="25" customFormat="1" hidden="1" x14ac:dyDescent="0.25">
      <c r="A195" s="4">
        <v>38168</v>
      </c>
      <c r="B195" t="s">
        <v>14</v>
      </c>
      <c r="C195" s="36">
        <f>SUM(C168:C194)</f>
        <v>38846.959999999992</v>
      </c>
      <c r="D195" s="36">
        <f>SUM(D168:D194)</f>
        <v>2453.5699999999997</v>
      </c>
    </row>
    <row r="196" spans="1:4" s="25" customFormat="1" hidden="1" x14ac:dyDescent="0.25">
      <c r="A196" s="4"/>
      <c r="B196" s="4" t="s">
        <v>15</v>
      </c>
      <c r="C196" s="34">
        <f>IF(C195&gt;D195,C195-D195," ")</f>
        <v>36393.389999999992</v>
      </c>
      <c r="D196" s="34" t="str">
        <f>IF(D195&gt;C195,D195-C195," ")</f>
        <v xml:space="preserve"> </v>
      </c>
    </row>
    <row r="197" spans="1:4" s="25" customFormat="1" hidden="1" x14ac:dyDescent="0.25">
      <c r="A197" s="4">
        <v>37810</v>
      </c>
      <c r="B197" s="4" t="s">
        <v>180</v>
      </c>
      <c r="C197" s="34">
        <v>639.94000000000005</v>
      </c>
      <c r="D197" s="34"/>
    </row>
    <row r="198" spans="1:4" s="25" customFormat="1" hidden="1" x14ac:dyDescent="0.25">
      <c r="A198" s="4">
        <v>37811</v>
      </c>
      <c r="B198" s="4" t="s">
        <v>193</v>
      </c>
      <c r="C198" s="34"/>
      <c r="D198" s="34">
        <v>10000</v>
      </c>
    </row>
    <row r="199" spans="1:4" s="25" customFormat="1" hidden="1" x14ac:dyDescent="0.25">
      <c r="A199" s="4">
        <v>37824</v>
      </c>
      <c r="B199" s="4" t="s">
        <v>194</v>
      </c>
      <c r="C199" s="34">
        <v>654.89</v>
      </c>
      <c r="D199" s="34"/>
    </row>
    <row r="200" spans="1:4" s="25" customFormat="1" hidden="1" x14ac:dyDescent="0.25">
      <c r="A200" s="4">
        <v>37827</v>
      </c>
      <c r="B200" s="24" t="s">
        <v>9</v>
      </c>
      <c r="C200" s="34">
        <v>279.76</v>
      </c>
      <c r="D200" s="34"/>
    </row>
    <row r="201" spans="1:4" s="25" customFormat="1" hidden="1" x14ac:dyDescent="0.25">
      <c r="A201" s="4">
        <v>37827</v>
      </c>
      <c r="B201" s="4" t="s">
        <v>60</v>
      </c>
      <c r="C201" s="34"/>
      <c r="D201" s="34">
        <v>5.5</v>
      </c>
    </row>
    <row r="202" spans="1:4" s="25" customFormat="1" hidden="1" x14ac:dyDescent="0.25">
      <c r="A202" s="4">
        <v>37831</v>
      </c>
      <c r="B202" s="4" t="s">
        <v>195</v>
      </c>
      <c r="C202" s="34">
        <v>10315</v>
      </c>
      <c r="D202" s="34"/>
    </row>
    <row r="203" spans="1:4" s="25" customFormat="1" hidden="1" x14ac:dyDescent="0.25">
      <c r="A203" s="4">
        <v>37833</v>
      </c>
      <c r="B203" s="4" t="s">
        <v>196</v>
      </c>
      <c r="C203" s="34">
        <v>35.020000000000003</v>
      </c>
      <c r="D203" s="34"/>
    </row>
    <row r="204" spans="1:4" s="25" customFormat="1" hidden="1" x14ac:dyDescent="0.25">
      <c r="A204" s="4">
        <v>37904</v>
      </c>
      <c r="B204" s="4" t="s">
        <v>199</v>
      </c>
      <c r="C204" s="34">
        <v>286.5</v>
      </c>
      <c r="D204" s="34"/>
    </row>
    <row r="205" spans="1:4" s="25" customFormat="1" hidden="1" x14ac:dyDescent="0.25">
      <c r="A205" s="4">
        <v>37918</v>
      </c>
      <c r="B205" s="24" t="s">
        <v>9</v>
      </c>
      <c r="C205" s="34">
        <v>348.37</v>
      </c>
      <c r="D205" s="34"/>
    </row>
    <row r="206" spans="1:4" s="25" customFormat="1" hidden="1" x14ac:dyDescent="0.25">
      <c r="A206" s="4">
        <v>37928</v>
      </c>
      <c r="B206" s="4" t="s">
        <v>174</v>
      </c>
      <c r="C206" s="34">
        <v>240</v>
      </c>
      <c r="D206" s="34"/>
    </row>
    <row r="207" spans="1:4" s="25" customFormat="1" hidden="1" x14ac:dyDescent="0.25">
      <c r="A207" s="4">
        <v>37948</v>
      </c>
      <c r="B207" s="4" t="s">
        <v>200</v>
      </c>
      <c r="C207" s="34">
        <v>355</v>
      </c>
      <c r="D207" s="34"/>
    </row>
    <row r="208" spans="1:4" s="25" customFormat="1" hidden="1" x14ac:dyDescent="0.25">
      <c r="A208" s="4">
        <v>37979</v>
      </c>
      <c r="B208" s="4" t="s">
        <v>187</v>
      </c>
      <c r="C208" s="34">
        <v>10.69</v>
      </c>
      <c r="D208" s="34"/>
    </row>
    <row r="209" spans="1:4" s="25" customFormat="1" hidden="1" x14ac:dyDescent="0.25">
      <c r="A209" s="4">
        <v>37979</v>
      </c>
      <c r="B209" s="4" t="s">
        <v>187</v>
      </c>
      <c r="C209" s="34">
        <v>355</v>
      </c>
      <c r="D209" s="34"/>
    </row>
    <row r="210" spans="1:4" s="25" customFormat="1" hidden="1" x14ac:dyDescent="0.25">
      <c r="A210" s="4">
        <v>38002</v>
      </c>
      <c r="B210" s="4" t="s">
        <v>171</v>
      </c>
      <c r="C210" s="34"/>
      <c r="D210" s="34">
        <v>45</v>
      </c>
    </row>
    <row r="211" spans="1:4" s="25" customFormat="1" hidden="1" x14ac:dyDescent="0.25">
      <c r="A211" s="4">
        <v>38009</v>
      </c>
      <c r="B211" s="24" t="s">
        <v>9</v>
      </c>
      <c r="C211" s="34">
        <v>397.78</v>
      </c>
      <c r="D211" s="34"/>
    </row>
    <row r="212" spans="1:4" s="25" customFormat="1" hidden="1" x14ac:dyDescent="0.25">
      <c r="A212" s="4">
        <v>38009</v>
      </c>
      <c r="B212" s="4" t="s">
        <v>60</v>
      </c>
      <c r="C212" s="34"/>
      <c r="D212" s="34">
        <v>0.3</v>
      </c>
    </row>
    <row r="213" spans="1:4" s="25" customFormat="1" hidden="1" x14ac:dyDescent="0.25">
      <c r="A213" s="4">
        <v>38019</v>
      </c>
      <c r="B213" s="4" t="s">
        <v>180</v>
      </c>
      <c r="C213" s="34">
        <v>502.81</v>
      </c>
      <c r="D213" s="34"/>
    </row>
    <row r="214" spans="1:4" s="25" customFormat="1" hidden="1" x14ac:dyDescent="0.25">
      <c r="A214" s="4">
        <v>38083</v>
      </c>
      <c r="B214" s="4" t="s">
        <v>201</v>
      </c>
      <c r="C214" s="34">
        <v>648.75</v>
      </c>
      <c r="D214" s="34"/>
    </row>
    <row r="215" spans="1:4" s="25" customFormat="1" hidden="1" x14ac:dyDescent="0.25">
      <c r="A215" s="4">
        <v>38090</v>
      </c>
      <c r="B215" s="4" t="s">
        <v>202</v>
      </c>
      <c r="C215" s="34"/>
      <c r="D215" s="34">
        <v>1061.5</v>
      </c>
    </row>
    <row r="216" spans="1:4" s="25" customFormat="1" hidden="1" x14ac:dyDescent="0.25">
      <c r="A216" s="4">
        <v>38097</v>
      </c>
      <c r="B216" s="4" t="s">
        <v>200</v>
      </c>
      <c r="C216" s="34">
        <v>217.5</v>
      </c>
      <c r="D216" s="34"/>
    </row>
    <row r="217" spans="1:4" s="25" customFormat="1" hidden="1" x14ac:dyDescent="0.25">
      <c r="A217" s="4">
        <v>38100</v>
      </c>
      <c r="B217" s="4" t="s">
        <v>9</v>
      </c>
      <c r="C217" s="34">
        <v>436.18</v>
      </c>
      <c r="D217" s="34"/>
    </row>
    <row r="218" spans="1:4" s="25" customFormat="1" hidden="1" x14ac:dyDescent="0.25">
      <c r="A218" s="4">
        <v>38100</v>
      </c>
      <c r="B218" s="4" t="s">
        <v>60</v>
      </c>
      <c r="C218" s="34"/>
      <c r="D218" s="34">
        <v>1.5</v>
      </c>
    </row>
    <row r="219" spans="1:4" s="25" customFormat="1" hidden="1" x14ac:dyDescent="0.25">
      <c r="A219" s="4">
        <v>38110</v>
      </c>
      <c r="B219" s="4" t="s">
        <v>174</v>
      </c>
      <c r="C219" s="34">
        <v>260</v>
      </c>
      <c r="D219" s="34"/>
    </row>
    <row r="220" spans="1:4" s="25" customFormat="1" hidden="1" x14ac:dyDescent="0.25">
      <c r="A220" s="4">
        <v>38126</v>
      </c>
      <c r="B220" s="4" t="s">
        <v>203</v>
      </c>
      <c r="C220" s="34"/>
      <c r="D220" s="34">
        <v>550</v>
      </c>
    </row>
    <row r="221" spans="1:4" s="25" customFormat="1" hidden="1" x14ac:dyDescent="0.25">
      <c r="A221" s="4">
        <v>38138</v>
      </c>
      <c r="B221" s="4" t="s">
        <v>187</v>
      </c>
      <c r="C221" s="34">
        <v>631.47</v>
      </c>
      <c r="D221" s="34"/>
    </row>
    <row r="222" spans="1:4" s="25" customFormat="1" hidden="1" x14ac:dyDescent="0.25">
      <c r="A222" s="4">
        <v>38154</v>
      </c>
      <c r="B222" s="4" t="s">
        <v>204</v>
      </c>
      <c r="C222" s="34"/>
      <c r="D222" s="34">
        <v>1785.25</v>
      </c>
    </row>
    <row r="223" spans="1:4" s="25" customFormat="1" hidden="1" x14ac:dyDescent="0.25">
      <c r="A223" s="4">
        <v>38162</v>
      </c>
      <c r="B223" s="24" t="s">
        <v>175</v>
      </c>
      <c r="C223" s="34">
        <v>5000</v>
      </c>
      <c r="D223" s="34"/>
    </row>
    <row r="224" spans="1:4" s="25" customFormat="1" hidden="1" x14ac:dyDescent="0.25">
      <c r="A224" s="4"/>
      <c r="B224" s="4"/>
      <c r="C224" s="34"/>
      <c r="D224" s="34"/>
    </row>
    <row r="225" spans="1:4" s="25" customFormat="1" hidden="1" x14ac:dyDescent="0.25">
      <c r="A225" s="4"/>
      <c r="B225" s="4"/>
      <c r="C225" s="34"/>
      <c r="D225" s="34"/>
    </row>
    <row r="226" spans="1:4" s="25" customFormat="1" hidden="1" x14ac:dyDescent="0.25">
      <c r="A226" s="4">
        <v>38168</v>
      </c>
      <c r="B226" t="s">
        <v>14</v>
      </c>
      <c r="C226" s="36">
        <f>SUM(C196:C225)</f>
        <v>58008.049999999996</v>
      </c>
      <c r="D226" s="36">
        <f>SUM(D196:D225)</f>
        <v>13449.05</v>
      </c>
    </row>
    <row r="227" spans="1:4" s="25" customFormat="1" hidden="1" x14ac:dyDescent="0.25">
      <c r="A227" s="4"/>
      <c r="B227" s="4" t="s">
        <v>15</v>
      </c>
      <c r="C227" s="34">
        <f>IF(C226&gt;D226,C226-D226," ")</f>
        <v>44559</v>
      </c>
      <c r="D227" s="34" t="str">
        <f>IF(D226&gt;C226,D226-C226," ")</f>
        <v xml:space="preserve"> </v>
      </c>
    </row>
    <row r="228" spans="1:4" s="25" customFormat="1" hidden="1" x14ac:dyDescent="0.25">
      <c r="A228" s="4">
        <v>38175</v>
      </c>
      <c r="B228" s="4" t="s">
        <v>53</v>
      </c>
      <c r="C228" s="34">
        <v>639.94000000000005</v>
      </c>
      <c r="D228" s="34"/>
    </row>
    <row r="229" spans="1:4" s="25" customFormat="1" hidden="1" x14ac:dyDescent="0.25">
      <c r="A229" s="4">
        <v>38175</v>
      </c>
      <c r="B229" s="4" t="s">
        <v>208</v>
      </c>
      <c r="C229" s="34"/>
      <c r="D229" s="34">
        <v>456.5</v>
      </c>
    </row>
    <row r="230" spans="1:4" s="25" customFormat="1" hidden="1" x14ac:dyDescent="0.25">
      <c r="A230" s="4">
        <v>38191</v>
      </c>
      <c r="B230" s="4" t="s">
        <v>9</v>
      </c>
      <c r="C230" s="34">
        <v>459.29</v>
      </c>
      <c r="D230" s="34"/>
    </row>
    <row r="231" spans="1:4" s="25" customFormat="1" hidden="1" x14ac:dyDescent="0.25">
      <c r="A231" s="4">
        <v>38191</v>
      </c>
      <c r="B231" s="4" t="s">
        <v>60</v>
      </c>
      <c r="C231" s="34"/>
      <c r="D231" s="34">
        <v>3.7</v>
      </c>
    </row>
    <row r="232" spans="1:4" s="25" customFormat="1" hidden="1" x14ac:dyDescent="0.25">
      <c r="A232" s="4">
        <v>38251</v>
      </c>
      <c r="B232" s="4" t="s">
        <v>54</v>
      </c>
      <c r="C232" s="34"/>
      <c r="D232" s="34">
        <v>50</v>
      </c>
    </row>
    <row r="233" spans="1:4" s="25" customFormat="1" hidden="1" x14ac:dyDescent="0.25">
      <c r="A233" s="4">
        <v>38252</v>
      </c>
      <c r="B233" s="4" t="s">
        <v>54</v>
      </c>
      <c r="C233" s="34"/>
      <c r="D233" s="34">
        <v>5</v>
      </c>
    </row>
    <row r="234" spans="1:4" s="25" customFormat="1" hidden="1" x14ac:dyDescent="0.25">
      <c r="A234" s="4">
        <v>38260</v>
      </c>
      <c r="B234" s="4" t="s">
        <v>209</v>
      </c>
      <c r="C234" s="34">
        <v>457.71</v>
      </c>
      <c r="D234" s="34"/>
    </row>
    <row r="235" spans="1:4" s="25" customFormat="1" hidden="1" x14ac:dyDescent="0.25">
      <c r="A235" s="4">
        <v>38273</v>
      </c>
      <c r="B235" s="4" t="s">
        <v>54</v>
      </c>
      <c r="C235" s="34"/>
      <c r="D235" s="34">
        <v>20</v>
      </c>
    </row>
    <row r="236" spans="1:4" s="25" customFormat="1" hidden="1" x14ac:dyDescent="0.25">
      <c r="A236" s="4">
        <v>38279</v>
      </c>
      <c r="B236" s="4" t="s">
        <v>210</v>
      </c>
      <c r="C236" s="34">
        <v>316.43</v>
      </c>
      <c r="D236" s="34"/>
    </row>
    <row r="237" spans="1:4" s="25" customFormat="1" hidden="1" x14ac:dyDescent="0.25">
      <c r="A237" s="4">
        <v>38282</v>
      </c>
      <c r="B237" s="4" t="s">
        <v>9</v>
      </c>
      <c r="C237" s="34">
        <v>489.38</v>
      </c>
      <c r="D237" s="34"/>
    </row>
    <row r="238" spans="1:4" s="25" customFormat="1" hidden="1" x14ac:dyDescent="0.25">
      <c r="A238" s="4">
        <v>38282</v>
      </c>
      <c r="B238" s="4" t="s">
        <v>60</v>
      </c>
      <c r="C238" s="34"/>
      <c r="D238" s="34">
        <v>0.6</v>
      </c>
    </row>
    <row r="239" spans="1:4" s="25" customFormat="1" hidden="1" x14ac:dyDescent="0.25">
      <c r="A239" s="4">
        <v>38286</v>
      </c>
      <c r="B239" s="4" t="s">
        <v>211</v>
      </c>
      <c r="C239" s="34">
        <v>275</v>
      </c>
      <c r="D239" s="34"/>
    </row>
    <row r="240" spans="1:4" s="25" customFormat="1" hidden="1" x14ac:dyDescent="0.25">
      <c r="A240" s="4">
        <v>38289</v>
      </c>
      <c r="B240" s="4" t="s">
        <v>50</v>
      </c>
      <c r="C240" s="34">
        <v>260</v>
      </c>
      <c r="D240" s="34"/>
    </row>
    <row r="241" spans="1:4" s="25" customFormat="1" hidden="1" x14ac:dyDescent="0.25">
      <c r="A241" s="4">
        <v>38309</v>
      </c>
      <c r="B241" s="4" t="s">
        <v>52</v>
      </c>
      <c r="C241" s="34">
        <v>155</v>
      </c>
      <c r="D241" s="34"/>
    </row>
    <row r="242" spans="1:4" s="25" customFormat="1" hidden="1" x14ac:dyDescent="0.25">
      <c r="A242" s="4">
        <v>38357</v>
      </c>
      <c r="B242" s="4" t="s">
        <v>171</v>
      </c>
      <c r="C242" s="34"/>
      <c r="D242" s="34">
        <v>45</v>
      </c>
    </row>
    <row r="243" spans="1:4" s="25" customFormat="1" hidden="1" x14ac:dyDescent="0.25">
      <c r="A243" s="4">
        <v>38362</v>
      </c>
      <c r="B243" s="4" t="s">
        <v>53</v>
      </c>
      <c r="C243" s="34">
        <v>502.81</v>
      </c>
      <c r="D243" s="34"/>
    </row>
    <row r="244" spans="1:4" s="25" customFormat="1" hidden="1" x14ac:dyDescent="0.25">
      <c r="A244" s="4">
        <v>38366</v>
      </c>
      <c r="B244" s="4" t="s">
        <v>212</v>
      </c>
      <c r="C244" s="34"/>
      <c r="D244" s="34">
        <v>17245.55</v>
      </c>
    </row>
    <row r="245" spans="1:4" s="25" customFormat="1" hidden="1" x14ac:dyDescent="0.25">
      <c r="A245" s="4">
        <v>38366</v>
      </c>
      <c r="B245" s="4" t="s">
        <v>213</v>
      </c>
      <c r="C245" s="34"/>
      <c r="D245" s="34">
        <v>14581</v>
      </c>
    </row>
    <row r="246" spans="1:4" s="25" customFormat="1" hidden="1" x14ac:dyDescent="0.25">
      <c r="A246" s="4">
        <v>38380</v>
      </c>
      <c r="B246" s="4" t="s">
        <v>9</v>
      </c>
      <c r="C246" s="34">
        <v>486.83</v>
      </c>
      <c r="D246" s="34"/>
    </row>
    <row r="247" spans="1:4" s="25" customFormat="1" hidden="1" x14ac:dyDescent="0.25">
      <c r="A247" s="4">
        <v>38380</v>
      </c>
      <c r="B247" s="4" t="s">
        <v>60</v>
      </c>
      <c r="C247" s="34"/>
      <c r="D247" s="34">
        <v>0.3</v>
      </c>
    </row>
    <row r="248" spans="1:4" s="25" customFormat="1" hidden="1" x14ac:dyDescent="0.25">
      <c r="A248" s="4">
        <v>38384</v>
      </c>
      <c r="B248" s="4" t="s">
        <v>62</v>
      </c>
      <c r="C248" s="34"/>
      <c r="D248" s="34">
        <v>715</v>
      </c>
    </row>
    <row r="249" spans="1:4" s="25" customFormat="1" hidden="1" x14ac:dyDescent="0.25">
      <c r="A249" s="4">
        <v>38411</v>
      </c>
      <c r="B249" s="4" t="s">
        <v>214</v>
      </c>
      <c r="C249" s="34">
        <v>520.29999999999995</v>
      </c>
      <c r="D249" s="34"/>
    </row>
    <row r="250" spans="1:4" s="25" customFormat="1" hidden="1" x14ac:dyDescent="0.25">
      <c r="A250" s="4">
        <v>38414</v>
      </c>
      <c r="B250" s="4" t="s">
        <v>58</v>
      </c>
      <c r="C250" s="34">
        <v>800.92</v>
      </c>
      <c r="D250" s="34"/>
    </row>
    <row r="251" spans="1:4" s="25" customFormat="1" hidden="1" x14ac:dyDescent="0.25">
      <c r="A251" s="4">
        <v>38460</v>
      </c>
      <c r="B251" s="4" t="s">
        <v>215</v>
      </c>
      <c r="C251" s="34">
        <v>1412.96</v>
      </c>
      <c r="D251" s="34"/>
    </row>
    <row r="252" spans="1:4" s="25" customFormat="1" hidden="1" x14ac:dyDescent="0.25">
      <c r="A252" s="4">
        <v>38464</v>
      </c>
      <c r="B252" s="4" t="s">
        <v>9</v>
      </c>
      <c r="C252" s="34">
        <v>170.42</v>
      </c>
      <c r="D252" s="34"/>
    </row>
    <row r="253" spans="1:4" s="25" customFormat="1" hidden="1" x14ac:dyDescent="0.25">
      <c r="A253" s="4">
        <v>38464</v>
      </c>
      <c r="B253" s="4" t="s">
        <v>60</v>
      </c>
      <c r="C253" s="34"/>
      <c r="D253" s="34">
        <v>1.5</v>
      </c>
    </row>
    <row r="254" spans="1:4" s="25" customFormat="1" hidden="1" x14ac:dyDescent="0.25">
      <c r="A254" s="4">
        <v>38471</v>
      </c>
      <c r="B254" s="4" t="s">
        <v>50</v>
      </c>
      <c r="C254" s="34">
        <v>400</v>
      </c>
      <c r="D254" s="34"/>
    </row>
    <row r="255" spans="1:4" s="25" customFormat="1" hidden="1" x14ac:dyDescent="0.25">
      <c r="A255" s="4">
        <v>38482</v>
      </c>
      <c r="B255" s="4" t="s">
        <v>216</v>
      </c>
      <c r="C255" s="34">
        <v>520.5</v>
      </c>
      <c r="D255" s="34"/>
    </row>
    <row r="256" spans="1:4" s="25" customFormat="1" hidden="1" x14ac:dyDescent="0.25">
      <c r="A256" s="4">
        <v>38497</v>
      </c>
      <c r="B256" s="4" t="s">
        <v>217</v>
      </c>
      <c r="C256" s="34"/>
      <c r="D256" s="34">
        <v>1926.12</v>
      </c>
    </row>
    <row r="257" spans="1:4" s="25" customFormat="1" hidden="1" x14ac:dyDescent="0.25">
      <c r="A257" s="4">
        <v>38506</v>
      </c>
      <c r="B257" s="4" t="s">
        <v>218</v>
      </c>
      <c r="C257" s="34"/>
      <c r="D257" s="34">
        <v>2000</v>
      </c>
    </row>
    <row r="258" spans="1:4" s="25" customFormat="1" hidden="1" x14ac:dyDescent="0.25">
      <c r="A258" s="4"/>
      <c r="B258" s="4"/>
      <c r="C258" s="34"/>
      <c r="D258" s="34"/>
    </row>
    <row r="259" spans="1:4" s="25" customFormat="1" hidden="1" x14ac:dyDescent="0.25">
      <c r="A259" s="4">
        <v>38533</v>
      </c>
      <c r="B259" t="s">
        <v>14</v>
      </c>
      <c r="C259" s="36">
        <f>SUM(C227:C258)</f>
        <v>52426.49</v>
      </c>
      <c r="D259" s="36">
        <f>SUM(D227:D258)</f>
        <v>37050.269999999997</v>
      </c>
    </row>
    <row r="260" spans="1:4" s="25" customFormat="1" hidden="1" x14ac:dyDescent="0.25">
      <c r="A260" s="4">
        <v>38534</v>
      </c>
      <c r="B260" s="4" t="s">
        <v>15</v>
      </c>
      <c r="C260" s="34">
        <f>IF(C259&gt;D259,C259-D259," ")</f>
        <v>15376.220000000001</v>
      </c>
      <c r="D260" s="34" t="str">
        <f>IF(D259&gt;C259,D259-C259," ")</f>
        <v xml:space="preserve"> </v>
      </c>
    </row>
    <row r="261" spans="1:4" s="25" customFormat="1" hidden="1" x14ac:dyDescent="0.25">
      <c r="A261" s="4">
        <v>38538</v>
      </c>
      <c r="B261" s="4" t="s">
        <v>221</v>
      </c>
      <c r="C261" s="34">
        <v>212.44</v>
      </c>
      <c r="D261" s="34"/>
    </row>
    <row r="262" spans="1:4" s="25" customFormat="1" hidden="1" x14ac:dyDescent="0.25">
      <c r="A262" s="4">
        <v>38546</v>
      </c>
      <c r="B262" s="4" t="s">
        <v>222</v>
      </c>
      <c r="C262" s="34">
        <v>415</v>
      </c>
      <c r="D262" s="34"/>
    </row>
    <row r="263" spans="1:4" s="25" customFormat="1" hidden="1" x14ac:dyDescent="0.25">
      <c r="A263" s="4">
        <v>38555</v>
      </c>
      <c r="B263" s="4" t="s">
        <v>9</v>
      </c>
      <c r="C263" s="34">
        <v>194.38</v>
      </c>
      <c r="D263" s="34"/>
    </row>
    <row r="264" spans="1:4" s="25" customFormat="1" hidden="1" x14ac:dyDescent="0.25">
      <c r="A264" s="4">
        <v>38555</v>
      </c>
      <c r="B264" s="4" t="s">
        <v>10</v>
      </c>
      <c r="C264" s="34"/>
      <c r="D264" s="34">
        <v>3</v>
      </c>
    </row>
    <row r="265" spans="1:4" s="25" customFormat="1" hidden="1" x14ac:dyDescent="0.25">
      <c r="A265" s="4">
        <v>38566</v>
      </c>
      <c r="B265" s="4" t="s">
        <v>223</v>
      </c>
      <c r="C265" s="34">
        <v>731.36</v>
      </c>
      <c r="D265" s="34"/>
    </row>
    <row r="266" spans="1:4" s="25" customFormat="1" hidden="1" x14ac:dyDescent="0.25">
      <c r="A266" s="4">
        <v>38574</v>
      </c>
      <c r="B266" s="4" t="s">
        <v>224</v>
      </c>
      <c r="C266" s="34"/>
      <c r="D266" s="34">
        <v>465.36</v>
      </c>
    </row>
    <row r="267" spans="1:4" s="25" customFormat="1" hidden="1" x14ac:dyDescent="0.25">
      <c r="A267" s="4">
        <v>38595</v>
      </c>
      <c r="B267" s="4" t="s">
        <v>225</v>
      </c>
      <c r="C267" s="34">
        <v>510.7</v>
      </c>
      <c r="D267" s="34"/>
    </row>
    <row r="268" spans="1:4" s="25" customFormat="1" hidden="1" x14ac:dyDescent="0.25">
      <c r="A268" s="4">
        <v>38603</v>
      </c>
      <c r="B268" s="4" t="s">
        <v>226</v>
      </c>
      <c r="C268" s="34">
        <v>1934</v>
      </c>
      <c r="D268" s="34"/>
    </row>
    <row r="269" spans="1:4" s="25" customFormat="1" hidden="1" x14ac:dyDescent="0.25">
      <c r="A269" s="4">
        <v>38611</v>
      </c>
      <c r="B269" s="4" t="s">
        <v>227</v>
      </c>
      <c r="C269" s="34"/>
      <c r="D269" s="34">
        <v>2000</v>
      </c>
    </row>
    <row r="270" spans="1:4" s="25" customFormat="1" hidden="1" x14ac:dyDescent="0.25">
      <c r="A270" s="4">
        <v>38618</v>
      </c>
      <c r="B270" s="4" t="s">
        <v>228</v>
      </c>
      <c r="C270" s="34">
        <v>333.12</v>
      </c>
      <c r="D270" s="34"/>
    </row>
    <row r="271" spans="1:4" s="25" customFormat="1" hidden="1" x14ac:dyDescent="0.25">
      <c r="A271" s="4">
        <v>38623</v>
      </c>
      <c r="B271" s="4" t="s">
        <v>229</v>
      </c>
      <c r="C271" s="34">
        <v>175</v>
      </c>
      <c r="D271" s="34"/>
    </row>
    <row r="272" spans="1:4" s="25" customFormat="1" hidden="1" x14ac:dyDescent="0.25">
      <c r="A272" s="4">
        <v>38636</v>
      </c>
      <c r="B272" s="4" t="s">
        <v>230</v>
      </c>
      <c r="C272" s="34">
        <v>776.56</v>
      </c>
      <c r="D272" s="34"/>
    </row>
    <row r="273" spans="1:4" s="25" customFormat="1" hidden="1" x14ac:dyDescent="0.25">
      <c r="A273" s="4">
        <v>38636</v>
      </c>
      <c r="B273" s="4" t="s">
        <v>231</v>
      </c>
      <c r="C273" s="34">
        <v>397.51</v>
      </c>
      <c r="D273" s="34"/>
    </row>
    <row r="274" spans="1:4" s="25" customFormat="1" hidden="1" x14ac:dyDescent="0.25">
      <c r="A274" s="4">
        <v>38644</v>
      </c>
      <c r="B274" s="4" t="s">
        <v>232</v>
      </c>
      <c r="C274" s="34">
        <v>400</v>
      </c>
      <c r="D274" s="34"/>
    </row>
    <row r="275" spans="1:4" s="25" customFormat="1" hidden="1" x14ac:dyDescent="0.25">
      <c r="A275" s="4">
        <v>38649</v>
      </c>
      <c r="B275" s="4" t="s">
        <v>236</v>
      </c>
      <c r="C275" s="34">
        <v>18718.650000000001</v>
      </c>
      <c r="D275" s="34"/>
    </row>
    <row r="276" spans="1:4" s="25" customFormat="1" hidden="1" x14ac:dyDescent="0.25">
      <c r="A276" s="4">
        <v>38653</v>
      </c>
      <c r="B276" s="4" t="s">
        <v>9</v>
      </c>
      <c r="C276" s="34">
        <v>228.69</v>
      </c>
      <c r="D276" s="34"/>
    </row>
    <row r="277" spans="1:4" s="25" customFormat="1" hidden="1" x14ac:dyDescent="0.25">
      <c r="A277" s="4">
        <v>38656</v>
      </c>
      <c r="B277" s="4" t="s">
        <v>233</v>
      </c>
      <c r="C277" s="34">
        <v>400</v>
      </c>
      <c r="D277" s="34"/>
    </row>
    <row r="278" spans="1:4" s="25" customFormat="1" hidden="1" x14ac:dyDescent="0.25">
      <c r="A278" s="4">
        <v>38657</v>
      </c>
      <c r="B278" s="4" t="s">
        <v>234</v>
      </c>
      <c r="C278" s="34">
        <v>301.32</v>
      </c>
      <c r="D278" s="34"/>
    </row>
    <row r="279" spans="1:4" s="25" customFormat="1" hidden="1" x14ac:dyDescent="0.25">
      <c r="A279" s="4">
        <v>38658</v>
      </c>
      <c r="B279" s="4" t="s">
        <v>235</v>
      </c>
      <c r="C279" s="34">
        <v>155</v>
      </c>
      <c r="D279" s="34"/>
    </row>
    <row r="280" spans="1:4" s="25" customFormat="1" hidden="1" x14ac:dyDescent="0.25">
      <c r="A280" s="4">
        <v>38705</v>
      </c>
      <c r="B280" s="4" t="s">
        <v>222</v>
      </c>
      <c r="C280" s="34">
        <v>415</v>
      </c>
      <c r="D280" s="34"/>
    </row>
    <row r="281" spans="1:4" s="25" customFormat="1" hidden="1" x14ac:dyDescent="0.25">
      <c r="A281" s="4">
        <v>38708</v>
      </c>
      <c r="B281" s="4" t="s">
        <v>223</v>
      </c>
      <c r="C281" s="34">
        <v>594.23</v>
      </c>
      <c r="D281" s="34"/>
    </row>
    <row r="282" spans="1:4" s="25" customFormat="1" hidden="1" x14ac:dyDescent="0.25">
      <c r="A282" s="4">
        <v>38714</v>
      </c>
      <c r="B282" s="4" t="s">
        <v>230</v>
      </c>
      <c r="C282" s="34">
        <v>851.95</v>
      </c>
      <c r="D282" s="34"/>
    </row>
    <row r="283" spans="1:4" s="25" customFormat="1" hidden="1" x14ac:dyDescent="0.25">
      <c r="A283" s="4">
        <v>38744</v>
      </c>
      <c r="B283" s="4" t="s">
        <v>230</v>
      </c>
      <c r="C283" s="34">
        <v>851.95</v>
      </c>
      <c r="D283" s="34"/>
    </row>
    <row r="284" spans="1:4" s="25" customFormat="1" hidden="1" x14ac:dyDescent="0.25">
      <c r="A284" s="4">
        <v>38744</v>
      </c>
      <c r="B284" s="4" t="s">
        <v>9</v>
      </c>
      <c r="C284" s="34">
        <v>447.35</v>
      </c>
      <c r="D284" s="34"/>
    </row>
    <row r="285" spans="1:4" s="25" customFormat="1" hidden="1" x14ac:dyDescent="0.25">
      <c r="A285" s="4">
        <v>38762</v>
      </c>
      <c r="B285" s="4" t="s">
        <v>230</v>
      </c>
      <c r="C285" s="34">
        <v>851.95</v>
      </c>
      <c r="D285" s="34"/>
    </row>
    <row r="286" spans="1:4" s="25" customFormat="1" hidden="1" x14ac:dyDescent="0.25">
      <c r="A286" s="4">
        <v>38776</v>
      </c>
      <c r="B286" s="4" t="s">
        <v>225</v>
      </c>
      <c r="C286" s="34">
        <v>555</v>
      </c>
      <c r="D286" s="34"/>
    </row>
    <row r="287" spans="1:4" s="25" customFormat="1" hidden="1" x14ac:dyDescent="0.25">
      <c r="A287" s="4">
        <v>38779</v>
      </c>
      <c r="B287" s="4" t="s">
        <v>230</v>
      </c>
      <c r="C287" s="34">
        <v>851.95</v>
      </c>
      <c r="D287" s="34"/>
    </row>
    <row r="288" spans="1:4" s="25" customFormat="1" hidden="1" x14ac:dyDescent="0.25">
      <c r="A288" s="4">
        <v>38786</v>
      </c>
      <c r="B288" s="4" t="s">
        <v>237</v>
      </c>
      <c r="C288" s="34"/>
      <c r="D288" s="34">
        <v>1656.85</v>
      </c>
    </row>
    <row r="289" spans="1:4" s="25" customFormat="1" hidden="1" x14ac:dyDescent="0.25">
      <c r="A289" s="4">
        <v>38798</v>
      </c>
      <c r="B289" s="4" t="s">
        <v>229</v>
      </c>
      <c r="C289" s="34">
        <v>290</v>
      </c>
      <c r="D289" s="34"/>
    </row>
    <row r="290" spans="1:4" s="25" customFormat="1" hidden="1" x14ac:dyDescent="0.25">
      <c r="A290" s="4">
        <v>38799</v>
      </c>
      <c r="B290" s="4" t="s">
        <v>228</v>
      </c>
      <c r="C290" s="34">
        <v>322.70999999999998</v>
      </c>
      <c r="D290" s="34"/>
    </row>
    <row r="291" spans="1:4" s="25" customFormat="1" hidden="1" x14ac:dyDescent="0.25">
      <c r="A291" s="4">
        <v>38800</v>
      </c>
      <c r="B291" s="4" t="s">
        <v>233</v>
      </c>
      <c r="C291" s="34">
        <v>400</v>
      </c>
      <c r="D291" s="34"/>
    </row>
    <row r="292" spans="1:4" s="25" customFormat="1" hidden="1" x14ac:dyDescent="0.25">
      <c r="A292" s="4">
        <v>38805</v>
      </c>
      <c r="B292" s="4" t="s">
        <v>230</v>
      </c>
      <c r="C292" s="34">
        <v>851.95</v>
      </c>
      <c r="D292" s="34"/>
    </row>
    <row r="293" spans="1:4" s="25" customFormat="1" hidden="1" x14ac:dyDescent="0.25">
      <c r="A293" s="4">
        <v>38805</v>
      </c>
      <c r="B293" s="4" t="s">
        <v>238</v>
      </c>
      <c r="C293" s="34"/>
      <c r="D293" s="34">
        <v>45</v>
      </c>
    </row>
    <row r="294" spans="1:4" s="25" customFormat="1" hidden="1" x14ac:dyDescent="0.25">
      <c r="A294" s="4">
        <v>38807</v>
      </c>
      <c r="B294" s="4" t="s">
        <v>239</v>
      </c>
      <c r="C294" s="34">
        <v>45</v>
      </c>
      <c r="D294" s="34"/>
    </row>
    <row r="295" spans="1:4" s="25" customFormat="1" hidden="1" x14ac:dyDescent="0.25">
      <c r="A295" s="4">
        <v>38807</v>
      </c>
      <c r="B295" s="4" t="s">
        <v>240</v>
      </c>
      <c r="C295" s="34"/>
      <c r="D295" s="34">
        <v>715</v>
      </c>
    </row>
    <row r="296" spans="1:4" s="25" customFormat="1" hidden="1" x14ac:dyDescent="0.25">
      <c r="A296" s="4">
        <v>38812</v>
      </c>
      <c r="B296" s="4" t="s">
        <v>241</v>
      </c>
      <c r="C296" s="34">
        <v>239.73</v>
      </c>
      <c r="D296" s="34"/>
    </row>
    <row r="297" spans="1:4" s="25" customFormat="1" hidden="1" x14ac:dyDescent="0.25">
      <c r="A297" s="4">
        <v>38814</v>
      </c>
      <c r="B297" s="4" t="s">
        <v>242</v>
      </c>
      <c r="C297" s="34">
        <v>735.07</v>
      </c>
      <c r="D297" s="34"/>
    </row>
    <row r="298" spans="1:4" s="25" customFormat="1" hidden="1" x14ac:dyDescent="0.25">
      <c r="A298" s="4">
        <v>38828</v>
      </c>
      <c r="B298" s="4" t="s">
        <v>9</v>
      </c>
      <c r="C298" s="34">
        <v>449.73</v>
      </c>
      <c r="D298" s="34"/>
    </row>
    <row r="299" spans="1:4" s="25" customFormat="1" hidden="1" x14ac:dyDescent="0.25">
      <c r="A299" s="4">
        <v>38834</v>
      </c>
      <c r="B299" s="4" t="s">
        <v>243</v>
      </c>
      <c r="C299" s="34">
        <v>490</v>
      </c>
      <c r="D299" s="34"/>
    </row>
    <row r="300" spans="1:4" s="25" customFormat="1" hidden="1" x14ac:dyDescent="0.25">
      <c r="A300" s="4">
        <v>38840</v>
      </c>
      <c r="B300" s="4" t="s">
        <v>230</v>
      </c>
      <c r="C300" s="34">
        <v>851.95</v>
      </c>
      <c r="D300" s="34"/>
    </row>
    <row r="301" spans="1:4" s="25" customFormat="1" hidden="1" x14ac:dyDescent="0.25">
      <c r="A301" s="4">
        <v>38870</v>
      </c>
      <c r="B301" s="4" t="s">
        <v>244</v>
      </c>
      <c r="C301" s="34"/>
      <c r="D301" s="34">
        <v>2513.08</v>
      </c>
    </row>
    <row r="302" spans="1:4" s="25" customFormat="1" hidden="1" x14ac:dyDescent="0.25">
      <c r="A302" s="4">
        <v>38873</v>
      </c>
      <c r="B302" s="4" t="s">
        <v>237</v>
      </c>
      <c r="C302" s="34"/>
      <c r="D302" s="34">
        <v>11.35</v>
      </c>
    </row>
    <row r="303" spans="1:4" s="25" customFormat="1" hidden="1" x14ac:dyDescent="0.25">
      <c r="A303" s="4">
        <v>38884</v>
      </c>
      <c r="B303" s="4" t="s">
        <v>230</v>
      </c>
      <c r="C303" s="34">
        <v>851.95</v>
      </c>
      <c r="D303" s="34"/>
    </row>
    <row r="304" spans="1:4" s="25" customFormat="1" hidden="1" x14ac:dyDescent="0.25">
      <c r="A304" s="4">
        <v>38888</v>
      </c>
      <c r="B304" s="4" t="s">
        <v>230</v>
      </c>
      <c r="C304" s="34">
        <v>851.95</v>
      </c>
      <c r="D304" s="34"/>
    </row>
    <row r="305" spans="1:4" s="25" customFormat="1" hidden="1" x14ac:dyDescent="0.25">
      <c r="A305" s="4">
        <v>38898</v>
      </c>
      <c r="B305" t="s">
        <v>14</v>
      </c>
      <c r="C305" s="36">
        <f>SUM(C260:C304)</f>
        <v>53059.369999999988</v>
      </c>
      <c r="D305" s="36">
        <f>SUM(D260:D304)</f>
        <v>7409.64</v>
      </c>
    </row>
    <row r="306" spans="1:4" s="25" customFormat="1" hidden="1" x14ac:dyDescent="0.25">
      <c r="A306" s="4"/>
      <c r="B306" s="4" t="s">
        <v>15</v>
      </c>
      <c r="C306" s="34">
        <f>IF(C305&gt;D305,C305-D305," ")</f>
        <v>45649.729999999989</v>
      </c>
      <c r="D306" s="34" t="str">
        <f>IF(D305&gt;C305,D305-C305," ")</f>
        <v xml:space="preserve"> </v>
      </c>
    </row>
    <row r="307" spans="1:4" s="25" customFormat="1" hidden="1" x14ac:dyDescent="0.25">
      <c r="A307" s="4">
        <v>38904</v>
      </c>
      <c r="B307" s="4" t="s">
        <v>180</v>
      </c>
      <c r="C307" s="34">
        <v>731.36</v>
      </c>
      <c r="D307" s="34"/>
    </row>
    <row r="308" spans="1:4" s="25" customFormat="1" hidden="1" x14ac:dyDescent="0.25">
      <c r="A308" s="4">
        <v>38905</v>
      </c>
      <c r="B308" s="4" t="s">
        <v>230</v>
      </c>
      <c r="C308" s="34">
        <v>851.95</v>
      </c>
      <c r="D308" s="34"/>
    </row>
    <row r="309" spans="1:4" s="25" customFormat="1" hidden="1" x14ac:dyDescent="0.25">
      <c r="A309" s="4">
        <v>38911</v>
      </c>
      <c r="B309" s="4" t="s">
        <v>253</v>
      </c>
      <c r="C309" s="34">
        <v>415</v>
      </c>
      <c r="D309" s="34"/>
    </row>
    <row r="310" spans="1:4" s="25" customFormat="1" hidden="1" x14ac:dyDescent="0.25">
      <c r="A310" s="4">
        <v>38919</v>
      </c>
      <c r="B310" s="4" t="s">
        <v>254</v>
      </c>
      <c r="C310" s="34">
        <v>3530.8</v>
      </c>
      <c r="D310" s="34"/>
    </row>
    <row r="311" spans="1:4" s="25" customFormat="1" hidden="1" x14ac:dyDescent="0.25">
      <c r="A311" s="4">
        <v>38926</v>
      </c>
      <c r="B311" s="4" t="s">
        <v>9</v>
      </c>
      <c r="C311" s="34">
        <v>589.66</v>
      </c>
      <c r="D311" s="34"/>
    </row>
    <row r="312" spans="1:4" s="25" customFormat="1" hidden="1" x14ac:dyDescent="0.25">
      <c r="A312" s="4">
        <v>38937</v>
      </c>
      <c r="B312" s="4" t="s">
        <v>230</v>
      </c>
      <c r="C312" s="34">
        <v>1003.08</v>
      </c>
      <c r="D312" s="34"/>
    </row>
    <row r="313" spans="1:4" s="25" customFormat="1" hidden="1" x14ac:dyDescent="0.25">
      <c r="A313" s="4">
        <v>38957</v>
      </c>
      <c r="B313" s="4" t="s">
        <v>230</v>
      </c>
      <c r="C313" s="34">
        <v>1047.9000000000001</v>
      </c>
      <c r="D313" s="34"/>
    </row>
    <row r="314" spans="1:4" s="25" customFormat="1" hidden="1" x14ac:dyDescent="0.25">
      <c r="A314" s="4">
        <v>38960</v>
      </c>
      <c r="B314" s="4" t="s">
        <v>255</v>
      </c>
      <c r="C314" s="34">
        <v>545</v>
      </c>
      <c r="D314" s="34"/>
    </row>
    <row r="315" spans="1:4" s="25" customFormat="1" hidden="1" x14ac:dyDescent="0.25">
      <c r="A315" s="4">
        <v>38980</v>
      </c>
      <c r="B315" s="4" t="s">
        <v>185</v>
      </c>
      <c r="C315" s="34">
        <v>245</v>
      </c>
      <c r="D315" s="34"/>
    </row>
    <row r="316" spans="1:4" s="25" customFormat="1" hidden="1" x14ac:dyDescent="0.25">
      <c r="A316" s="4">
        <v>38981</v>
      </c>
      <c r="B316" s="4" t="s">
        <v>174</v>
      </c>
      <c r="C316" s="34">
        <v>280</v>
      </c>
      <c r="D316" s="34"/>
    </row>
    <row r="317" spans="1:4" s="25" customFormat="1" hidden="1" x14ac:dyDescent="0.25">
      <c r="A317" s="4">
        <v>38982</v>
      </c>
      <c r="B317" s="4" t="s">
        <v>256</v>
      </c>
      <c r="C317" s="34">
        <v>10389</v>
      </c>
      <c r="D317" s="34"/>
    </row>
    <row r="318" spans="1:4" s="25" customFormat="1" hidden="1" x14ac:dyDescent="0.25">
      <c r="A318" s="4">
        <v>38982</v>
      </c>
      <c r="B318" s="4" t="s">
        <v>257</v>
      </c>
      <c r="C318" s="34">
        <v>379.96</v>
      </c>
      <c r="D318" s="34"/>
    </row>
    <row r="319" spans="1:4" s="25" customFormat="1" hidden="1" x14ac:dyDescent="0.25">
      <c r="A319" s="4">
        <v>38982</v>
      </c>
      <c r="B319" s="4" t="s">
        <v>258</v>
      </c>
      <c r="C319" s="34"/>
      <c r="D319" s="34">
        <v>17270.66</v>
      </c>
    </row>
    <row r="320" spans="1:4" s="25" customFormat="1" hidden="1" x14ac:dyDescent="0.25">
      <c r="A320" s="4">
        <v>38982</v>
      </c>
      <c r="B320" s="4" t="s">
        <v>259</v>
      </c>
      <c r="C320" s="34"/>
      <c r="D320" s="34">
        <v>8858.85</v>
      </c>
    </row>
    <row r="321" spans="1:4" s="25" customFormat="1" hidden="1" x14ac:dyDescent="0.25">
      <c r="A321" s="4">
        <v>38985</v>
      </c>
      <c r="B321" s="4" t="s">
        <v>230</v>
      </c>
      <c r="C321" s="34">
        <v>1047.9000000000001</v>
      </c>
      <c r="D321" s="34"/>
    </row>
    <row r="322" spans="1:4" s="25" customFormat="1" hidden="1" x14ac:dyDescent="0.25">
      <c r="A322" s="4">
        <v>38989</v>
      </c>
      <c r="B322" s="4" t="s">
        <v>184</v>
      </c>
      <c r="C322" s="34">
        <v>77.5</v>
      </c>
      <c r="D322" s="34"/>
    </row>
    <row r="323" spans="1:4" s="25" customFormat="1" hidden="1" x14ac:dyDescent="0.25">
      <c r="A323" s="4">
        <v>38996</v>
      </c>
      <c r="B323" s="4" t="s">
        <v>260</v>
      </c>
      <c r="C323" s="34">
        <v>240.37</v>
      </c>
      <c r="D323" s="34"/>
    </row>
    <row r="324" spans="1:4" s="25" customFormat="1" hidden="1" x14ac:dyDescent="0.25">
      <c r="A324" s="4">
        <v>39007</v>
      </c>
      <c r="B324" s="4" t="s">
        <v>261</v>
      </c>
      <c r="C324" s="34">
        <v>910.78</v>
      </c>
      <c r="D324" s="34"/>
    </row>
    <row r="325" spans="1:4" s="25" customFormat="1" hidden="1" x14ac:dyDescent="0.25">
      <c r="A325" s="4">
        <v>39013</v>
      </c>
      <c r="B325" s="4" t="s">
        <v>257</v>
      </c>
      <c r="C325" s="34">
        <v>265.45</v>
      </c>
      <c r="D325" s="34"/>
    </row>
    <row r="326" spans="1:4" s="25" customFormat="1" hidden="1" x14ac:dyDescent="0.25">
      <c r="A326" s="4">
        <v>39017</v>
      </c>
      <c r="B326" s="4" t="s">
        <v>9</v>
      </c>
      <c r="C326" s="34">
        <v>597</v>
      </c>
      <c r="D326" s="34"/>
    </row>
    <row r="327" spans="1:4" s="25" customFormat="1" hidden="1" x14ac:dyDescent="0.25">
      <c r="A327" s="4">
        <v>39017</v>
      </c>
      <c r="B327" s="4" t="s">
        <v>262</v>
      </c>
      <c r="C327" s="34"/>
      <c r="D327" s="34">
        <v>6000</v>
      </c>
    </row>
    <row r="328" spans="1:4" s="25" customFormat="1" hidden="1" x14ac:dyDescent="0.25">
      <c r="A328" s="4">
        <v>39020</v>
      </c>
      <c r="B328" s="4" t="s">
        <v>184</v>
      </c>
      <c r="C328" s="34">
        <v>170.82</v>
      </c>
      <c r="D328" s="34"/>
    </row>
    <row r="329" spans="1:4" s="25" customFormat="1" hidden="1" x14ac:dyDescent="0.25">
      <c r="A329" s="4">
        <v>39021</v>
      </c>
      <c r="B329" s="4" t="s">
        <v>61</v>
      </c>
      <c r="C329" s="34">
        <v>155</v>
      </c>
      <c r="D329" s="34"/>
    </row>
    <row r="330" spans="1:4" s="25" customFormat="1" hidden="1" x14ac:dyDescent="0.25">
      <c r="A330" s="4">
        <v>39021</v>
      </c>
      <c r="B330" s="4" t="s">
        <v>230</v>
      </c>
      <c r="C330" s="34">
        <v>1047.9000000000001</v>
      </c>
      <c r="D330" s="34"/>
    </row>
    <row r="331" spans="1:4" s="25" customFormat="1" hidden="1" x14ac:dyDescent="0.25">
      <c r="A331" s="4">
        <v>39045</v>
      </c>
      <c r="B331" s="4" t="s">
        <v>230</v>
      </c>
      <c r="C331" s="34">
        <v>1047.9000000000001</v>
      </c>
      <c r="D331" s="34"/>
    </row>
    <row r="332" spans="1:4" s="25" customFormat="1" hidden="1" x14ac:dyDescent="0.25">
      <c r="A332" s="4">
        <v>39063</v>
      </c>
      <c r="B332" s="4" t="s">
        <v>253</v>
      </c>
      <c r="C332" s="34">
        <v>420</v>
      </c>
      <c r="D332" s="34"/>
    </row>
    <row r="333" spans="1:4" s="25" customFormat="1" hidden="1" x14ac:dyDescent="0.25">
      <c r="A333" s="4">
        <v>39065</v>
      </c>
      <c r="B333" s="4" t="s">
        <v>263</v>
      </c>
      <c r="C333" s="34"/>
      <c r="D333" s="34">
        <v>770</v>
      </c>
    </row>
    <row r="334" spans="1:4" s="25" customFormat="1" hidden="1" x14ac:dyDescent="0.25">
      <c r="A334" s="4">
        <v>39071</v>
      </c>
      <c r="B334" s="4" t="s">
        <v>180</v>
      </c>
      <c r="C334" s="34">
        <v>182.84</v>
      </c>
      <c r="D334" s="34"/>
    </row>
    <row r="335" spans="1:4" s="25" customFormat="1" hidden="1" x14ac:dyDescent="0.25">
      <c r="A335" s="4">
        <v>39072</v>
      </c>
      <c r="B335" s="4" t="s">
        <v>230</v>
      </c>
      <c r="C335" s="34">
        <v>1047.9000000000001</v>
      </c>
      <c r="D335" s="34"/>
    </row>
    <row r="336" spans="1:4" s="25" customFormat="1" hidden="1" x14ac:dyDescent="0.25">
      <c r="A336" s="4">
        <v>39087</v>
      </c>
      <c r="B336" s="4" t="s">
        <v>265</v>
      </c>
      <c r="C336" s="34">
        <v>33937.269999999997</v>
      </c>
      <c r="D336" s="34"/>
    </row>
    <row r="337" spans="1:4" s="25" customFormat="1" hidden="1" x14ac:dyDescent="0.25">
      <c r="A337" s="4">
        <v>39101</v>
      </c>
      <c r="B337" s="4" t="s">
        <v>266</v>
      </c>
      <c r="C337" s="34">
        <v>148.04</v>
      </c>
      <c r="D337" s="34"/>
    </row>
    <row r="338" spans="1:4" s="25" customFormat="1" hidden="1" x14ac:dyDescent="0.25">
      <c r="A338" s="4">
        <v>39104</v>
      </c>
      <c r="B338" s="4" t="s">
        <v>230</v>
      </c>
      <c r="C338" s="34">
        <v>1047.9000000000001</v>
      </c>
      <c r="D338" s="34"/>
    </row>
    <row r="339" spans="1:4" s="25" customFormat="1" hidden="1" x14ac:dyDescent="0.25">
      <c r="A339" s="4">
        <v>39107</v>
      </c>
      <c r="B339" s="4" t="s">
        <v>9</v>
      </c>
      <c r="C339" s="34">
        <v>626.02</v>
      </c>
      <c r="D339" s="34"/>
    </row>
    <row r="340" spans="1:4" s="25" customFormat="1" hidden="1" x14ac:dyDescent="0.25">
      <c r="A340" s="4">
        <v>39111</v>
      </c>
      <c r="B340" s="4" t="s">
        <v>264</v>
      </c>
      <c r="C340" s="34">
        <v>2060</v>
      </c>
      <c r="D340" s="34"/>
    </row>
    <row r="341" spans="1:4" s="25" customFormat="1" hidden="1" x14ac:dyDescent="0.25">
      <c r="A341" s="4">
        <v>39140</v>
      </c>
      <c r="B341" s="4" t="s">
        <v>230</v>
      </c>
      <c r="C341" s="34">
        <v>1047.9000000000001</v>
      </c>
      <c r="D341" s="34"/>
    </row>
    <row r="342" spans="1:4" s="25" customFormat="1" hidden="1" x14ac:dyDescent="0.25">
      <c r="A342" s="4">
        <v>39141</v>
      </c>
      <c r="B342" s="4" t="s">
        <v>267</v>
      </c>
      <c r="C342" s="34">
        <v>393.5</v>
      </c>
      <c r="D342" s="34"/>
    </row>
    <row r="343" spans="1:4" s="25" customFormat="1" hidden="1" x14ac:dyDescent="0.25">
      <c r="A343" s="4">
        <v>39141</v>
      </c>
      <c r="B343" s="4" t="s">
        <v>255</v>
      </c>
      <c r="C343" s="34">
        <v>520</v>
      </c>
      <c r="D343" s="34"/>
    </row>
    <row r="344" spans="1:4" s="25" customFormat="1" hidden="1" x14ac:dyDescent="0.25">
      <c r="A344" s="4">
        <v>39163</v>
      </c>
      <c r="B344" s="4" t="s">
        <v>257</v>
      </c>
      <c r="C344" s="34">
        <v>98.9</v>
      </c>
      <c r="D344" s="34"/>
    </row>
    <row r="345" spans="1:4" s="25" customFormat="1" hidden="1" x14ac:dyDescent="0.25">
      <c r="A345" s="4">
        <v>39164</v>
      </c>
      <c r="B345" s="4" t="s">
        <v>230</v>
      </c>
      <c r="C345" s="34">
        <v>1047.9000000000001</v>
      </c>
      <c r="D345" s="34"/>
    </row>
    <row r="346" spans="1:4" s="25" customFormat="1" hidden="1" x14ac:dyDescent="0.25">
      <c r="A346" s="4">
        <v>39169</v>
      </c>
      <c r="B346" s="4" t="s">
        <v>185</v>
      </c>
      <c r="C346" s="34">
        <v>385</v>
      </c>
      <c r="D346" s="34"/>
    </row>
    <row r="347" spans="1:4" s="25" customFormat="1" hidden="1" x14ac:dyDescent="0.25">
      <c r="A347" s="4">
        <v>39171</v>
      </c>
      <c r="B347" s="4" t="s">
        <v>174</v>
      </c>
      <c r="C347" s="34">
        <v>700</v>
      </c>
      <c r="D347" s="34"/>
    </row>
    <row r="348" spans="1:4" s="25" customFormat="1" hidden="1" x14ac:dyDescent="0.25">
      <c r="A348" s="4">
        <v>39176</v>
      </c>
      <c r="B348" s="4" t="s">
        <v>168</v>
      </c>
      <c r="C348" s="34">
        <v>250</v>
      </c>
      <c r="D348" s="34"/>
    </row>
    <row r="349" spans="1:4" s="25" customFormat="1" hidden="1" x14ac:dyDescent="0.25">
      <c r="A349" s="4">
        <v>39176</v>
      </c>
      <c r="B349" s="4" t="s">
        <v>184</v>
      </c>
      <c r="C349" s="34">
        <v>148.15</v>
      </c>
      <c r="D349" s="34"/>
    </row>
    <row r="350" spans="1:4" s="25" customFormat="1" hidden="1" x14ac:dyDescent="0.25">
      <c r="A350" s="4">
        <v>39185</v>
      </c>
      <c r="B350" s="4" t="s">
        <v>269</v>
      </c>
      <c r="C350" s="34"/>
      <c r="D350" s="34">
        <v>18</v>
      </c>
    </row>
    <row r="351" spans="1:4" s="25" customFormat="1" hidden="1" x14ac:dyDescent="0.25">
      <c r="A351" s="4">
        <v>39188</v>
      </c>
      <c r="B351" s="4" t="s">
        <v>61</v>
      </c>
      <c r="C351" s="34">
        <v>120</v>
      </c>
      <c r="D351" s="34"/>
    </row>
    <row r="352" spans="1:4" s="25" customFormat="1" hidden="1" x14ac:dyDescent="0.25">
      <c r="A352" s="4">
        <v>39195</v>
      </c>
      <c r="B352" s="4" t="s">
        <v>230</v>
      </c>
      <c r="C352" s="34">
        <v>1047.9000000000001</v>
      </c>
      <c r="D352" s="34"/>
    </row>
    <row r="353" spans="1:4" s="25" customFormat="1" hidden="1" x14ac:dyDescent="0.25">
      <c r="A353" s="4">
        <v>39199</v>
      </c>
      <c r="B353" s="4" t="s">
        <v>268</v>
      </c>
      <c r="C353" s="34">
        <v>29.97</v>
      </c>
      <c r="D353" s="34"/>
    </row>
    <row r="354" spans="1:4" s="25" customFormat="1" hidden="1" x14ac:dyDescent="0.25">
      <c r="A354" s="4">
        <v>39199</v>
      </c>
      <c r="B354" s="4" t="s">
        <v>9</v>
      </c>
      <c r="C354" s="34">
        <v>1056.01</v>
      </c>
      <c r="D354" s="34"/>
    </row>
    <row r="355" spans="1:4" s="25" customFormat="1" hidden="1" x14ac:dyDescent="0.25">
      <c r="A355" s="4">
        <v>39225</v>
      </c>
      <c r="B355" s="4" t="s">
        <v>230</v>
      </c>
      <c r="C355" s="34">
        <v>1047.9000000000001</v>
      </c>
      <c r="D355" s="34"/>
    </row>
    <row r="356" spans="1:4" s="25" customFormat="1" hidden="1" x14ac:dyDescent="0.25">
      <c r="A356" s="4">
        <v>39245</v>
      </c>
      <c r="B356" s="4" t="s">
        <v>270</v>
      </c>
      <c r="C356" s="34"/>
      <c r="D356" s="34">
        <v>1448.05</v>
      </c>
    </row>
    <row r="357" spans="1:4" s="25" customFormat="1" hidden="1" x14ac:dyDescent="0.25">
      <c r="A357" s="4">
        <v>39246</v>
      </c>
      <c r="B357" s="4" t="s">
        <v>271</v>
      </c>
      <c r="C357" s="34"/>
      <c r="D357" s="34">
        <v>2755.01</v>
      </c>
    </row>
    <row r="358" spans="1:4" s="25" customFormat="1" hidden="1" x14ac:dyDescent="0.25">
      <c r="A358" s="4">
        <v>39251</v>
      </c>
      <c r="B358" s="4" t="s">
        <v>230</v>
      </c>
      <c r="C358" s="34">
        <v>1047.9000000000001</v>
      </c>
      <c r="D358" s="34"/>
    </row>
    <row r="359" spans="1:4" s="25" customFormat="1" hidden="1" x14ac:dyDescent="0.25">
      <c r="A359" s="4">
        <v>39255</v>
      </c>
      <c r="B359" s="4" t="s">
        <v>230</v>
      </c>
      <c r="C359" s="34">
        <v>27.9</v>
      </c>
      <c r="D359" s="34"/>
    </row>
    <row r="360" spans="1:4" s="25" customFormat="1" hidden="1" x14ac:dyDescent="0.25">
      <c r="A360" s="4"/>
      <c r="B360" s="4"/>
      <c r="C360" s="34"/>
      <c r="D360" s="34"/>
    </row>
    <row r="361" spans="1:4" s="25" customFormat="1" hidden="1" x14ac:dyDescent="0.25">
      <c r="A361" s="4">
        <v>39263</v>
      </c>
      <c r="B361" t="s">
        <v>14</v>
      </c>
      <c r="C361" s="36">
        <f>SUM(C306:C360)</f>
        <v>119657.95999999992</v>
      </c>
      <c r="D361" s="36">
        <f>SUM(D306:D360)</f>
        <v>37120.570000000007</v>
      </c>
    </row>
    <row r="362" spans="1:4" s="25" customFormat="1" hidden="1" x14ac:dyDescent="0.25">
      <c r="A362" s="4"/>
      <c r="B362" s="4" t="s">
        <v>15</v>
      </c>
      <c r="C362" s="34">
        <f>IF(C361&gt;D361,C361-D361," ")</f>
        <v>82537.389999999912</v>
      </c>
      <c r="D362" s="34" t="str">
        <f>IF(D361&gt;C361,D361-C361," ")</f>
        <v xml:space="preserve"> </v>
      </c>
    </row>
    <row r="363" spans="1:4" s="25" customFormat="1" hidden="1" x14ac:dyDescent="0.25">
      <c r="A363" s="4">
        <v>39265</v>
      </c>
      <c r="B363" s="4" t="s">
        <v>63</v>
      </c>
      <c r="C363" s="34"/>
      <c r="D363" s="34">
        <v>6</v>
      </c>
    </row>
    <row r="364" spans="1:4" s="25" customFormat="1" hidden="1" x14ac:dyDescent="0.25">
      <c r="A364" s="4">
        <v>39267</v>
      </c>
      <c r="B364" s="4" t="s">
        <v>53</v>
      </c>
      <c r="C364" s="34">
        <v>182.84</v>
      </c>
      <c r="D364" s="34"/>
    </row>
    <row r="365" spans="1:4" s="25" customFormat="1" hidden="1" x14ac:dyDescent="0.25">
      <c r="A365" s="4">
        <v>39272</v>
      </c>
      <c r="B365" s="4" t="s">
        <v>286</v>
      </c>
      <c r="C365" s="34"/>
      <c r="D365" s="34">
        <v>34787.269999999997</v>
      </c>
    </row>
    <row r="366" spans="1:4" s="25" customFormat="1" hidden="1" x14ac:dyDescent="0.25">
      <c r="A366" s="4">
        <v>39275</v>
      </c>
      <c r="B366" s="4" t="s">
        <v>287</v>
      </c>
      <c r="C366" s="34">
        <v>435</v>
      </c>
      <c r="D366" s="34"/>
    </row>
    <row r="367" spans="1:4" s="25" customFormat="1" hidden="1" x14ac:dyDescent="0.25">
      <c r="A367" s="4">
        <v>39275</v>
      </c>
      <c r="B367" s="4" t="s">
        <v>171</v>
      </c>
      <c r="C367" s="34"/>
      <c r="D367" s="34">
        <v>45</v>
      </c>
    </row>
    <row r="368" spans="1:4" s="25" customFormat="1" hidden="1" x14ac:dyDescent="0.25">
      <c r="A368" s="4">
        <v>39276</v>
      </c>
      <c r="B368" s="4" t="s">
        <v>289</v>
      </c>
      <c r="C368" s="34">
        <v>26981.84</v>
      </c>
      <c r="D368" s="34"/>
    </row>
    <row r="369" spans="1:4" s="25" customFormat="1" hidden="1" x14ac:dyDescent="0.25">
      <c r="A369" s="4">
        <v>39276</v>
      </c>
      <c r="B369" s="4" t="s">
        <v>288</v>
      </c>
      <c r="C369" s="34">
        <v>19022.71</v>
      </c>
      <c r="D369" s="34"/>
    </row>
    <row r="370" spans="1:4" s="25" customFormat="1" hidden="1" x14ac:dyDescent="0.25">
      <c r="A370" s="4">
        <v>39276</v>
      </c>
      <c r="B370" s="4" t="s">
        <v>290</v>
      </c>
      <c r="C370" s="34"/>
      <c r="D370" s="34">
        <v>28208.57</v>
      </c>
    </row>
    <row r="371" spans="1:4" s="25" customFormat="1" hidden="1" x14ac:dyDescent="0.25">
      <c r="A371" s="4">
        <v>39276</v>
      </c>
      <c r="B371" s="4" t="s">
        <v>291</v>
      </c>
      <c r="C371" s="34"/>
      <c r="D371" s="34">
        <v>13386</v>
      </c>
    </row>
    <row r="372" spans="1:4" s="25" customFormat="1" hidden="1" x14ac:dyDescent="0.25">
      <c r="A372" s="4">
        <v>39276</v>
      </c>
      <c r="B372" s="4" t="s">
        <v>292</v>
      </c>
      <c r="C372" s="34"/>
      <c r="D372" s="34">
        <v>14891</v>
      </c>
    </row>
    <row r="373" spans="1:4" s="25" customFormat="1" hidden="1" x14ac:dyDescent="0.25">
      <c r="A373" s="4">
        <v>39283</v>
      </c>
      <c r="B373" s="4" t="s">
        <v>293</v>
      </c>
      <c r="C373" s="34">
        <v>1396.86</v>
      </c>
      <c r="D373" s="34"/>
    </row>
    <row r="374" spans="1:4" s="25" customFormat="1" hidden="1" x14ac:dyDescent="0.25">
      <c r="A374" s="4">
        <v>39290</v>
      </c>
      <c r="B374" s="4" t="s">
        <v>9</v>
      </c>
      <c r="C374" s="34">
        <v>982.79</v>
      </c>
      <c r="D374" s="34"/>
    </row>
    <row r="375" spans="1:4" s="25" customFormat="1" hidden="1" x14ac:dyDescent="0.25">
      <c r="A375" s="4">
        <v>39316</v>
      </c>
      <c r="B375" s="4" t="s">
        <v>293</v>
      </c>
      <c r="C375" s="34">
        <v>1396.86</v>
      </c>
      <c r="D375" s="34"/>
    </row>
    <row r="376" spans="1:4" s="25" customFormat="1" hidden="1" x14ac:dyDescent="0.25">
      <c r="A376" s="4">
        <v>39325</v>
      </c>
      <c r="B376" s="4" t="s">
        <v>214</v>
      </c>
      <c r="C376" s="34">
        <v>532.5</v>
      </c>
      <c r="D376" s="34"/>
    </row>
    <row r="377" spans="1:4" s="25" customFormat="1" hidden="1" x14ac:dyDescent="0.25">
      <c r="A377" s="4">
        <v>39346</v>
      </c>
      <c r="B377" s="4" t="s">
        <v>293</v>
      </c>
      <c r="C377" s="34">
        <v>488.59</v>
      </c>
      <c r="D377" s="34"/>
    </row>
    <row r="378" spans="1:4" s="25" customFormat="1" hidden="1" x14ac:dyDescent="0.25">
      <c r="A378" s="4">
        <v>39346</v>
      </c>
      <c r="B378" s="4" t="s">
        <v>50</v>
      </c>
      <c r="C378" s="34">
        <v>700</v>
      </c>
      <c r="D378" s="34"/>
    </row>
    <row r="379" spans="1:4" s="25" customFormat="1" hidden="1" x14ac:dyDescent="0.25">
      <c r="A379" s="4">
        <v>39352</v>
      </c>
      <c r="B379" s="4" t="s">
        <v>211</v>
      </c>
      <c r="C379" s="34">
        <v>250</v>
      </c>
      <c r="D379" s="34"/>
    </row>
    <row r="380" spans="1:4" s="25" customFormat="1" hidden="1" x14ac:dyDescent="0.25">
      <c r="A380" s="4">
        <v>39353</v>
      </c>
      <c r="B380" s="4" t="s">
        <v>294</v>
      </c>
      <c r="C380" s="34">
        <v>270.66000000000003</v>
      </c>
      <c r="D380" s="34"/>
    </row>
    <row r="381" spans="1:4" s="25" customFormat="1" hidden="1" x14ac:dyDescent="0.25">
      <c r="A381" s="4">
        <v>39360</v>
      </c>
      <c r="B381" s="4" t="s">
        <v>295</v>
      </c>
      <c r="C381" s="34">
        <v>745</v>
      </c>
      <c r="D381" s="34"/>
    </row>
    <row r="382" spans="1:4" s="25" customFormat="1" hidden="1" x14ac:dyDescent="0.25">
      <c r="A382" s="4">
        <v>39373</v>
      </c>
      <c r="B382" s="4" t="s">
        <v>63</v>
      </c>
      <c r="C382" s="34"/>
      <c r="D382" s="34">
        <v>6</v>
      </c>
    </row>
    <row r="383" spans="1:4" s="25" customFormat="1" hidden="1" x14ac:dyDescent="0.25">
      <c r="A383" s="4">
        <v>39378</v>
      </c>
      <c r="B383" s="4" t="s">
        <v>293</v>
      </c>
      <c r="C383" s="34">
        <v>1396.86</v>
      </c>
      <c r="D383" s="34"/>
    </row>
    <row r="384" spans="1:4" s="25" customFormat="1" hidden="1" x14ac:dyDescent="0.25">
      <c r="A384" s="4">
        <v>39381</v>
      </c>
      <c r="B384" s="4" t="s">
        <v>9</v>
      </c>
      <c r="C384" s="34">
        <v>591.48</v>
      </c>
      <c r="D384" s="34"/>
    </row>
    <row r="385" spans="1:4" s="25" customFormat="1" hidden="1" x14ac:dyDescent="0.25">
      <c r="A385" s="4">
        <v>39384</v>
      </c>
      <c r="B385" s="4" t="s">
        <v>48</v>
      </c>
      <c r="C385" s="34">
        <v>401.76</v>
      </c>
      <c r="D385" s="34"/>
    </row>
    <row r="386" spans="1:4" s="25" customFormat="1" hidden="1" x14ac:dyDescent="0.25">
      <c r="A386" s="4">
        <v>39391</v>
      </c>
      <c r="B386" s="4" t="s">
        <v>52</v>
      </c>
      <c r="C386" s="34">
        <v>170</v>
      </c>
      <c r="D386" s="34"/>
    </row>
    <row r="387" spans="1:4" s="25" customFormat="1" hidden="1" x14ac:dyDescent="0.25">
      <c r="A387" s="4">
        <v>39408</v>
      </c>
      <c r="B387" s="4" t="s">
        <v>293</v>
      </c>
      <c r="C387" s="34">
        <v>1396.86</v>
      </c>
      <c r="D387" s="34"/>
    </row>
    <row r="388" spans="1:4" s="25" customFormat="1" hidden="1" x14ac:dyDescent="0.25">
      <c r="A388" s="4">
        <v>39408</v>
      </c>
      <c r="B388" s="4" t="s">
        <v>296</v>
      </c>
      <c r="C388" s="34"/>
      <c r="D388" s="34">
        <v>124.4</v>
      </c>
    </row>
    <row r="389" spans="1:4" s="25" customFormat="1" hidden="1" x14ac:dyDescent="0.25">
      <c r="A389" s="4">
        <v>39434</v>
      </c>
      <c r="B389" s="4" t="s">
        <v>297</v>
      </c>
      <c r="C389" s="34">
        <v>340</v>
      </c>
      <c r="D389" s="34"/>
    </row>
    <row r="390" spans="1:4" s="25" customFormat="1" hidden="1" x14ac:dyDescent="0.25">
      <c r="A390" s="4">
        <v>39434</v>
      </c>
      <c r="B390" s="4" t="s">
        <v>287</v>
      </c>
      <c r="C390" s="34">
        <v>475</v>
      </c>
      <c r="D390" s="34"/>
    </row>
    <row r="391" spans="1:4" s="25" customFormat="1" hidden="1" x14ac:dyDescent="0.25">
      <c r="A391" s="4">
        <v>39437</v>
      </c>
      <c r="B391" s="4" t="s">
        <v>298</v>
      </c>
      <c r="C391" s="34">
        <v>370</v>
      </c>
      <c r="D391" s="34"/>
    </row>
    <row r="392" spans="1:4" s="25" customFormat="1" hidden="1" x14ac:dyDescent="0.25">
      <c r="A392" s="4">
        <v>39437</v>
      </c>
      <c r="B392" s="4" t="s">
        <v>293</v>
      </c>
      <c r="C392" s="34">
        <v>488.59</v>
      </c>
      <c r="D392" s="34"/>
    </row>
    <row r="393" spans="1:4" s="25" customFormat="1" hidden="1" x14ac:dyDescent="0.25">
      <c r="A393" s="4">
        <v>39450</v>
      </c>
      <c r="B393" s="4" t="s">
        <v>63</v>
      </c>
      <c r="C393" s="34"/>
      <c r="D393" s="34">
        <v>6</v>
      </c>
    </row>
    <row r="394" spans="1:4" s="25" customFormat="1" hidden="1" x14ac:dyDescent="0.25">
      <c r="A394" s="4">
        <v>39470</v>
      </c>
      <c r="B394" s="4" t="s">
        <v>293</v>
      </c>
      <c r="C394" s="34">
        <v>1396.86</v>
      </c>
      <c r="D394" s="34"/>
    </row>
    <row r="395" spans="1:4" s="25" customFormat="1" hidden="1" x14ac:dyDescent="0.25">
      <c r="A395" s="4">
        <v>39472</v>
      </c>
      <c r="B395" s="4" t="s">
        <v>9</v>
      </c>
      <c r="C395" s="34">
        <v>724.18</v>
      </c>
      <c r="D395" s="34"/>
    </row>
    <row r="396" spans="1:4" s="25" customFormat="1" hidden="1" x14ac:dyDescent="0.25">
      <c r="A396" s="4">
        <v>39503</v>
      </c>
      <c r="B396" s="4" t="s">
        <v>293</v>
      </c>
      <c r="C396" s="34">
        <v>1396.86</v>
      </c>
      <c r="D396" s="34"/>
    </row>
    <row r="397" spans="1:4" s="25" customFormat="1" hidden="1" x14ac:dyDescent="0.25">
      <c r="A397" s="4">
        <v>39507</v>
      </c>
      <c r="B397" s="4" t="s">
        <v>214</v>
      </c>
      <c r="C397" s="34">
        <v>532.5</v>
      </c>
      <c r="D397" s="34"/>
    </row>
    <row r="398" spans="1:4" s="25" customFormat="1" hidden="1" x14ac:dyDescent="0.25">
      <c r="A398" s="4">
        <v>39512</v>
      </c>
      <c r="B398" s="4" t="s">
        <v>299</v>
      </c>
      <c r="C398" s="34">
        <v>544.51</v>
      </c>
      <c r="D398" s="34"/>
    </row>
    <row r="399" spans="1:4" s="25" customFormat="1" hidden="1" x14ac:dyDescent="0.25">
      <c r="A399" s="4">
        <v>39532</v>
      </c>
      <c r="B399" s="4" t="s">
        <v>293</v>
      </c>
      <c r="C399" s="34">
        <v>488.59</v>
      </c>
      <c r="D399" s="34"/>
    </row>
    <row r="400" spans="1:4" s="25" customFormat="1" hidden="1" x14ac:dyDescent="0.25">
      <c r="A400" s="4">
        <v>39538</v>
      </c>
      <c r="B400" s="4" t="s">
        <v>300</v>
      </c>
      <c r="C400" s="34">
        <v>277.75</v>
      </c>
      <c r="D400" s="34"/>
    </row>
    <row r="401" spans="1:4" s="25" customFormat="1" hidden="1" x14ac:dyDescent="0.25">
      <c r="A401" s="4">
        <v>39538</v>
      </c>
      <c r="B401" s="4" t="s">
        <v>211</v>
      </c>
      <c r="C401" s="34">
        <v>250</v>
      </c>
      <c r="D401" s="34"/>
    </row>
    <row r="402" spans="1:4" s="25" customFormat="1" hidden="1" x14ac:dyDescent="0.25">
      <c r="A402" s="4">
        <v>39540</v>
      </c>
      <c r="B402" s="4" t="s">
        <v>295</v>
      </c>
      <c r="C402" s="34">
        <v>565</v>
      </c>
      <c r="D402" s="34"/>
    </row>
    <row r="403" spans="1:4" s="25" customFormat="1" hidden="1" x14ac:dyDescent="0.25">
      <c r="A403" s="4">
        <v>39542</v>
      </c>
      <c r="B403" s="4" t="s">
        <v>50</v>
      </c>
      <c r="C403" s="34">
        <v>700</v>
      </c>
      <c r="D403" s="34"/>
    </row>
    <row r="404" spans="1:4" s="25" customFormat="1" hidden="1" x14ac:dyDescent="0.25">
      <c r="A404" s="4">
        <v>39554</v>
      </c>
      <c r="B404" s="4" t="s">
        <v>294</v>
      </c>
      <c r="C404" s="34">
        <v>270.66000000000003</v>
      </c>
      <c r="D404" s="34"/>
    </row>
    <row r="405" spans="1:4" s="25" customFormat="1" hidden="1" x14ac:dyDescent="0.25">
      <c r="A405" s="4">
        <v>39556</v>
      </c>
      <c r="B405" s="4" t="s">
        <v>299</v>
      </c>
      <c r="C405" s="34">
        <v>416.26</v>
      </c>
      <c r="D405" s="34"/>
    </row>
    <row r="406" spans="1:4" s="25" customFormat="1" hidden="1" x14ac:dyDescent="0.25">
      <c r="A406" s="4">
        <v>39562</v>
      </c>
      <c r="B406" s="4" t="s">
        <v>9</v>
      </c>
      <c r="C406" s="34">
        <v>855.14</v>
      </c>
      <c r="D406" s="34"/>
    </row>
    <row r="407" spans="1:4" s="25" customFormat="1" hidden="1" x14ac:dyDescent="0.25">
      <c r="A407" s="4">
        <v>39566</v>
      </c>
      <c r="B407" s="4" t="s">
        <v>52</v>
      </c>
      <c r="C407" s="34">
        <v>170</v>
      </c>
      <c r="D407" s="34"/>
    </row>
    <row r="408" spans="1:4" s="25" customFormat="1" hidden="1" x14ac:dyDescent="0.25">
      <c r="A408" s="4">
        <v>39570</v>
      </c>
      <c r="B408" s="4" t="s">
        <v>293</v>
      </c>
      <c r="C408" s="34">
        <v>1396.86</v>
      </c>
      <c r="D408" s="34"/>
    </row>
    <row r="409" spans="1:4" s="25" customFormat="1" hidden="1" x14ac:dyDescent="0.25">
      <c r="A409" s="4">
        <v>39573</v>
      </c>
      <c r="B409" s="4" t="s">
        <v>301</v>
      </c>
      <c r="C409" s="34"/>
      <c r="D409" s="34">
        <v>51</v>
      </c>
    </row>
    <row r="410" spans="1:4" s="25" customFormat="1" hidden="1" x14ac:dyDescent="0.25">
      <c r="A410" s="4">
        <v>39574</v>
      </c>
      <c r="B410" s="4" t="s">
        <v>302</v>
      </c>
      <c r="C410" s="34"/>
      <c r="D410" s="34">
        <v>4800</v>
      </c>
    </row>
    <row r="411" spans="1:4" s="25" customFormat="1" hidden="1" x14ac:dyDescent="0.25">
      <c r="A411" s="4">
        <v>39583</v>
      </c>
      <c r="B411" s="4" t="s">
        <v>303</v>
      </c>
      <c r="C411" s="34"/>
      <c r="D411" s="34">
        <v>1972</v>
      </c>
    </row>
    <row r="412" spans="1:4" s="25" customFormat="1" hidden="1" x14ac:dyDescent="0.25">
      <c r="A412" s="4">
        <v>39584</v>
      </c>
      <c r="B412" s="4" t="s">
        <v>263</v>
      </c>
      <c r="C412" s="34"/>
      <c r="D412" s="34">
        <v>858</v>
      </c>
    </row>
    <row r="413" spans="1:4" s="25" customFormat="1" hidden="1" x14ac:dyDescent="0.25">
      <c r="A413" s="4">
        <v>39584</v>
      </c>
      <c r="B413" s="4" t="s">
        <v>63</v>
      </c>
      <c r="C413" s="34"/>
      <c r="D413" s="34">
        <v>2136.5</v>
      </c>
    </row>
    <row r="414" spans="1:4" s="25" customFormat="1" hidden="1" x14ac:dyDescent="0.25">
      <c r="A414" s="4">
        <v>39591</v>
      </c>
      <c r="B414" s="4" t="s">
        <v>293</v>
      </c>
      <c r="C414" s="34">
        <v>1396.86</v>
      </c>
      <c r="D414" s="34"/>
    </row>
    <row r="415" spans="1:4" s="25" customFormat="1" hidden="1" x14ac:dyDescent="0.25">
      <c r="A415" s="4">
        <v>39610</v>
      </c>
      <c r="B415" s="4" t="s">
        <v>304</v>
      </c>
      <c r="C415" s="34"/>
      <c r="D415" s="34">
        <v>2918.83</v>
      </c>
    </row>
    <row r="416" spans="1:4" s="25" customFormat="1" hidden="1" x14ac:dyDescent="0.25">
      <c r="A416" s="4">
        <v>39612</v>
      </c>
      <c r="B416" s="4" t="s">
        <v>293</v>
      </c>
      <c r="C416" s="34">
        <v>319.5</v>
      </c>
      <c r="D416" s="34"/>
    </row>
    <row r="417" spans="1:4" s="25" customFormat="1" hidden="1" x14ac:dyDescent="0.25">
      <c r="A417" s="4">
        <v>39619</v>
      </c>
      <c r="B417" s="4" t="s">
        <v>293</v>
      </c>
      <c r="C417" s="34">
        <v>169.09</v>
      </c>
      <c r="D417" s="34"/>
    </row>
    <row r="418" spans="1:4" s="25" customFormat="1" hidden="1" x14ac:dyDescent="0.25">
      <c r="A418" s="4"/>
      <c r="B418" s="4"/>
      <c r="C418" s="34"/>
      <c r="D418" s="34"/>
    </row>
    <row r="419" spans="1:4" s="25" customFormat="1" hidden="1" x14ac:dyDescent="0.25">
      <c r="A419" s="4"/>
      <c r="B419" s="4"/>
      <c r="C419" s="34"/>
      <c r="D419" s="34"/>
    </row>
    <row r="420" spans="1:4" s="25" customFormat="1" hidden="1" x14ac:dyDescent="0.25">
      <c r="A420" s="4">
        <v>39629</v>
      </c>
      <c r="B420" t="s">
        <v>14</v>
      </c>
      <c r="C420" s="36">
        <f>SUM(C362:C419)</f>
        <v>153424.20999999985</v>
      </c>
      <c r="D420" s="36">
        <f>SUM(D362:D419)</f>
        <v>104196.56999999999</v>
      </c>
    </row>
    <row r="421" spans="1:4" s="25" customFormat="1" hidden="1" x14ac:dyDescent="0.25">
      <c r="A421" s="4"/>
      <c r="B421" s="4" t="s">
        <v>15</v>
      </c>
      <c r="C421" s="34">
        <f>IF(C420&gt;D420,C420-D420," ")</f>
        <v>49227.639999999854</v>
      </c>
      <c r="D421" s="34" t="str">
        <f>IF(D420&gt;C420,D420-C420," ")</f>
        <v xml:space="preserve"> </v>
      </c>
    </row>
    <row r="422" spans="1:4" s="25" customFormat="1" hidden="1" x14ac:dyDescent="0.25">
      <c r="A422" s="4">
        <v>39630</v>
      </c>
      <c r="B422" s="4" t="s">
        <v>298</v>
      </c>
      <c r="C422" s="34">
        <v>310</v>
      </c>
      <c r="D422" s="34"/>
    </row>
    <row r="423" spans="1:4" s="25" customFormat="1" hidden="1" x14ac:dyDescent="0.25">
      <c r="A423" s="4">
        <v>39631</v>
      </c>
      <c r="B423" s="4" t="s">
        <v>297</v>
      </c>
      <c r="C423" s="34">
        <v>350</v>
      </c>
      <c r="D423" s="34"/>
    </row>
    <row r="424" spans="1:4" s="25" customFormat="1" hidden="1" x14ac:dyDescent="0.25">
      <c r="A424" s="4">
        <v>39639</v>
      </c>
      <c r="B424" s="4" t="s">
        <v>287</v>
      </c>
      <c r="C424" s="34">
        <v>485</v>
      </c>
      <c r="D424" s="34"/>
    </row>
    <row r="425" spans="1:4" s="25" customFormat="1" hidden="1" x14ac:dyDescent="0.25">
      <c r="A425" s="4">
        <v>39644</v>
      </c>
      <c r="B425" s="4" t="s">
        <v>315</v>
      </c>
      <c r="C425" s="34">
        <v>3436.2</v>
      </c>
      <c r="D425" s="34"/>
    </row>
    <row r="426" spans="1:4" s="25" customFormat="1" hidden="1" x14ac:dyDescent="0.25">
      <c r="A426" s="4">
        <v>39652</v>
      </c>
      <c r="B426" s="4" t="s">
        <v>316</v>
      </c>
      <c r="C426" s="34"/>
      <c r="D426" s="34">
        <v>2293</v>
      </c>
    </row>
    <row r="427" spans="1:4" s="25" customFormat="1" hidden="1" x14ac:dyDescent="0.25">
      <c r="A427" s="4">
        <v>39653</v>
      </c>
      <c r="B427" s="4" t="s">
        <v>317</v>
      </c>
      <c r="C427" s="34"/>
      <c r="D427" s="34">
        <v>5</v>
      </c>
    </row>
    <row r="428" spans="1:4" s="25" customFormat="1" hidden="1" x14ac:dyDescent="0.25">
      <c r="A428" s="4">
        <v>39654</v>
      </c>
      <c r="B428" s="4" t="s">
        <v>9</v>
      </c>
      <c r="C428" s="34">
        <v>863.95</v>
      </c>
      <c r="D428" s="34"/>
    </row>
    <row r="429" spans="1:4" s="25" customFormat="1" hidden="1" x14ac:dyDescent="0.25">
      <c r="A429" s="4">
        <v>39689</v>
      </c>
      <c r="B429" s="4" t="s">
        <v>214</v>
      </c>
      <c r="C429" s="34">
        <v>532.5</v>
      </c>
      <c r="D429" s="34"/>
    </row>
    <row r="430" spans="1:4" s="25" customFormat="1" hidden="1" x14ac:dyDescent="0.25">
      <c r="A430" s="4">
        <v>39692</v>
      </c>
      <c r="B430" s="4" t="s">
        <v>299</v>
      </c>
      <c r="C430" s="34">
        <v>447.75</v>
      </c>
      <c r="D430" s="34"/>
    </row>
    <row r="431" spans="1:4" s="25" customFormat="1" hidden="1" x14ac:dyDescent="0.25">
      <c r="A431" s="4">
        <v>39714</v>
      </c>
      <c r="B431" s="4" t="s">
        <v>312</v>
      </c>
      <c r="C431" s="34"/>
      <c r="D431" s="34">
        <v>50000</v>
      </c>
    </row>
    <row r="432" spans="1:4" s="25" customFormat="1" hidden="1" x14ac:dyDescent="0.25">
      <c r="A432" s="4">
        <v>39717</v>
      </c>
      <c r="B432" s="4" t="s">
        <v>50</v>
      </c>
      <c r="C432" s="34">
        <v>716.8</v>
      </c>
      <c r="D432" s="34"/>
    </row>
    <row r="433" spans="1:4" s="25" customFormat="1" hidden="1" x14ac:dyDescent="0.25">
      <c r="A433" s="4">
        <v>39717</v>
      </c>
      <c r="B433" s="4" t="s">
        <v>294</v>
      </c>
      <c r="C433" s="34">
        <v>281.07</v>
      </c>
      <c r="D433" s="34"/>
    </row>
    <row r="434" spans="1:4" s="25" customFormat="1" hidden="1" x14ac:dyDescent="0.25">
      <c r="A434" s="4">
        <v>39722</v>
      </c>
      <c r="B434" s="4" t="s">
        <v>295</v>
      </c>
      <c r="C434" s="34">
        <v>765</v>
      </c>
      <c r="D434" s="34"/>
    </row>
    <row r="435" spans="1:4" s="25" customFormat="1" hidden="1" x14ac:dyDescent="0.25">
      <c r="A435" s="4">
        <v>39723</v>
      </c>
      <c r="B435" s="4" t="s">
        <v>211</v>
      </c>
      <c r="C435" s="34">
        <v>250</v>
      </c>
      <c r="D435" s="34"/>
    </row>
    <row r="436" spans="1:4" s="25" customFormat="1" hidden="1" x14ac:dyDescent="0.25">
      <c r="A436" s="4">
        <v>39729</v>
      </c>
      <c r="B436" s="4" t="s">
        <v>316</v>
      </c>
      <c r="C436" s="34"/>
      <c r="D436" s="34">
        <v>583</v>
      </c>
    </row>
    <row r="437" spans="1:4" s="25" customFormat="1" hidden="1" x14ac:dyDescent="0.25">
      <c r="A437" s="4">
        <v>39743</v>
      </c>
      <c r="B437" s="4" t="s">
        <v>315</v>
      </c>
      <c r="C437" s="34">
        <v>1732.87</v>
      </c>
      <c r="D437" s="34"/>
    </row>
    <row r="438" spans="1:4" s="25" customFormat="1" hidden="1" x14ac:dyDescent="0.25">
      <c r="A438" s="4">
        <v>39745</v>
      </c>
      <c r="B438" s="4" t="s">
        <v>9</v>
      </c>
      <c r="C438" s="34">
        <v>579.57000000000005</v>
      </c>
      <c r="D438" s="34"/>
    </row>
    <row r="439" spans="1:4" s="25" customFormat="1" hidden="1" x14ac:dyDescent="0.25">
      <c r="A439" s="4">
        <v>39755</v>
      </c>
      <c r="B439" s="4" t="s">
        <v>48</v>
      </c>
      <c r="C439" s="34">
        <v>435.24</v>
      </c>
      <c r="D439" s="34"/>
    </row>
    <row r="440" spans="1:4" s="25" customFormat="1" hidden="1" x14ac:dyDescent="0.25">
      <c r="A440" s="4">
        <v>39755</v>
      </c>
      <c r="B440" s="4" t="s">
        <v>52</v>
      </c>
      <c r="C440" s="34">
        <v>170</v>
      </c>
      <c r="D440" s="34"/>
    </row>
    <row r="441" spans="1:4" s="25" customFormat="1" hidden="1" x14ac:dyDescent="0.25">
      <c r="A441" s="4">
        <v>39778</v>
      </c>
      <c r="B441" s="4" t="s">
        <v>315</v>
      </c>
      <c r="C441" s="34">
        <v>1703.33</v>
      </c>
      <c r="D441" s="34"/>
    </row>
    <row r="442" spans="1:4" s="25" customFormat="1" hidden="1" x14ac:dyDescent="0.25">
      <c r="A442" s="4">
        <v>39787</v>
      </c>
      <c r="B442" s="4" t="s">
        <v>299</v>
      </c>
      <c r="C442" s="34">
        <v>408.25</v>
      </c>
      <c r="D442" s="34"/>
    </row>
    <row r="443" spans="1:4" s="25" customFormat="1" hidden="1" x14ac:dyDescent="0.25">
      <c r="A443" s="4">
        <v>39799</v>
      </c>
      <c r="B443" s="4" t="s">
        <v>297</v>
      </c>
      <c r="C443" s="34">
        <v>360</v>
      </c>
      <c r="D443" s="34"/>
    </row>
    <row r="444" spans="1:4" s="25" customFormat="1" hidden="1" x14ac:dyDescent="0.25">
      <c r="A444" s="4">
        <v>39799</v>
      </c>
      <c r="B444" s="4" t="s">
        <v>287</v>
      </c>
      <c r="C444" s="34">
        <v>485</v>
      </c>
      <c r="D444" s="34"/>
    </row>
    <row r="445" spans="1:4" s="25" customFormat="1" hidden="1" x14ac:dyDescent="0.25">
      <c r="A445" s="4">
        <v>39800</v>
      </c>
      <c r="B445" s="4" t="s">
        <v>298</v>
      </c>
      <c r="C445" s="34">
        <v>370</v>
      </c>
      <c r="D445" s="34"/>
    </row>
    <row r="446" spans="1:4" s="25" customFormat="1" hidden="1" x14ac:dyDescent="0.25">
      <c r="A446" s="4" t="s">
        <v>318</v>
      </c>
      <c r="B446" s="4" t="s">
        <v>316</v>
      </c>
      <c r="C446" s="34"/>
      <c r="D446" s="34">
        <v>583</v>
      </c>
    </row>
    <row r="447" spans="1:4" s="25" customFormat="1" hidden="1" x14ac:dyDescent="0.25">
      <c r="A447" s="4">
        <v>39836</v>
      </c>
      <c r="B447" s="4" t="s">
        <v>9</v>
      </c>
      <c r="C447" s="34">
        <v>100.63</v>
      </c>
      <c r="D447" s="34"/>
    </row>
    <row r="448" spans="1:4" s="25" customFormat="1" hidden="1" x14ac:dyDescent="0.25">
      <c r="A448" s="4">
        <v>39840</v>
      </c>
      <c r="B448" s="4" t="s">
        <v>315</v>
      </c>
      <c r="C448" s="34">
        <v>1732.87</v>
      </c>
      <c r="D448" s="34"/>
    </row>
    <row r="449" spans="1:4" s="25" customFormat="1" hidden="1" x14ac:dyDescent="0.25">
      <c r="A449" s="4">
        <v>39861</v>
      </c>
      <c r="B449" s="4" t="s">
        <v>319</v>
      </c>
      <c r="C449" s="34"/>
      <c r="D449" s="34">
        <v>3658.5</v>
      </c>
    </row>
    <row r="450" spans="1:4" s="25" customFormat="1" hidden="1" x14ac:dyDescent="0.25">
      <c r="A450" s="4">
        <v>39867</v>
      </c>
      <c r="B450" s="4" t="s">
        <v>315</v>
      </c>
      <c r="C450" s="34">
        <v>1703.33</v>
      </c>
      <c r="D450" s="34"/>
    </row>
    <row r="451" spans="1:4" s="25" customFormat="1" hidden="1" x14ac:dyDescent="0.25">
      <c r="A451" s="4">
        <v>39871</v>
      </c>
      <c r="B451" s="4" t="s">
        <v>320</v>
      </c>
      <c r="C451" s="34">
        <v>698.7</v>
      </c>
      <c r="D451" s="34"/>
    </row>
    <row r="452" spans="1:4" s="25" customFormat="1" hidden="1" x14ac:dyDescent="0.25">
      <c r="A452" s="4">
        <v>39871</v>
      </c>
      <c r="B452" s="4" t="s">
        <v>299</v>
      </c>
      <c r="C452" s="34">
        <v>264.87</v>
      </c>
      <c r="D452" s="34"/>
    </row>
    <row r="453" spans="1:4" s="25" customFormat="1" hidden="1" x14ac:dyDescent="0.25">
      <c r="A453" s="4">
        <v>39871</v>
      </c>
      <c r="B453" s="4" t="s">
        <v>214</v>
      </c>
      <c r="C453" s="34">
        <v>532.5</v>
      </c>
      <c r="D453" s="34"/>
    </row>
    <row r="454" spans="1:4" s="25" customFormat="1" hidden="1" x14ac:dyDescent="0.25">
      <c r="A454" s="4">
        <v>39871</v>
      </c>
      <c r="B454" s="4" t="s">
        <v>321</v>
      </c>
      <c r="C454" s="34"/>
      <c r="D454" s="34">
        <v>935</v>
      </c>
    </row>
    <row r="455" spans="1:4" s="25" customFormat="1" hidden="1" x14ac:dyDescent="0.25">
      <c r="A455" s="4">
        <v>39890</v>
      </c>
      <c r="B455" s="4" t="s">
        <v>322</v>
      </c>
      <c r="C455" s="34"/>
      <c r="D455" s="34">
        <v>1125</v>
      </c>
    </row>
    <row r="456" spans="1:4" s="25" customFormat="1" hidden="1" x14ac:dyDescent="0.25">
      <c r="A456" s="4">
        <v>39891</v>
      </c>
      <c r="B456" s="4" t="s">
        <v>211</v>
      </c>
      <c r="C456" s="34">
        <v>50</v>
      </c>
      <c r="D456" s="34"/>
    </row>
    <row r="457" spans="1:4" s="25" customFormat="1" hidden="1" x14ac:dyDescent="0.25">
      <c r="A457" s="4">
        <v>39895</v>
      </c>
      <c r="B457" s="4" t="s">
        <v>295</v>
      </c>
      <c r="C457" s="34">
        <v>565</v>
      </c>
      <c r="D457" s="34"/>
    </row>
    <row r="458" spans="1:4" s="25" customFormat="1" hidden="1" x14ac:dyDescent="0.25">
      <c r="A458" s="4">
        <v>39903</v>
      </c>
      <c r="B458" s="4" t="s">
        <v>323</v>
      </c>
      <c r="C458" s="34"/>
      <c r="D458" s="34">
        <v>4999.92</v>
      </c>
    </row>
    <row r="459" spans="1:4" s="25" customFormat="1" hidden="1" x14ac:dyDescent="0.25">
      <c r="A459" s="4">
        <v>39904</v>
      </c>
      <c r="B459" s="4" t="s">
        <v>316</v>
      </c>
      <c r="C459" s="34"/>
      <c r="D459" s="34">
        <v>581</v>
      </c>
    </row>
    <row r="460" spans="1:4" s="25" customFormat="1" hidden="1" x14ac:dyDescent="0.25">
      <c r="A460" s="4">
        <v>39906</v>
      </c>
      <c r="B460" s="4" t="s">
        <v>294</v>
      </c>
      <c r="C460" s="34">
        <v>270.66000000000003</v>
      </c>
      <c r="D460" s="34"/>
    </row>
    <row r="461" spans="1:4" s="25" customFormat="1" hidden="1" x14ac:dyDescent="0.25">
      <c r="A461" s="4">
        <v>39912</v>
      </c>
      <c r="B461" s="4" t="s">
        <v>50</v>
      </c>
      <c r="C461" s="34">
        <v>716.8</v>
      </c>
      <c r="D461" s="34"/>
    </row>
    <row r="462" spans="1:4" s="25" customFormat="1" hidden="1" x14ac:dyDescent="0.25">
      <c r="A462" s="4">
        <v>39927</v>
      </c>
      <c r="B462" s="4" t="s">
        <v>9</v>
      </c>
      <c r="C462" s="34">
        <v>50.51</v>
      </c>
      <c r="D462" s="34"/>
    </row>
    <row r="463" spans="1:4" s="25" customFormat="1" hidden="1" x14ac:dyDescent="0.25">
      <c r="A463" s="4">
        <v>39931</v>
      </c>
      <c r="B463" s="4" t="s">
        <v>315</v>
      </c>
      <c r="C463" s="34">
        <v>1732.87</v>
      </c>
      <c r="D463" s="34"/>
    </row>
    <row r="464" spans="1:4" s="25" customFormat="1" hidden="1" x14ac:dyDescent="0.25">
      <c r="A464" s="4">
        <v>39937</v>
      </c>
      <c r="B464" s="4" t="s">
        <v>52</v>
      </c>
      <c r="C464" s="34">
        <v>170</v>
      </c>
      <c r="D464" s="34"/>
    </row>
    <row r="465" spans="1:4" s="25" customFormat="1" hidden="1" x14ac:dyDescent="0.25">
      <c r="A465" s="4">
        <v>39958</v>
      </c>
      <c r="B465" s="4" t="s">
        <v>315</v>
      </c>
      <c r="C465" s="34">
        <v>1703.33</v>
      </c>
      <c r="D465" s="34"/>
    </row>
    <row r="466" spans="1:4" s="25" customFormat="1" hidden="1" x14ac:dyDescent="0.25">
      <c r="A466" s="4">
        <v>39968</v>
      </c>
      <c r="B466" s="4" t="s">
        <v>324</v>
      </c>
      <c r="C466" s="34"/>
      <c r="D466" s="34">
        <v>1597.12</v>
      </c>
    </row>
    <row r="467" spans="1:4" s="25" customFormat="1" hidden="1" x14ac:dyDescent="0.25">
      <c r="A467" s="4">
        <v>39979</v>
      </c>
      <c r="B467" s="4" t="s">
        <v>299</v>
      </c>
      <c r="C467" s="34">
        <v>229.64</v>
      </c>
      <c r="D467" s="34"/>
    </row>
    <row r="468" spans="1:4" s="25" customFormat="1" hidden="1" x14ac:dyDescent="0.25">
      <c r="A468" s="4">
        <v>39988</v>
      </c>
      <c r="B468" s="4" t="s">
        <v>325</v>
      </c>
      <c r="C468" s="34"/>
      <c r="D468" s="34">
        <v>2355.81</v>
      </c>
    </row>
    <row r="469" spans="1:4" s="25" customFormat="1" hidden="1" x14ac:dyDescent="0.25">
      <c r="A469" s="4"/>
      <c r="B469" s="4"/>
      <c r="C469" s="34"/>
      <c r="D469" s="34"/>
    </row>
    <row r="470" spans="1:4" s="25" customFormat="1" hidden="1" x14ac:dyDescent="0.25">
      <c r="A470" s="4">
        <v>39994</v>
      </c>
      <c r="B470" t="s">
        <v>14</v>
      </c>
      <c r="C470" s="36">
        <f>SUM(C421:C469)</f>
        <v>74431.879999999845</v>
      </c>
      <c r="D470" s="36">
        <f>SUM(D421:D469)</f>
        <v>68716.349999999991</v>
      </c>
    </row>
    <row r="471" spans="1:4" s="25" customFormat="1" hidden="1" x14ac:dyDescent="0.25">
      <c r="A471" s="4"/>
      <c r="B471" s="4" t="s">
        <v>15</v>
      </c>
      <c r="C471" s="34">
        <f>IF(C470&gt;D470,C470-D470," ")</f>
        <v>5715.5299999998533</v>
      </c>
      <c r="D471" s="34" t="str">
        <f>IF(D470&gt;C470,D470-C470," ")</f>
        <v xml:space="preserve"> </v>
      </c>
    </row>
    <row r="472" spans="1:4" s="25" customFormat="1" hidden="1" x14ac:dyDescent="0.25">
      <c r="A472" s="4">
        <v>39995</v>
      </c>
      <c r="B472" s="4" t="s">
        <v>298</v>
      </c>
      <c r="C472" s="34">
        <v>230</v>
      </c>
      <c r="D472" s="34"/>
    </row>
    <row r="473" spans="1:4" s="25" customFormat="1" hidden="1" x14ac:dyDescent="0.25">
      <c r="A473" s="4">
        <v>39996</v>
      </c>
      <c r="B473" s="4" t="s">
        <v>297</v>
      </c>
      <c r="C473" s="34">
        <v>280</v>
      </c>
      <c r="D473" s="34"/>
    </row>
    <row r="474" spans="1:4" s="25" customFormat="1" hidden="1" x14ac:dyDescent="0.25">
      <c r="A474" s="4">
        <v>40003</v>
      </c>
      <c r="B474" s="4" t="s">
        <v>287</v>
      </c>
      <c r="C474" s="34">
        <v>365</v>
      </c>
      <c r="D474" s="34"/>
    </row>
    <row r="475" spans="1:4" s="25" customFormat="1" hidden="1" x14ac:dyDescent="0.25">
      <c r="A475" s="4">
        <v>40008</v>
      </c>
      <c r="B475" s="4" t="s">
        <v>329</v>
      </c>
      <c r="C475" s="34"/>
      <c r="D475" s="34">
        <v>582</v>
      </c>
    </row>
    <row r="476" spans="1:4" s="25" customFormat="1" hidden="1" x14ac:dyDescent="0.25">
      <c r="A476" s="4">
        <v>40018</v>
      </c>
      <c r="B476" s="4" t="s">
        <v>330</v>
      </c>
      <c r="C476" s="34">
        <v>3615.3</v>
      </c>
      <c r="D476" s="34"/>
    </row>
    <row r="477" spans="1:4" s="25" customFormat="1" hidden="1" x14ac:dyDescent="0.25">
      <c r="A477" s="4">
        <v>40018</v>
      </c>
      <c r="B477" s="4" t="s">
        <v>9</v>
      </c>
      <c r="C477" s="34">
        <v>32.090000000000003</v>
      </c>
      <c r="D477" s="34"/>
    </row>
    <row r="478" spans="1:4" s="25" customFormat="1" hidden="1" x14ac:dyDescent="0.25">
      <c r="A478" s="4">
        <v>40039</v>
      </c>
      <c r="B478" s="4" t="s">
        <v>320</v>
      </c>
      <c r="C478" s="34">
        <v>698.7</v>
      </c>
      <c r="D478" s="34"/>
    </row>
    <row r="479" spans="1:4" s="25" customFormat="1" hidden="1" x14ac:dyDescent="0.25">
      <c r="A479" s="4">
        <v>40042</v>
      </c>
      <c r="B479" s="4" t="s">
        <v>331</v>
      </c>
      <c r="C479" s="34">
        <v>383.6</v>
      </c>
      <c r="D479" s="34"/>
    </row>
    <row r="480" spans="1:4" s="25" customFormat="1" hidden="1" x14ac:dyDescent="0.25">
      <c r="A480" s="4">
        <v>40056</v>
      </c>
      <c r="B480" s="4" t="s">
        <v>214</v>
      </c>
      <c r="C480" s="34">
        <v>704.06</v>
      </c>
      <c r="D480" s="34"/>
    </row>
    <row r="481" spans="1:4" s="25" customFormat="1" hidden="1" x14ac:dyDescent="0.25">
      <c r="A481" s="4">
        <v>40058</v>
      </c>
      <c r="B481" s="4" t="s">
        <v>332</v>
      </c>
      <c r="C481" s="34">
        <v>254.25</v>
      </c>
      <c r="D481" s="34"/>
    </row>
    <row r="482" spans="1:4" s="25" customFormat="1" hidden="1" x14ac:dyDescent="0.25">
      <c r="A482" s="4">
        <v>40081</v>
      </c>
      <c r="B482" s="4" t="s">
        <v>50</v>
      </c>
      <c r="C482" s="34">
        <v>716.8</v>
      </c>
      <c r="D482" s="34"/>
    </row>
    <row r="483" spans="1:4" s="25" customFormat="1" hidden="1" x14ac:dyDescent="0.25">
      <c r="A483" s="4">
        <v>40086</v>
      </c>
      <c r="B483" s="4" t="s">
        <v>294</v>
      </c>
      <c r="C483" s="34">
        <v>291.48</v>
      </c>
      <c r="D483" s="34"/>
    </row>
    <row r="484" spans="1:4" s="25" customFormat="1" hidden="1" x14ac:dyDescent="0.25">
      <c r="A484" s="4">
        <v>40087</v>
      </c>
      <c r="B484" s="4" t="s">
        <v>295</v>
      </c>
      <c r="C484" s="34">
        <v>575</v>
      </c>
      <c r="D484" s="34"/>
    </row>
    <row r="485" spans="1:4" s="25" customFormat="1" hidden="1" x14ac:dyDescent="0.25">
      <c r="A485" s="4">
        <v>40087</v>
      </c>
      <c r="B485" s="4" t="s">
        <v>329</v>
      </c>
      <c r="C485" s="34"/>
      <c r="D485" s="34">
        <v>550</v>
      </c>
    </row>
    <row r="486" spans="1:4" s="25" customFormat="1" hidden="1" x14ac:dyDescent="0.25">
      <c r="A486" s="4">
        <v>40088</v>
      </c>
      <c r="B486" s="4" t="s">
        <v>333</v>
      </c>
      <c r="C486" s="34"/>
      <c r="D486" s="34">
        <v>187</v>
      </c>
    </row>
    <row r="487" spans="1:4" s="25" customFormat="1" hidden="1" x14ac:dyDescent="0.25">
      <c r="A487" s="4">
        <v>40094</v>
      </c>
      <c r="B487" s="4" t="s">
        <v>48</v>
      </c>
      <c r="C487" s="34">
        <v>200.88</v>
      </c>
      <c r="D487" s="34"/>
    </row>
    <row r="488" spans="1:4" s="25" customFormat="1" hidden="1" x14ac:dyDescent="0.25">
      <c r="A488" s="4">
        <v>40109</v>
      </c>
      <c r="B488" s="4" t="s">
        <v>330</v>
      </c>
      <c r="C488" s="34">
        <v>1727.14</v>
      </c>
      <c r="D488" s="34"/>
    </row>
    <row r="489" spans="1:4" s="25" customFormat="1" hidden="1" x14ac:dyDescent="0.25">
      <c r="A489" s="4">
        <v>40109</v>
      </c>
      <c r="B489" s="4" t="s">
        <v>9</v>
      </c>
      <c r="C489" s="34">
        <v>55.61</v>
      </c>
      <c r="D489" s="34"/>
    </row>
    <row r="490" spans="1:4" s="25" customFormat="1" hidden="1" x14ac:dyDescent="0.25">
      <c r="A490" s="4">
        <v>40141</v>
      </c>
      <c r="B490" s="4" t="s">
        <v>330</v>
      </c>
      <c r="C490" s="34">
        <v>1727.14</v>
      </c>
      <c r="D490" s="34"/>
    </row>
    <row r="491" spans="1:4" s="25" customFormat="1" hidden="1" x14ac:dyDescent="0.25">
      <c r="A491" s="4">
        <v>40147</v>
      </c>
      <c r="B491" s="4" t="s">
        <v>52</v>
      </c>
      <c r="C491" s="34">
        <v>170</v>
      </c>
      <c r="D491" s="34"/>
    </row>
    <row r="492" spans="1:4" s="25" customFormat="1" hidden="1" x14ac:dyDescent="0.25">
      <c r="A492" s="4">
        <v>40147</v>
      </c>
      <c r="B492" s="4" t="s">
        <v>332</v>
      </c>
      <c r="C492" s="34">
        <v>263.66000000000003</v>
      </c>
      <c r="D492" s="34"/>
    </row>
    <row r="493" spans="1:4" s="25" customFormat="1" hidden="1" x14ac:dyDescent="0.25">
      <c r="A493" s="4">
        <v>40164</v>
      </c>
      <c r="B493" s="4" t="s">
        <v>287</v>
      </c>
      <c r="C493" s="34">
        <v>365</v>
      </c>
      <c r="D493" s="34"/>
    </row>
    <row r="494" spans="1:4" s="25" customFormat="1" hidden="1" x14ac:dyDescent="0.25">
      <c r="A494" s="4">
        <v>40164</v>
      </c>
      <c r="B494" s="4" t="s">
        <v>329</v>
      </c>
      <c r="C494" s="34"/>
      <c r="D494" s="34">
        <v>550</v>
      </c>
    </row>
    <row r="495" spans="1:4" s="25" customFormat="1" hidden="1" x14ac:dyDescent="0.25">
      <c r="A495" s="4">
        <v>40165</v>
      </c>
      <c r="B495" s="4" t="s">
        <v>298</v>
      </c>
      <c r="C495" s="34">
        <v>280</v>
      </c>
      <c r="D495" s="34"/>
    </row>
    <row r="496" spans="1:4" s="25" customFormat="1" hidden="1" x14ac:dyDescent="0.25">
      <c r="A496" s="4">
        <v>40168</v>
      </c>
      <c r="B496" s="4" t="s">
        <v>297</v>
      </c>
      <c r="C496" s="34">
        <v>300</v>
      </c>
      <c r="D496" s="34"/>
    </row>
    <row r="497" spans="1:4" s="25" customFormat="1" hidden="1" x14ac:dyDescent="0.25">
      <c r="A497" s="4">
        <v>40170</v>
      </c>
      <c r="B497" s="4" t="s">
        <v>330</v>
      </c>
      <c r="C497" s="34">
        <v>161.02000000000001</v>
      </c>
      <c r="D497" s="34"/>
    </row>
    <row r="498" spans="1:4" s="25" customFormat="1" hidden="1" x14ac:dyDescent="0.25">
      <c r="A498" s="4">
        <v>40200</v>
      </c>
      <c r="B498" s="4" t="s">
        <v>9</v>
      </c>
      <c r="C498" s="34">
        <v>97.11</v>
      </c>
      <c r="D498" s="34"/>
    </row>
    <row r="499" spans="1:4" s="25" customFormat="1" hidden="1" x14ac:dyDescent="0.25">
      <c r="A499" s="4">
        <v>40205</v>
      </c>
      <c r="B499" s="4" t="s">
        <v>330</v>
      </c>
      <c r="C499" s="34">
        <v>1727.14</v>
      </c>
      <c r="D499" s="34"/>
    </row>
    <row r="500" spans="1:4" s="25" customFormat="1" hidden="1" x14ac:dyDescent="0.25">
      <c r="A500" s="4">
        <v>40205</v>
      </c>
      <c r="B500" s="4" t="s">
        <v>334</v>
      </c>
      <c r="C500" s="34"/>
      <c r="D500" s="34">
        <v>1852.4</v>
      </c>
    </row>
    <row r="501" spans="1:4" s="25" customFormat="1" hidden="1" x14ac:dyDescent="0.25">
      <c r="A501" s="4">
        <v>40221</v>
      </c>
      <c r="B501" s="4" t="s">
        <v>320</v>
      </c>
      <c r="C501" s="34">
        <v>838.44</v>
      </c>
      <c r="D501" s="34"/>
    </row>
    <row r="502" spans="1:4" s="25" customFormat="1" hidden="1" x14ac:dyDescent="0.25">
      <c r="A502" s="4">
        <v>40235</v>
      </c>
      <c r="B502" s="4" t="s">
        <v>214</v>
      </c>
      <c r="C502" s="34">
        <v>704.06</v>
      </c>
      <c r="D502" s="34"/>
    </row>
    <row r="503" spans="1:4" s="25" customFormat="1" hidden="1" x14ac:dyDescent="0.25">
      <c r="A503" s="4">
        <v>40240</v>
      </c>
      <c r="B503" s="4" t="s">
        <v>330</v>
      </c>
      <c r="C503" s="34">
        <v>1888.16</v>
      </c>
      <c r="D503" s="34"/>
    </row>
    <row r="504" spans="1:4" s="25" customFormat="1" hidden="1" x14ac:dyDescent="0.25">
      <c r="A504" s="4">
        <v>40249</v>
      </c>
      <c r="B504" s="4" t="s">
        <v>335</v>
      </c>
      <c r="C504" s="34">
        <v>52399</v>
      </c>
      <c r="D504" s="34"/>
    </row>
    <row r="505" spans="1:4" s="25" customFormat="1" hidden="1" x14ac:dyDescent="0.25">
      <c r="A505" s="4">
        <v>40256</v>
      </c>
      <c r="B505" s="4" t="s">
        <v>211</v>
      </c>
      <c r="C505" s="34">
        <v>44</v>
      </c>
      <c r="D505" s="34"/>
    </row>
    <row r="506" spans="1:4" s="25" customFormat="1" hidden="1" x14ac:dyDescent="0.25">
      <c r="A506" s="4">
        <v>40259</v>
      </c>
      <c r="B506" s="4" t="s">
        <v>332</v>
      </c>
      <c r="C506" s="34">
        <v>178.61</v>
      </c>
      <c r="D506" s="34"/>
    </row>
    <row r="507" spans="1:4" s="25" customFormat="1" hidden="1" x14ac:dyDescent="0.25">
      <c r="A507" s="4">
        <v>40259</v>
      </c>
      <c r="B507" s="4" t="s">
        <v>336</v>
      </c>
      <c r="C507" s="34">
        <v>33.11</v>
      </c>
      <c r="D507" s="34"/>
    </row>
    <row r="508" spans="1:4" s="25" customFormat="1" hidden="1" x14ac:dyDescent="0.25">
      <c r="A508" s="4">
        <v>40263</v>
      </c>
      <c r="B508" s="4" t="s">
        <v>50</v>
      </c>
      <c r="C508" s="34">
        <v>716.8</v>
      </c>
      <c r="D508" s="34"/>
    </row>
    <row r="509" spans="1:4" s="25" customFormat="1" hidden="1" x14ac:dyDescent="0.25">
      <c r="A509" s="4">
        <v>40269</v>
      </c>
      <c r="B509" s="4" t="s">
        <v>295</v>
      </c>
      <c r="C509" s="34">
        <v>600</v>
      </c>
      <c r="D509" s="34"/>
    </row>
    <row r="510" spans="1:4" s="25" customFormat="1" hidden="1" x14ac:dyDescent="0.25">
      <c r="A510" s="4">
        <v>40269</v>
      </c>
      <c r="B510" s="4" t="s">
        <v>329</v>
      </c>
      <c r="C510" s="34"/>
      <c r="D510" s="34">
        <v>550</v>
      </c>
    </row>
    <row r="511" spans="1:4" s="25" customFormat="1" hidden="1" x14ac:dyDescent="0.25">
      <c r="A511" s="4">
        <v>40275</v>
      </c>
      <c r="B511" s="4" t="s">
        <v>294</v>
      </c>
      <c r="C511" s="34">
        <v>301.89</v>
      </c>
      <c r="D511" s="34"/>
    </row>
    <row r="512" spans="1:4" s="25" customFormat="1" hidden="1" x14ac:dyDescent="0.25">
      <c r="A512" s="4">
        <v>40291</v>
      </c>
      <c r="B512" s="4" t="s">
        <v>9</v>
      </c>
      <c r="C512" s="34">
        <v>317.95</v>
      </c>
      <c r="D512" s="34"/>
    </row>
    <row r="513" spans="1:4" s="25" customFormat="1" hidden="1" x14ac:dyDescent="0.25">
      <c r="A513" s="4">
        <v>40295</v>
      </c>
      <c r="B513" s="4" t="s">
        <v>52</v>
      </c>
      <c r="C513" s="34">
        <v>170</v>
      </c>
      <c r="D513" s="34"/>
    </row>
    <row r="514" spans="1:4" s="25" customFormat="1" hidden="1" x14ac:dyDescent="0.25">
      <c r="A514" s="4">
        <v>40297</v>
      </c>
      <c r="B514" s="4" t="s">
        <v>330</v>
      </c>
      <c r="C514" s="34">
        <v>2364.41</v>
      </c>
      <c r="D514" s="34"/>
    </row>
    <row r="515" spans="1:4" s="25" customFormat="1" hidden="1" x14ac:dyDescent="0.25">
      <c r="A515" s="4">
        <v>40319</v>
      </c>
      <c r="B515" s="4" t="s">
        <v>337</v>
      </c>
      <c r="C515" s="34"/>
      <c r="D515" s="34">
        <v>18581.400000000001</v>
      </c>
    </row>
    <row r="516" spans="1:4" s="25" customFormat="1" hidden="1" x14ac:dyDescent="0.25">
      <c r="A516" s="4">
        <v>40319</v>
      </c>
      <c r="B516" s="4" t="s">
        <v>338</v>
      </c>
      <c r="C516" s="34"/>
      <c r="D516" s="34">
        <v>10346</v>
      </c>
    </row>
    <row r="517" spans="1:4" s="25" customFormat="1" hidden="1" x14ac:dyDescent="0.25">
      <c r="A517" s="4">
        <v>40326</v>
      </c>
      <c r="B517" s="4" t="s">
        <v>330</v>
      </c>
      <c r="C517" s="34">
        <v>1250.8900000000001</v>
      </c>
      <c r="D517" s="34"/>
    </row>
    <row r="518" spans="1:4" s="25" customFormat="1" hidden="1" x14ac:dyDescent="0.25">
      <c r="A518" s="4">
        <v>40326</v>
      </c>
      <c r="B518" s="4" t="s">
        <v>339</v>
      </c>
      <c r="C518" s="34"/>
      <c r="D518" s="34">
        <v>1045</v>
      </c>
    </row>
    <row r="519" spans="1:4" s="25" customFormat="1" hidden="1" x14ac:dyDescent="0.25">
      <c r="A519" s="4">
        <v>40326</v>
      </c>
      <c r="B519" s="4" t="s">
        <v>340</v>
      </c>
      <c r="C519" s="34"/>
      <c r="D519" s="34">
        <v>4434.37</v>
      </c>
    </row>
    <row r="520" spans="1:4" s="25" customFormat="1" hidden="1" x14ac:dyDescent="0.25">
      <c r="A520" s="4">
        <v>40359</v>
      </c>
      <c r="B520" s="4" t="s">
        <v>187</v>
      </c>
      <c r="C520" s="34">
        <v>1861.66</v>
      </c>
      <c r="D520" s="34"/>
    </row>
    <row r="521" spans="1:4" s="25" customFormat="1" hidden="1" x14ac:dyDescent="0.25">
      <c r="A521" s="4"/>
      <c r="B521" s="4"/>
      <c r="C521" s="34"/>
      <c r="D521" s="34"/>
    </row>
    <row r="522" spans="1:4" s="25" customFormat="1" hidden="1" x14ac:dyDescent="0.25">
      <c r="A522" s="4">
        <v>40359</v>
      </c>
      <c r="B522" t="s">
        <v>14</v>
      </c>
      <c r="C522" s="36">
        <f>SUM(C471:C521)</f>
        <v>84605.48999999986</v>
      </c>
      <c r="D522" s="36">
        <f>SUM(D471:D521)</f>
        <v>38678.170000000006</v>
      </c>
    </row>
    <row r="523" spans="1:4" s="25" customFormat="1" hidden="1" x14ac:dyDescent="0.25">
      <c r="A523" s="4"/>
      <c r="B523" s="4" t="s">
        <v>15</v>
      </c>
      <c r="C523" s="34">
        <f>IF(C522&gt;D522,C522-D522," ")</f>
        <v>45927.319999999854</v>
      </c>
      <c r="D523" s="34" t="str">
        <f>IF(D522&gt;C522,D522-C522," ")</f>
        <v xml:space="preserve"> </v>
      </c>
    </row>
    <row r="524" spans="1:4" s="25" customFormat="1" hidden="1" x14ac:dyDescent="0.25">
      <c r="A524" s="4">
        <v>40360</v>
      </c>
      <c r="B524" s="4" t="s">
        <v>347</v>
      </c>
      <c r="C524" s="34">
        <v>260</v>
      </c>
      <c r="D524" s="34"/>
    </row>
    <row r="525" spans="1:4" s="25" customFormat="1" hidden="1" x14ac:dyDescent="0.25">
      <c r="A525" s="4">
        <v>40361</v>
      </c>
      <c r="B525" s="4" t="s">
        <v>346</v>
      </c>
      <c r="C525" s="34">
        <v>325</v>
      </c>
      <c r="D525" s="34"/>
    </row>
    <row r="526" spans="1:4" s="25" customFormat="1" hidden="1" x14ac:dyDescent="0.25">
      <c r="A526" s="4">
        <v>40367</v>
      </c>
      <c r="B526" s="4" t="s">
        <v>348</v>
      </c>
      <c r="C526" s="34">
        <v>370</v>
      </c>
      <c r="D526" s="34"/>
    </row>
    <row r="527" spans="1:4" s="25" customFormat="1" hidden="1" x14ac:dyDescent="0.25">
      <c r="A527" s="4">
        <v>40382</v>
      </c>
      <c r="B527" s="4" t="s">
        <v>349</v>
      </c>
      <c r="C527" s="34">
        <v>454.8</v>
      </c>
      <c r="D527" s="34"/>
    </row>
    <row r="528" spans="1:4" s="25" customFormat="1" hidden="1" x14ac:dyDescent="0.25">
      <c r="A528" s="4">
        <v>40387</v>
      </c>
      <c r="B528" s="4" t="s">
        <v>350</v>
      </c>
      <c r="C528" s="34">
        <v>2358.9</v>
      </c>
      <c r="D528" s="34"/>
    </row>
    <row r="529" spans="1:4" s="25" customFormat="1" hidden="1" x14ac:dyDescent="0.25">
      <c r="A529" s="4">
        <v>40389</v>
      </c>
      <c r="B529" s="4" t="s">
        <v>349</v>
      </c>
      <c r="C529" s="34">
        <v>25.69</v>
      </c>
      <c r="D529" s="34"/>
    </row>
    <row r="530" spans="1:4" s="25" customFormat="1" hidden="1" x14ac:dyDescent="0.25">
      <c r="A530" s="4">
        <v>40408</v>
      </c>
      <c r="B530" s="4" t="s">
        <v>351</v>
      </c>
      <c r="C530" s="34">
        <v>69.87</v>
      </c>
      <c r="D530" s="34"/>
    </row>
    <row r="531" spans="1:4" s="25" customFormat="1" hidden="1" x14ac:dyDescent="0.25">
      <c r="A531" s="4">
        <v>40421</v>
      </c>
      <c r="B531" s="4" t="s">
        <v>352</v>
      </c>
      <c r="C531" s="34">
        <v>479.36</v>
      </c>
      <c r="D531" s="34"/>
    </row>
    <row r="532" spans="1:4" s="25" customFormat="1" hidden="1" x14ac:dyDescent="0.25">
      <c r="A532" s="4">
        <v>40421</v>
      </c>
      <c r="B532" s="4" t="s">
        <v>349</v>
      </c>
      <c r="C532" s="34">
        <v>196.41</v>
      </c>
      <c r="D532" s="34"/>
    </row>
    <row r="533" spans="1:4" s="25" customFormat="1" hidden="1" x14ac:dyDescent="0.25">
      <c r="A533" s="4">
        <v>40422</v>
      </c>
      <c r="B533" s="4" t="s">
        <v>350</v>
      </c>
      <c r="C533" s="34">
        <v>1440.9</v>
      </c>
      <c r="D533" s="34"/>
    </row>
    <row r="534" spans="1:4" s="25" customFormat="1" hidden="1" x14ac:dyDescent="0.25">
      <c r="A534" s="4">
        <v>40443</v>
      </c>
      <c r="B534" s="4" t="s">
        <v>353</v>
      </c>
      <c r="C534" s="34">
        <v>310</v>
      </c>
      <c r="D534" s="34"/>
    </row>
    <row r="535" spans="1:4" s="25" customFormat="1" hidden="1" x14ac:dyDescent="0.25">
      <c r="A535" s="4">
        <v>40444</v>
      </c>
      <c r="B535" s="4" t="s">
        <v>354</v>
      </c>
      <c r="C535" s="34">
        <v>56</v>
      </c>
      <c r="D535" s="34"/>
    </row>
    <row r="536" spans="1:4" s="25" customFormat="1" hidden="1" x14ac:dyDescent="0.25">
      <c r="A536" s="4">
        <v>40445</v>
      </c>
      <c r="B536" s="4" t="s">
        <v>355</v>
      </c>
      <c r="C536" s="34">
        <v>716.8</v>
      </c>
      <c r="D536" s="34"/>
    </row>
    <row r="537" spans="1:4" s="25" customFormat="1" hidden="1" x14ac:dyDescent="0.25">
      <c r="A537" s="4">
        <v>40451</v>
      </c>
      <c r="B537" s="4" t="s">
        <v>356</v>
      </c>
      <c r="C537" s="34">
        <v>243.25</v>
      </c>
      <c r="D537" s="34"/>
    </row>
    <row r="538" spans="1:4" s="25" customFormat="1" hidden="1" x14ac:dyDescent="0.25">
      <c r="A538" s="4">
        <v>40451</v>
      </c>
      <c r="B538" s="4" t="s">
        <v>357</v>
      </c>
      <c r="C538" s="34">
        <v>312.3</v>
      </c>
      <c r="D538" s="34"/>
    </row>
    <row r="539" spans="1:4" s="25" customFormat="1" hidden="1" x14ac:dyDescent="0.25">
      <c r="A539" s="4">
        <v>40451</v>
      </c>
      <c r="B539" s="4" t="s">
        <v>349</v>
      </c>
      <c r="C539" s="34">
        <v>193.07</v>
      </c>
      <c r="D539" s="34"/>
    </row>
    <row r="540" spans="1:4" s="25" customFormat="1" hidden="1" x14ac:dyDescent="0.25">
      <c r="A540" s="4">
        <v>40452</v>
      </c>
      <c r="B540" s="4" t="s">
        <v>358</v>
      </c>
      <c r="C540" s="34">
        <v>850</v>
      </c>
      <c r="D540" s="34"/>
    </row>
    <row r="541" spans="1:4" s="25" customFormat="1" hidden="1" x14ac:dyDescent="0.25">
      <c r="A541" s="4">
        <v>40458</v>
      </c>
      <c r="B541" s="4" t="s">
        <v>359</v>
      </c>
      <c r="C541" s="34">
        <v>200.88</v>
      </c>
      <c r="D541" s="34"/>
    </row>
    <row r="542" spans="1:4" s="25" customFormat="1" hidden="1" x14ac:dyDescent="0.25">
      <c r="A542" s="4">
        <v>40472</v>
      </c>
      <c r="B542" s="4" t="s">
        <v>360</v>
      </c>
      <c r="C542" s="34"/>
      <c r="D542" s="34">
        <v>118</v>
      </c>
    </row>
    <row r="543" spans="1:4" s="25" customFormat="1" hidden="1" x14ac:dyDescent="0.25">
      <c r="A543" s="4">
        <v>40480</v>
      </c>
      <c r="B543" s="4" t="s">
        <v>350</v>
      </c>
      <c r="C543" s="34">
        <v>2358.9</v>
      </c>
      <c r="D543" s="34"/>
    </row>
    <row r="544" spans="1:4" s="25" customFormat="1" hidden="1" x14ac:dyDescent="0.25">
      <c r="A544" s="4">
        <v>40480</v>
      </c>
      <c r="B544" s="4" t="s">
        <v>349</v>
      </c>
      <c r="C544" s="34">
        <v>209.91</v>
      </c>
      <c r="D544" s="34"/>
    </row>
    <row r="545" spans="1:4" s="25" customFormat="1" hidden="1" x14ac:dyDescent="0.25">
      <c r="A545" s="4">
        <v>40484</v>
      </c>
      <c r="B545" s="4" t="s">
        <v>361</v>
      </c>
      <c r="C545" s="34">
        <v>180</v>
      </c>
      <c r="D545" s="34"/>
    </row>
    <row r="546" spans="1:4" s="25" customFormat="1" hidden="1" x14ac:dyDescent="0.25">
      <c r="A546" s="4">
        <v>40512</v>
      </c>
      <c r="B546" s="4" t="s">
        <v>350</v>
      </c>
      <c r="C546" s="34">
        <v>1440.9</v>
      </c>
      <c r="D546" s="34"/>
    </row>
    <row r="547" spans="1:4" s="25" customFormat="1" hidden="1" x14ac:dyDescent="0.25">
      <c r="A547" s="4">
        <v>40512</v>
      </c>
      <c r="B547" s="4" t="s">
        <v>349</v>
      </c>
      <c r="C547" s="34">
        <v>221.57</v>
      </c>
      <c r="D547" s="34"/>
    </row>
    <row r="548" spans="1:4" s="25" customFormat="1" hidden="1" x14ac:dyDescent="0.25">
      <c r="A548" s="4">
        <v>40527</v>
      </c>
      <c r="B548" s="4" t="s">
        <v>362</v>
      </c>
      <c r="C548" s="34">
        <v>10620.24</v>
      </c>
      <c r="D548" s="34"/>
    </row>
    <row r="549" spans="1:4" s="25" customFormat="1" hidden="1" x14ac:dyDescent="0.25">
      <c r="A549" s="4">
        <v>40529</v>
      </c>
      <c r="B549" s="4" t="s">
        <v>347</v>
      </c>
      <c r="C549" s="34">
        <v>370</v>
      </c>
      <c r="D549" s="34"/>
    </row>
    <row r="550" spans="1:4" s="25" customFormat="1" hidden="1" x14ac:dyDescent="0.25">
      <c r="A550" s="4">
        <v>40529</v>
      </c>
      <c r="B550" s="4" t="s">
        <v>348</v>
      </c>
      <c r="C550" s="34">
        <v>390</v>
      </c>
      <c r="D550" s="34"/>
    </row>
    <row r="551" spans="1:4" s="25" customFormat="1" hidden="1" x14ac:dyDescent="0.25">
      <c r="A551" s="4">
        <v>40532</v>
      </c>
      <c r="B551" s="4" t="s">
        <v>346</v>
      </c>
      <c r="C551" s="34">
        <v>370</v>
      </c>
      <c r="D551" s="34"/>
    </row>
    <row r="552" spans="1:4" s="25" customFormat="1" hidden="1" x14ac:dyDescent="0.25">
      <c r="A552" s="4">
        <v>40535</v>
      </c>
      <c r="B552" s="4" t="s">
        <v>360</v>
      </c>
      <c r="C552" s="34"/>
      <c r="D552" s="34">
        <v>118</v>
      </c>
    </row>
    <row r="553" spans="1:4" s="25" customFormat="1" hidden="1" x14ac:dyDescent="0.25">
      <c r="A553" s="4">
        <v>40543</v>
      </c>
      <c r="B553" s="4" t="s">
        <v>349</v>
      </c>
      <c r="C553" s="34">
        <v>291.39</v>
      </c>
      <c r="D553" s="34"/>
    </row>
    <row r="554" spans="1:4" s="25" customFormat="1" hidden="1" x14ac:dyDescent="0.25">
      <c r="A554" s="4">
        <v>40574</v>
      </c>
      <c r="B554" s="4" t="s">
        <v>349</v>
      </c>
      <c r="C554" s="34">
        <v>258.72000000000003</v>
      </c>
      <c r="D554" s="34"/>
    </row>
    <row r="555" spans="1:4" s="25" customFormat="1" hidden="1" x14ac:dyDescent="0.25">
      <c r="A555" s="4">
        <v>40575</v>
      </c>
      <c r="B555" s="4" t="s">
        <v>350</v>
      </c>
      <c r="C555" s="34">
        <v>2358.9</v>
      </c>
      <c r="D555" s="34"/>
    </row>
    <row r="556" spans="1:4" s="25" customFormat="1" hidden="1" x14ac:dyDescent="0.25">
      <c r="A556" s="4">
        <v>40602</v>
      </c>
      <c r="B556" s="4" t="s">
        <v>350</v>
      </c>
      <c r="C556" s="34">
        <v>1440.9</v>
      </c>
      <c r="D556" s="34"/>
    </row>
    <row r="557" spans="1:4" s="25" customFormat="1" hidden="1" x14ac:dyDescent="0.25">
      <c r="A557" s="4">
        <v>40602</v>
      </c>
      <c r="B557" s="4" t="s">
        <v>363</v>
      </c>
      <c r="C557" s="34">
        <v>6.59</v>
      </c>
      <c r="D557" s="34"/>
    </row>
    <row r="558" spans="1:4" s="25" customFormat="1" hidden="1" x14ac:dyDescent="0.25">
      <c r="A558" s="4">
        <v>40602</v>
      </c>
      <c r="B558" s="4" t="s">
        <v>352</v>
      </c>
      <c r="C558" s="34">
        <v>472.76</v>
      </c>
      <c r="D558" s="34"/>
    </row>
    <row r="559" spans="1:4" s="25" customFormat="1" hidden="1" x14ac:dyDescent="0.25">
      <c r="A559" s="4">
        <v>40602</v>
      </c>
      <c r="B559" s="4" t="s">
        <v>349</v>
      </c>
      <c r="C559" s="34">
        <v>268.49</v>
      </c>
      <c r="D559" s="34"/>
    </row>
    <row r="560" spans="1:4" s="25" customFormat="1" hidden="1" x14ac:dyDescent="0.25">
      <c r="A560" s="4">
        <v>40623</v>
      </c>
      <c r="B560" s="4" t="s">
        <v>354</v>
      </c>
      <c r="C560" s="34">
        <v>60</v>
      </c>
      <c r="D560" s="34"/>
    </row>
    <row r="561" spans="1:4" s="25" customFormat="1" hidden="1" x14ac:dyDescent="0.25">
      <c r="A561" s="4">
        <v>40627</v>
      </c>
      <c r="B561" s="4" t="s">
        <v>355</v>
      </c>
      <c r="C561" s="34">
        <v>716.8</v>
      </c>
      <c r="D561" s="34"/>
    </row>
    <row r="562" spans="1:4" s="25" customFormat="1" hidden="1" x14ac:dyDescent="0.25">
      <c r="A562" s="4">
        <v>40633</v>
      </c>
      <c r="B562" s="4" t="s">
        <v>356</v>
      </c>
      <c r="C562" s="34">
        <v>229.68</v>
      </c>
      <c r="D562" s="34"/>
    </row>
    <row r="563" spans="1:4" s="25" customFormat="1" hidden="1" x14ac:dyDescent="0.25">
      <c r="A563" s="4">
        <v>40633</v>
      </c>
      <c r="B563" s="4" t="s">
        <v>349</v>
      </c>
      <c r="C563" s="34">
        <v>306.66000000000003</v>
      </c>
      <c r="D563" s="34"/>
    </row>
    <row r="564" spans="1:4" s="25" customFormat="1" hidden="1" x14ac:dyDescent="0.25">
      <c r="A564" s="4">
        <v>40634</v>
      </c>
      <c r="B564" s="4" t="s">
        <v>358</v>
      </c>
      <c r="C564" s="34">
        <v>660</v>
      </c>
      <c r="D564" s="34"/>
    </row>
    <row r="565" spans="1:4" s="25" customFormat="1" hidden="1" x14ac:dyDescent="0.25">
      <c r="A565" s="4">
        <v>40644</v>
      </c>
      <c r="B565" s="4" t="s">
        <v>353</v>
      </c>
      <c r="C565" s="34">
        <v>330</v>
      </c>
      <c r="D565" s="34"/>
    </row>
    <row r="566" spans="1:4" s="25" customFormat="1" hidden="1" x14ac:dyDescent="0.25">
      <c r="A566" s="4">
        <v>40647</v>
      </c>
      <c r="B566" s="4" t="s">
        <v>357</v>
      </c>
      <c r="C566" s="34">
        <v>301.89</v>
      </c>
      <c r="D566" s="34"/>
    </row>
    <row r="567" spans="1:4" s="25" customFormat="1" hidden="1" x14ac:dyDescent="0.25">
      <c r="A567" s="4">
        <v>40648</v>
      </c>
      <c r="B567" s="4" t="s">
        <v>361</v>
      </c>
      <c r="C567" s="34">
        <v>180</v>
      </c>
      <c r="D567" s="34"/>
    </row>
    <row r="568" spans="1:4" s="25" customFormat="1" hidden="1" x14ac:dyDescent="0.25">
      <c r="A568" s="4">
        <v>40652</v>
      </c>
      <c r="B568" s="4" t="s">
        <v>360</v>
      </c>
      <c r="C568" s="34"/>
      <c r="D568" s="34">
        <v>118</v>
      </c>
    </row>
    <row r="569" spans="1:4" s="25" customFormat="1" hidden="1" x14ac:dyDescent="0.25">
      <c r="A569" s="4">
        <v>40662</v>
      </c>
      <c r="B569" s="4" t="s">
        <v>350</v>
      </c>
      <c r="C569" s="34">
        <v>2358.9</v>
      </c>
      <c r="D569" s="34"/>
    </row>
    <row r="570" spans="1:4" s="25" customFormat="1" hidden="1" x14ac:dyDescent="0.25">
      <c r="A570" s="4">
        <v>40662</v>
      </c>
      <c r="B570" s="4" t="s">
        <v>349</v>
      </c>
      <c r="C570" s="34">
        <v>306.02999999999997</v>
      </c>
      <c r="D570" s="34"/>
    </row>
    <row r="571" spans="1:4" s="25" customFormat="1" hidden="1" x14ac:dyDescent="0.25">
      <c r="A571" s="4">
        <v>40688</v>
      </c>
      <c r="B571" s="4" t="s">
        <v>350</v>
      </c>
      <c r="C571" s="34">
        <v>1440.9</v>
      </c>
      <c r="D571" s="34"/>
    </row>
    <row r="572" spans="1:4" s="25" customFormat="1" hidden="1" x14ac:dyDescent="0.25">
      <c r="A572" s="4">
        <v>40694</v>
      </c>
      <c r="B572" s="4" t="s">
        <v>349</v>
      </c>
      <c r="C572" s="34">
        <v>328.68</v>
      </c>
      <c r="D572" s="34"/>
    </row>
    <row r="573" spans="1:4" s="25" customFormat="1" hidden="1" x14ac:dyDescent="0.25">
      <c r="A573" s="4">
        <v>40696</v>
      </c>
      <c r="B573" s="4" t="s">
        <v>263</v>
      </c>
      <c r="C573" s="34"/>
      <c r="D573" s="34">
        <v>1100</v>
      </c>
    </row>
    <row r="574" spans="1:4" s="25" customFormat="1" hidden="1" x14ac:dyDescent="0.25">
      <c r="A574" s="4">
        <v>40696</v>
      </c>
      <c r="B574" s="4" t="s">
        <v>364</v>
      </c>
      <c r="C574" s="34"/>
      <c r="D574" s="34">
        <v>4771.46</v>
      </c>
    </row>
    <row r="575" spans="1:4" s="25" customFormat="1" hidden="1" x14ac:dyDescent="0.25">
      <c r="A575" s="4">
        <v>40708</v>
      </c>
      <c r="B575" s="4" t="s">
        <v>266</v>
      </c>
      <c r="C575" s="34">
        <v>934.9</v>
      </c>
      <c r="D575" s="34"/>
    </row>
    <row r="576" spans="1:4" s="25" customFormat="1" hidden="1" x14ac:dyDescent="0.25">
      <c r="A576" s="4">
        <v>40724</v>
      </c>
      <c r="B576" s="4" t="s">
        <v>349</v>
      </c>
      <c r="C576" s="34">
        <v>303.66000000000003</v>
      </c>
      <c r="D576" s="34"/>
    </row>
    <row r="577" spans="1:4" s="25" customFormat="1" hidden="1" x14ac:dyDescent="0.25">
      <c r="A577" s="4"/>
      <c r="B577" s="4"/>
      <c r="C577" s="34"/>
      <c r="D577" s="34"/>
    </row>
    <row r="578" spans="1:4" s="25" customFormat="1" hidden="1" x14ac:dyDescent="0.25">
      <c r="A578" s="4"/>
      <c r="B578" s="4"/>
      <c r="C578" s="34"/>
      <c r="D578" s="34"/>
    </row>
    <row r="579" spans="1:4" s="25" customFormat="1" hidden="1" x14ac:dyDescent="0.25">
      <c r="A579" s="4">
        <v>40724</v>
      </c>
      <c r="B579" t="s">
        <v>14</v>
      </c>
      <c r="C579" s="36">
        <f>SUM(C523:C578)</f>
        <v>84507.919999999838</v>
      </c>
      <c r="D579" s="36">
        <f>SUM(D523:D578)</f>
        <v>6225.46</v>
      </c>
    </row>
    <row r="580" spans="1:4" s="25" customFormat="1" hidden="1" x14ac:dyDescent="0.25">
      <c r="A580" s="4"/>
      <c r="B580" s="4" t="s">
        <v>15</v>
      </c>
      <c r="C580" s="34">
        <f>IF(C579&gt;D579,C579-D579," ")</f>
        <v>78282.459999999832</v>
      </c>
      <c r="D580" s="34" t="str">
        <f>IF(D579&gt;C579,D579-C579," ")</f>
        <v xml:space="preserve"> </v>
      </c>
    </row>
    <row r="581" spans="1:4" s="25" customFormat="1" hidden="1" x14ac:dyDescent="0.25">
      <c r="A581" s="4">
        <v>40725</v>
      </c>
      <c r="B581" s="4" t="s">
        <v>368</v>
      </c>
      <c r="C581" s="34">
        <v>320</v>
      </c>
      <c r="D581" s="34"/>
    </row>
    <row r="582" spans="1:4" s="25" customFormat="1" hidden="1" x14ac:dyDescent="0.25">
      <c r="A582" s="4">
        <v>40728</v>
      </c>
      <c r="B582" s="4" t="s">
        <v>369</v>
      </c>
      <c r="C582" s="34">
        <v>380</v>
      </c>
      <c r="D582" s="34"/>
    </row>
    <row r="583" spans="1:4" s="25" customFormat="1" hidden="1" x14ac:dyDescent="0.25">
      <c r="A583" s="4">
        <v>40730</v>
      </c>
      <c r="B583" s="4" t="s">
        <v>370</v>
      </c>
      <c r="C583" s="34">
        <v>420</v>
      </c>
      <c r="D583" s="34"/>
    </row>
    <row r="584" spans="1:4" s="25" customFormat="1" hidden="1" x14ac:dyDescent="0.25">
      <c r="A584" s="4">
        <v>40752</v>
      </c>
      <c r="B584" s="4" t="s">
        <v>371</v>
      </c>
      <c r="C584" s="34"/>
      <c r="D584" s="34">
        <v>219</v>
      </c>
    </row>
    <row r="585" spans="1:4" s="25" customFormat="1" hidden="1" x14ac:dyDescent="0.25">
      <c r="A585" s="4">
        <v>40753</v>
      </c>
      <c r="B585" s="4" t="s">
        <v>372</v>
      </c>
      <c r="C585" s="34">
        <v>319.75</v>
      </c>
      <c r="D585" s="34"/>
    </row>
    <row r="586" spans="1:4" s="25" customFormat="1" hidden="1" x14ac:dyDescent="0.25">
      <c r="A586" s="4">
        <v>40756</v>
      </c>
      <c r="B586" s="4" t="s">
        <v>373</v>
      </c>
      <c r="C586" s="34">
        <v>2355.09</v>
      </c>
      <c r="D586" s="34"/>
    </row>
    <row r="587" spans="1:4" s="25" customFormat="1" hidden="1" x14ac:dyDescent="0.25">
      <c r="A587" s="4">
        <v>40785</v>
      </c>
      <c r="B587" s="4" t="s">
        <v>374</v>
      </c>
      <c r="C587" s="34">
        <v>1588.71</v>
      </c>
      <c r="D587" s="34"/>
    </row>
    <row r="588" spans="1:4" s="25" customFormat="1" hidden="1" x14ac:dyDescent="0.25">
      <c r="A588" s="4">
        <v>40786</v>
      </c>
      <c r="B588" s="4" t="s">
        <v>372</v>
      </c>
      <c r="C588" s="34">
        <v>330.67</v>
      </c>
      <c r="D588" s="34"/>
    </row>
    <row r="589" spans="1:4" s="25" customFormat="1" hidden="1" x14ac:dyDescent="0.25">
      <c r="A589" s="4">
        <v>40786</v>
      </c>
      <c r="B589" s="4" t="s">
        <v>375</v>
      </c>
      <c r="C589" s="34">
        <v>121.33</v>
      </c>
      <c r="D589" s="34"/>
    </row>
    <row r="590" spans="1:4" s="25" customFormat="1" hidden="1" x14ac:dyDescent="0.25">
      <c r="A590" s="4">
        <v>40786</v>
      </c>
      <c r="B590" s="4" t="s">
        <v>376</v>
      </c>
      <c r="C590" s="34">
        <v>362.51</v>
      </c>
      <c r="D590" s="34"/>
    </row>
    <row r="591" spans="1:4" s="25" customFormat="1" hidden="1" x14ac:dyDescent="0.25">
      <c r="A591" s="4">
        <v>40809</v>
      </c>
      <c r="B591" s="4" t="s">
        <v>377</v>
      </c>
      <c r="C591" s="34">
        <v>716.8</v>
      </c>
      <c r="D591" s="34"/>
    </row>
    <row r="592" spans="1:4" s="25" customFormat="1" hidden="1" x14ac:dyDescent="0.25">
      <c r="A592" s="4">
        <v>40809</v>
      </c>
      <c r="B592" s="4" t="s">
        <v>378</v>
      </c>
      <c r="C592" s="34">
        <v>310</v>
      </c>
      <c r="D592" s="34"/>
    </row>
    <row r="593" spans="1:4" s="25" customFormat="1" hidden="1" x14ac:dyDescent="0.25">
      <c r="A593" s="4">
        <v>40813</v>
      </c>
      <c r="B593" s="4" t="s">
        <v>379</v>
      </c>
      <c r="C593" s="34">
        <v>60</v>
      </c>
      <c r="D593" s="34"/>
    </row>
    <row r="594" spans="1:4" s="25" customFormat="1" hidden="1" x14ac:dyDescent="0.25">
      <c r="A594" s="4">
        <v>40815</v>
      </c>
      <c r="B594" s="4" t="s">
        <v>380</v>
      </c>
      <c r="C594" s="34">
        <v>260.05</v>
      </c>
      <c r="D594" s="34"/>
    </row>
    <row r="595" spans="1:4" s="25" customFormat="1" hidden="1" x14ac:dyDescent="0.25">
      <c r="A595" s="4">
        <v>40815</v>
      </c>
      <c r="B595" s="4" t="s">
        <v>381</v>
      </c>
      <c r="C595" s="34">
        <v>322.70999999999998</v>
      </c>
      <c r="D595" s="34"/>
    </row>
    <row r="596" spans="1:4" s="25" customFormat="1" hidden="1" x14ac:dyDescent="0.25">
      <c r="A596" s="4">
        <v>40816</v>
      </c>
      <c r="B596" s="4" t="s">
        <v>372</v>
      </c>
      <c r="C596" s="34">
        <v>330.29</v>
      </c>
      <c r="D596" s="34"/>
    </row>
    <row r="597" spans="1:4" s="25" customFormat="1" hidden="1" x14ac:dyDescent="0.25">
      <c r="A597" s="4">
        <v>40820</v>
      </c>
      <c r="B597" s="4" t="s">
        <v>382</v>
      </c>
      <c r="C597" s="34"/>
      <c r="D597" s="34">
        <v>146</v>
      </c>
    </row>
    <row r="598" spans="1:4" s="25" customFormat="1" hidden="1" x14ac:dyDescent="0.25">
      <c r="A598" s="4">
        <v>40822</v>
      </c>
      <c r="B598" s="4" t="s">
        <v>383</v>
      </c>
      <c r="C598" s="34">
        <v>200.88</v>
      </c>
      <c r="D598" s="34"/>
    </row>
    <row r="599" spans="1:4" s="25" customFormat="1" hidden="1" x14ac:dyDescent="0.25">
      <c r="A599" s="4">
        <v>40822</v>
      </c>
      <c r="B599" s="4" t="s">
        <v>384</v>
      </c>
      <c r="C599" s="34">
        <v>940</v>
      </c>
      <c r="D599" s="34"/>
    </row>
    <row r="600" spans="1:4" s="25" customFormat="1" hidden="1" x14ac:dyDescent="0.25">
      <c r="A600" s="4">
        <v>40830</v>
      </c>
      <c r="B600" s="4" t="s">
        <v>385</v>
      </c>
      <c r="C600" s="34">
        <v>180</v>
      </c>
      <c r="D600" s="34"/>
    </row>
    <row r="601" spans="1:4" s="25" customFormat="1" hidden="1" x14ac:dyDescent="0.25">
      <c r="A601" s="4">
        <v>40847</v>
      </c>
      <c r="B601" s="4" t="s">
        <v>372</v>
      </c>
      <c r="C601" s="34">
        <v>351.81</v>
      </c>
      <c r="D601" s="34"/>
    </row>
    <row r="602" spans="1:4" s="25" customFormat="1" hidden="1" x14ac:dyDescent="0.25">
      <c r="A602" s="4">
        <v>40850</v>
      </c>
      <c r="B602" s="4" t="s">
        <v>386</v>
      </c>
      <c r="C602" s="34">
        <v>2355.09</v>
      </c>
      <c r="D602" s="34"/>
    </row>
    <row r="603" spans="1:4" s="25" customFormat="1" hidden="1" x14ac:dyDescent="0.25">
      <c r="A603" s="4">
        <v>40875</v>
      </c>
      <c r="B603" s="4" t="s">
        <v>387</v>
      </c>
      <c r="C603" s="34">
        <v>1588.71</v>
      </c>
      <c r="D603" s="34"/>
    </row>
    <row r="604" spans="1:4" s="25" customFormat="1" hidden="1" x14ac:dyDescent="0.25">
      <c r="A604" s="4">
        <v>40877</v>
      </c>
      <c r="B604" s="4" t="s">
        <v>372</v>
      </c>
      <c r="C604" s="34">
        <v>335.18</v>
      </c>
      <c r="D604" s="34"/>
    </row>
    <row r="605" spans="1:4" s="25" customFormat="1" hidden="1" x14ac:dyDescent="0.25">
      <c r="A605" s="4">
        <v>40892</v>
      </c>
      <c r="B605" s="4" t="s">
        <v>388</v>
      </c>
      <c r="C605" s="34"/>
      <c r="D605" s="34">
        <v>146</v>
      </c>
    </row>
    <row r="606" spans="1:4" s="25" customFormat="1" hidden="1" x14ac:dyDescent="0.25">
      <c r="A606" s="4">
        <v>40893</v>
      </c>
      <c r="B606" s="4" t="s">
        <v>389</v>
      </c>
      <c r="C606" s="34">
        <v>380</v>
      </c>
      <c r="D606" s="34"/>
    </row>
    <row r="607" spans="1:4" s="25" customFormat="1" hidden="1" x14ac:dyDescent="0.25">
      <c r="A607" s="4">
        <v>40896</v>
      </c>
      <c r="B607" s="4" t="s">
        <v>390</v>
      </c>
      <c r="C607" s="34">
        <v>400</v>
      </c>
      <c r="D607" s="34"/>
    </row>
    <row r="608" spans="1:4" s="25" customFormat="1" hidden="1" x14ac:dyDescent="0.25">
      <c r="A608" s="4">
        <v>40896</v>
      </c>
      <c r="B608" s="4" t="s">
        <v>391</v>
      </c>
      <c r="C608" s="34">
        <v>440</v>
      </c>
      <c r="D608" s="34"/>
    </row>
    <row r="609" spans="1:4" s="25" customFormat="1" hidden="1" x14ac:dyDescent="0.25">
      <c r="A609" s="4">
        <v>40907</v>
      </c>
      <c r="B609" s="4" t="s">
        <v>372</v>
      </c>
      <c r="C609" s="34">
        <v>339.08</v>
      </c>
      <c r="D609" s="34"/>
    </row>
    <row r="610" spans="1:4" s="25" customFormat="1" hidden="1" x14ac:dyDescent="0.25">
      <c r="A610" s="4">
        <v>40939</v>
      </c>
      <c r="B610" s="4" t="s">
        <v>372</v>
      </c>
      <c r="C610" s="34">
        <v>336.41</v>
      </c>
      <c r="D610" s="34"/>
    </row>
    <row r="611" spans="1:4" s="25" customFormat="1" hidden="1" x14ac:dyDescent="0.25">
      <c r="A611" s="4">
        <v>40940</v>
      </c>
      <c r="B611" s="4" t="s">
        <v>392</v>
      </c>
      <c r="C611" s="34">
        <v>2355.09</v>
      </c>
      <c r="D611" s="34"/>
    </row>
    <row r="612" spans="1:4" s="25" customFormat="1" hidden="1" x14ac:dyDescent="0.25">
      <c r="A612" s="4">
        <v>40968</v>
      </c>
      <c r="B612" s="4" t="s">
        <v>372</v>
      </c>
      <c r="C612" s="34">
        <v>323.94</v>
      </c>
      <c r="D612" s="34"/>
    </row>
    <row r="613" spans="1:4" s="25" customFormat="1" hidden="1" x14ac:dyDescent="0.25">
      <c r="A613" s="4">
        <v>40968</v>
      </c>
      <c r="B613" s="4" t="s">
        <v>393</v>
      </c>
      <c r="C613" s="34">
        <v>125.82</v>
      </c>
      <c r="D613" s="34"/>
    </row>
    <row r="614" spans="1:4" s="25" customFormat="1" hidden="1" x14ac:dyDescent="0.25">
      <c r="A614" s="4">
        <v>40968</v>
      </c>
      <c r="B614" s="4" t="s">
        <v>394</v>
      </c>
      <c r="C614" s="34">
        <v>362.51</v>
      </c>
      <c r="D614" s="34"/>
    </row>
    <row r="615" spans="1:4" s="25" customFormat="1" hidden="1" x14ac:dyDescent="0.25">
      <c r="A615" s="4">
        <v>40969</v>
      </c>
      <c r="B615" s="4" t="s">
        <v>395</v>
      </c>
      <c r="C615" s="34">
        <v>1588.71</v>
      </c>
      <c r="D615" s="34"/>
    </row>
    <row r="616" spans="1:4" s="25" customFormat="1" hidden="1" x14ac:dyDescent="0.25">
      <c r="A616" s="4">
        <v>40982</v>
      </c>
      <c r="B616" s="4" t="s">
        <v>396</v>
      </c>
      <c r="C616" s="34"/>
      <c r="D616" s="34">
        <v>15000</v>
      </c>
    </row>
    <row r="617" spans="1:4" s="25" customFormat="1" hidden="1" x14ac:dyDescent="0.25">
      <c r="A617" s="4">
        <v>40989</v>
      </c>
      <c r="B617" s="4" t="s">
        <v>397</v>
      </c>
      <c r="C617" s="34">
        <v>80</v>
      </c>
      <c r="D617" s="34"/>
    </row>
    <row r="618" spans="1:4" s="25" customFormat="1" hidden="1" x14ac:dyDescent="0.25">
      <c r="A618" s="4">
        <v>40990</v>
      </c>
      <c r="B618" s="4" t="s">
        <v>398</v>
      </c>
      <c r="C618" s="34">
        <v>255.36</v>
      </c>
      <c r="D618" s="34"/>
    </row>
    <row r="619" spans="1:4" s="25" customFormat="1" hidden="1" x14ac:dyDescent="0.25">
      <c r="A619" s="4">
        <v>40991</v>
      </c>
      <c r="B619" s="4" t="s">
        <v>399</v>
      </c>
      <c r="C619" s="34">
        <v>716.8</v>
      </c>
      <c r="D619" s="34"/>
    </row>
    <row r="620" spans="1:4" s="25" customFormat="1" hidden="1" x14ac:dyDescent="0.25">
      <c r="A620" s="4">
        <v>40998</v>
      </c>
      <c r="B620" s="4" t="s">
        <v>372</v>
      </c>
      <c r="C620" s="34">
        <v>324.67</v>
      </c>
      <c r="D620" s="34"/>
    </row>
    <row r="621" spans="1:4" s="25" customFormat="1" hidden="1" x14ac:dyDescent="0.25">
      <c r="A621" s="4">
        <v>40998</v>
      </c>
      <c r="B621" s="4" t="s">
        <v>400</v>
      </c>
      <c r="C621" s="34">
        <v>125</v>
      </c>
      <c r="D621" s="34"/>
    </row>
    <row r="622" spans="1:4" s="25" customFormat="1" hidden="1" x14ac:dyDescent="0.25">
      <c r="A622" s="4">
        <v>41004</v>
      </c>
      <c r="B622" s="4" t="s">
        <v>401</v>
      </c>
      <c r="C622" s="34"/>
      <c r="D622" s="34">
        <v>146</v>
      </c>
    </row>
    <row r="623" spans="1:4" s="25" customFormat="1" hidden="1" x14ac:dyDescent="0.25">
      <c r="A623" s="4">
        <v>41004</v>
      </c>
      <c r="B623" s="4" t="s">
        <v>402</v>
      </c>
      <c r="C623" s="34">
        <v>301.89</v>
      </c>
      <c r="D623" s="34"/>
    </row>
    <row r="624" spans="1:4" s="25" customFormat="1" hidden="1" x14ac:dyDescent="0.25">
      <c r="A624" s="4">
        <v>41004</v>
      </c>
      <c r="B624" s="4" t="s">
        <v>403</v>
      </c>
      <c r="C624" s="34">
        <v>685</v>
      </c>
      <c r="D624" s="34"/>
    </row>
    <row r="625" spans="1:4" s="25" customFormat="1" hidden="1" x14ac:dyDescent="0.25">
      <c r="A625" s="4">
        <v>41010</v>
      </c>
      <c r="B625" s="4" t="s">
        <v>404</v>
      </c>
      <c r="C625" s="34">
        <v>14550.6</v>
      </c>
      <c r="D625" s="34"/>
    </row>
    <row r="626" spans="1:4" s="25" customFormat="1" hidden="1" x14ac:dyDescent="0.25">
      <c r="A626" s="4">
        <v>41012</v>
      </c>
      <c r="B626" s="4" t="s">
        <v>385</v>
      </c>
      <c r="C626" s="34">
        <v>180</v>
      </c>
      <c r="D626" s="34"/>
    </row>
    <row r="627" spans="1:4" s="25" customFormat="1" hidden="1" x14ac:dyDescent="0.25">
      <c r="A627" s="4">
        <v>41023</v>
      </c>
      <c r="B627" s="4" t="s">
        <v>405</v>
      </c>
      <c r="C627" s="34">
        <v>2355.09</v>
      </c>
      <c r="D627" s="34"/>
    </row>
    <row r="628" spans="1:4" s="25" customFormat="1" hidden="1" x14ac:dyDescent="0.25">
      <c r="A628" s="4">
        <v>41025</v>
      </c>
      <c r="B628" s="4" t="s">
        <v>406</v>
      </c>
      <c r="C628" s="34"/>
      <c r="D628" s="34">
        <v>10316</v>
      </c>
    </row>
    <row r="629" spans="1:4" s="25" customFormat="1" hidden="1" x14ac:dyDescent="0.25">
      <c r="A629" s="4">
        <v>41026</v>
      </c>
      <c r="B629" s="4" t="s">
        <v>407</v>
      </c>
      <c r="C629" s="34"/>
      <c r="D629" s="34">
        <v>9726</v>
      </c>
    </row>
    <row r="630" spans="1:4" s="25" customFormat="1" hidden="1" x14ac:dyDescent="0.25">
      <c r="A630" s="4">
        <v>41029</v>
      </c>
      <c r="B630" s="4" t="s">
        <v>372</v>
      </c>
      <c r="C630" s="34">
        <v>324.5</v>
      </c>
      <c r="D630" s="34"/>
    </row>
    <row r="631" spans="1:4" s="25" customFormat="1" hidden="1" x14ac:dyDescent="0.25">
      <c r="A631" s="4">
        <v>41052</v>
      </c>
      <c r="B631" s="4" t="s">
        <v>408</v>
      </c>
      <c r="C631" s="34"/>
      <c r="D631" s="34">
        <v>5417.08</v>
      </c>
    </row>
    <row r="632" spans="1:4" s="25" customFormat="1" hidden="1" x14ac:dyDescent="0.25">
      <c r="A632" s="4">
        <v>41053</v>
      </c>
      <c r="B632" s="4" t="s">
        <v>409</v>
      </c>
      <c r="C632" s="34"/>
      <c r="D632" s="34">
        <v>4.5</v>
      </c>
    </row>
    <row r="633" spans="1:4" s="25" customFormat="1" hidden="1" x14ac:dyDescent="0.25">
      <c r="A633" s="4">
        <v>41053</v>
      </c>
      <c r="B633" s="4" t="s">
        <v>410</v>
      </c>
      <c r="C633" s="34"/>
      <c r="D633" s="34">
        <v>1430</v>
      </c>
    </row>
    <row r="634" spans="1:4" s="25" customFormat="1" hidden="1" x14ac:dyDescent="0.25">
      <c r="A634" s="4">
        <v>41057</v>
      </c>
      <c r="B634" s="4" t="s">
        <v>411</v>
      </c>
      <c r="C634" s="34">
        <v>1588.71</v>
      </c>
      <c r="D634" s="34"/>
    </row>
    <row r="635" spans="1:4" s="25" customFormat="1" hidden="1" x14ac:dyDescent="0.25">
      <c r="A635" s="4">
        <v>41060</v>
      </c>
      <c r="B635" s="4" t="s">
        <v>372</v>
      </c>
      <c r="C635" s="34">
        <v>262.37</v>
      </c>
      <c r="D635" s="34"/>
    </row>
    <row r="636" spans="1:4" s="25" customFormat="1" hidden="1" x14ac:dyDescent="0.25">
      <c r="A636" s="4">
        <v>41072</v>
      </c>
      <c r="B636" s="4" t="s">
        <v>412</v>
      </c>
      <c r="C636" s="34"/>
      <c r="D636" s="34">
        <v>2018.4</v>
      </c>
    </row>
    <row r="637" spans="1:4" s="25" customFormat="1" hidden="1" x14ac:dyDescent="0.25">
      <c r="A637" s="4">
        <v>41089</v>
      </c>
      <c r="B637" s="4" t="s">
        <v>372</v>
      </c>
      <c r="C637" s="34">
        <v>224.63</v>
      </c>
      <c r="D637" s="34"/>
    </row>
    <row r="638" spans="1:4" s="25" customFormat="1" hidden="1" x14ac:dyDescent="0.25">
      <c r="A638" s="4"/>
      <c r="B638" s="4"/>
      <c r="C638" s="34"/>
      <c r="D638" s="34"/>
    </row>
    <row r="639" spans="1:4" s="25" customFormat="1" hidden="1" x14ac:dyDescent="0.25">
      <c r="A639" s="4"/>
      <c r="B639" s="4"/>
      <c r="C639" s="34"/>
      <c r="D639" s="34"/>
    </row>
    <row r="640" spans="1:4" s="25" customFormat="1" hidden="1" x14ac:dyDescent="0.25">
      <c r="A640" s="4">
        <v>41090</v>
      </c>
      <c r="B640" t="s">
        <v>14</v>
      </c>
      <c r="C640" s="36">
        <f>SUM(C580:C639)</f>
        <v>121058.21999999986</v>
      </c>
      <c r="D640" s="36">
        <f>SUM(D580:D639)</f>
        <v>44568.98</v>
      </c>
    </row>
    <row r="641" spans="1:4" s="25" customFormat="1" hidden="1" x14ac:dyDescent="0.25">
      <c r="A641" s="4"/>
      <c r="B641" s="4" t="s">
        <v>15</v>
      </c>
      <c r="C641" s="34">
        <f>IF(C640&gt;D640,C640-D640," ")</f>
        <v>76489.239999999845</v>
      </c>
      <c r="D641" s="34" t="str">
        <f>IF(D640&gt;C640,D640-C640," ")</f>
        <v xml:space="preserve"> </v>
      </c>
    </row>
    <row r="642" spans="1:4" s="25" customFormat="1" hidden="1" x14ac:dyDescent="0.25">
      <c r="A642" s="4">
        <v>41092</v>
      </c>
      <c r="B642" s="3" t="s">
        <v>424</v>
      </c>
      <c r="C642" s="34">
        <v>330</v>
      </c>
      <c r="D642" s="34"/>
    </row>
    <row r="643" spans="1:4" s="25" customFormat="1" hidden="1" x14ac:dyDescent="0.25">
      <c r="A643" s="4">
        <v>41092</v>
      </c>
      <c r="B643" s="3" t="s">
        <v>425</v>
      </c>
      <c r="C643" s="34">
        <v>410</v>
      </c>
      <c r="D643" s="34"/>
    </row>
    <row r="644" spans="1:4" s="25" customFormat="1" hidden="1" x14ac:dyDescent="0.25">
      <c r="A644" s="4">
        <v>41103</v>
      </c>
      <c r="B644" s="3" t="s">
        <v>426</v>
      </c>
      <c r="C644" s="34"/>
      <c r="D644" s="34">
        <v>146</v>
      </c>
    </row>
    <row r="645" spans="1:4" s="25" customFormat="1" hidden="1" x14ac:dyDescent="0.25">
      <c r="A645" s="4">
        <v>41106</v>
      </c>
      <c r="B645" s="3" t="s">
        <v>427</v>
      </c>
      <c r="C645" s="34">
        <v>450</v>
      </c>
      <c r="D645" s="34"/>
    </row>
    <row r="646" spans="1:4" s="25" customFormat="1" hidden="1" x14ac:dyDescent="0.25">
      <c r="A646" s="4">
        <v>41115</v>
      </c>
      <c r="B646" s="3" t="s">
        <v>428</v>
      </c>
      <c r="C646" s="34">
        <v>2329.89</v>
      </c>
      <c r="D646" s="34"/>
    </row>
    <row r="647" spans="1:4" s="25" customFormat="1" hidden="1" x14ac:dyDescent="0.25">
      <c r="A647" s="4">
        <v>41121</v>
      </c>
      <c r="B647" s="3" t="s">
        <v>372</v>
      </c>
      <c r="C647" s="34">
        <v>230.87</v>
      </c>
      <c r="D647" s="34"/>
    </row>
    <row r="648" spans="1:4" s="25" customFormat="1" hidden="1" x14ac:dyDescent="0.25">
      <c r="A648" s="4">
        <v>41149</v>
      </c>
      <c r="B648" s="3" t="s">
        <v>429</v>
      </c>
      <c r="C648" s="34">
        <v>1787.61</v>
      </c>
      <c r="D648" s="34"/>
    </row>
    <row r="649" spans="1:4" s="25" customFormat="1" hidden="1" x14ac:dyDescent="0.25">
      <c r="A649" s="4">
        <v>41150</v>
      </c>
      <c r="B649" s="3" t="s">
        <v>430</v>
      </c>
      <c r="C649" s="34"/>
      <c r="D649" s="34">
        <v>114.61</v>
      </c>
    </row>
    <row r="650" spans="1:4" s="25" customFormat="1" hidden="1" x14ac:dyDescent="0.25">
      <c r="A650" s="4">
        <v>41152</v>
      </c>
      <c r="B650" s="3" t="s">
        <v>372</v>
      </c>
      <c r="C650" s="34">
        <v>238.15</v>
      </c>
      <c r="D650" s="34"/>
    </row>
    <row r="651" spans="1:4" s="25" customFormat="1" hidden="1" x14ac:dyDescent="0.25">
      <c r="A651" s="4">
        <v>41152</v>
      </c>
      <c r="B651" s="3" t="s">
        <v>431</v>
      </c>
      <c r="C651" s="34">
        <v>370.75</v>
      </c>
      <c r="D651" s="34"/>
    </row>
    <row r="652" spans="1:4" s="25" customFormat="1" hidden="1" x14ac:dyDescent="0.25">
      <c r="A652" s="4">
        <v>41152</v>
      </c>
      <c r="B652" s="3" t="s">
        <v>432</v>
      </c>
      <c r="C652" s="34">
        <v>138.56</v>
      </c>
      <c r="D652" s="34"/>
    </row>
    <row r="653" spans="1:4" s="25" customFormat="1" hidden="1" x14ac:dyDescent="0.25">
      <c r="A653" s="4">
        <v>41173</v>
      </c>
      <c r="B653" s="3" t="s">
        <v>433</v>
      </c>
      <c r="C653" s="34">
        <v>716.8</v>
      </c>
      <c r="D653" s="34"/>
    </row>
    <row r="654" spans="1:4" s="25" customFormat="1" hidden="1" x14ac:dyDescent="0.25">
      <c r="A654" s="4">
        <v>41173</v>
      </c>
      <c r="B654" s="3" t="s">
        <v>434</v>
      </c>
      <c r="C654" s="34">
        <v>40</v>
      </c>
      <c r="D654" s="34"/>
    </row>
    <row r="655" spans="1:4" s="25" customFormat="1" hidden="1" x14ac:dyDescent="0.25">
      <c r="A655" s="4">
        <v>41176</v>
      </c>
      <c r="B655" s="3" t="s">
        <v>435</v>
      </c>
      <c r="C655" s="34">
        <v>216.8</v>
      </c>
      <c r="D655" s="34"/>
    </row>
    <row r="656" spans="1:4" s="25" customFormat="1" hidden="1" x14ac:dyDescent="0.25">
      <c r="A656" s="4">
        <v>41179</v>
      </c>
      <c r="B656" s="3" t="s">
        <v>436</v>
      </c>
      <c r="C656" s="34">
        <v>388.8</v>
      </c>
      <c r="D656" s="34"/>
    </row>
    <row r="657" spans="1:4" s="25" customFormat="1" hidden="1" x14ac:dyDescent="0.25">
      <c r="A657" s="4">
        <v>41180</v>
      </c>
      <c r="B657" s="3" t="s">
        <v>372</v>
      </c>
      <c r="C657" s="34">
        <v>237.79</v>
      </c>
      <c r="D657" s="34"/>
    </row>
    <row r="658" spans="1:4" s="25" customFormat="1" hidden="1" x14ac:dyDescent="0.25">
      <c r="A658" s="4">
        <v>41180</v>
      </c>
      <c r="B658" s="3" t="s">
        <v>437</v>
      </c>
      <c r="C658" s="34">
        <v>275.42</v>
      </c>
      <c r="D658" s="34"/>
    </row>
    <row r="659" spans="1:4" s="25" customFormat="1" hidden="1" x14ac:dyDescent="0.25">
      <c r="A659" s="4">
        <v>41187</v>
      </c>
      <c r="B659" s="3" t="s">
        <v>438</v>
      </c>
      <c r="C659" s="34">
        <v>985</v>
      </c>
      <c r="D659" s="34"/>
    </row>
    <row r="660" spans="1:4" s="25" customFormat="1" hidden="1" x14ac:dyDescent="0.25">
      <c r="A660" s="4">
        <v>41190</v>
      </c>
      <c r="B660" s="3" t="s">
        <v>439</v>
      </c>
      <c r="C660" s="34"/>
      <c r="D660" s="34">
        <v>134</v>
      </c>
    </row>
    <row r="661" spans="1:4" s="25" customFormat="1" hidden="1" x14ac:dyDescent="0.25">
      <c r="A661" s="4">
        <v>41194</v>
      </c>
      <c r="B661" s="3" t="s">
        <v>385</v>
      </c>
      <c r="C661" s="34">
        <v>200</v>
      </c>
      <c r="D661" s="34"/>
    </row>
    <row r="662" spans="1:4" s="25" customFormat="1" hidden="1" x14ac:dyDescent="0.25">
      <c r="A662" s="4">
        <v>41201</v>
      </c>
      <c r="B662" s="3" t="s">
        <v>440</v>
      </c>
      <c r="C662" s="34">
        <v>150</v>
      </c>
      <c r="D662" s="34"/>
    </row>
    <row r="663" spans="1:4" s="25" customFormat="1" hidden="1" x14ac:dyDescent="0.25">
      <c r="A663" s="4">
        <v>41213</v>
      </c>
      <c r="B663" s="3" t="s">
        <v>372</v>
      </c>
      <c r="C663" s="34">
        <v>237.22</v>
      </c>
      <c r="D663" s="34"/>
    </row>
    <row r="664" spans="1:4" s="25" customFormat="1" hidden="1" x14ac:dyDescent="0.25">
      <c r="A664" s="4">
        <v>41222</v>
      </c>
      <c r="B664" s="3" t="s">
        <v>441</v>
      </c>
      <c r="C664" s="34">
        <v>2344.11</v>
      </c>
      <c r="D664" s="34"/>
    </row>
    <row r="665" spans="1:4" s="25" customFormat="1" hidden="1" x14ac:dyDescent="0.25">
      <c r="A665" s="4">
        <v>41243</v>
      </c>
      <c r="B665" s="3" t="s">
        <v>372</v>
      </c>
      <c r="C665" s="34">
        <v>233.22</v>
      </c>
      <c r="D665" s="34"/>
    </row>
    <row r="666" spans="1:4" s="25" customFormat="1" hidden="1" x14ac:dyDescent="0.25">
      <c r="A666" s="4">
        <v>41248</v>
      </c>
      <c r="B666" s="3" t="s">
        <v>442</v>
      </c>
      <c r="C666" s="34">
        <v>1773.39</v>
      </c>
      <c r="D666" s="34"/>
    </row>
    <row r="667" spans="1:4" s="25" customFormat="1" hidden="1" x14ac:dyDescent="0.25">
      <c r="A667" s="4">
        <v>41261</v>
      </c>
      <c r="B667" s="3" t="s">
        <v>443</v>
      </c>
      <c r="C667" s="34">
        <v>450</v>
      </c>
      <c r="D667" s="34"/>
    </row>
    <row r="668" spans="1:4" s="25" customFormat="1" hidden="1" x14ac:dyDescent="0.25">
      <c r="A668" s="4">
        <v>41262</v>
      </c>
      <c r="B668" s="3" t="s">
        <v>444</v>
      </c>
      <c r="C668" s="34">
        <v>395</v>
      </c>
      <c r="D668" s="34"/>
    </row>
    <row r="669" spans="1:4" s="25" customFormat="1" hidden="1" x14ac:dyDescent="0.25">
      <c r="A669" s="4">
        <v>41263</v>
      </c>
      <c r="B669" s="3" t="s">
        <v>445</v>
      </c>
      <c r="C669" s="34">
        <v>420</v>
      </c>
      <c r="D669" s="34"/>
    </row>
    <row r="670" spans="1:4" s="25" customFormat="1" hidden="1" x14ac:dyDescent="0.25">
      <c r="A670" s="4">
        <v>41274</v>
      </c>
      <c r="B670" s="3" t="s">
        <v>372</v>
      </c>
      <c r="C670" s="34">
        <v>233.58</v>
      </c>
      <c r="D670" s="34"/>
    </row>
    <row r="671" spans="1:4" s="25" customFormat="1" hidden="1" x14ac:dyDescent="0.25">
      <c r="A671" s="4">
        <v>41277</v>
      </c>
      <c r="B671" s="3" t="s">
        <v>446</v>
      </c>
      <c r="C671" s="34"/>
      <c r="D671" s="34">
        <v>134</v>
      </c>
    </row>
    <row r="672" spans="1:4" s="25" customFormat="1" hidden="1" x14ac:dyDescent="0.25">
      <c r="A672" s="4">
        <v>41299</v>
      </c>
      <c r="B672" s="3" t="s">
        <v>447</v>
      </c>
      <c r="C672" s="34">
        <v>2344.11</v>
      </c>
      <c r="D672" s="34"/>
    </row>
    <row r="673" spans="1:4" s="25" customFormat="1" hidden="1" x14ac:dyDescent="0.25">
      <c r="A673" s="4">
        <v>41305</v>
      </c>
      <c r="B673" s="3" t="s">
        <v>372</v>
      </c>
      <c r="C673" s="34">
        <v>234.58</v>
      </c>
      <c r="D673" s="34"/>
    </row>
    <row r="674" spans="1:4" s="25" customFormat="1" hidden="1" x14ac:dyDescent="0.25">
      <c r="A674" s="4">
        <v>41332</v>
      </c>
      <c r="B674" s="3" t="s">
        <v>448</v>
      </c>
      <c r="C674" s="34">
        <v>1773.39</v>
      </c>
      <c r="D674" s="34"/>
    </row>
    <row r="675" spans="1:4" s="25" customFormat="1" hidden="1" x14ac:dyDescent="0.25">
      <c r="A675" s="4">
        <v>41333</v>
      </c>
      <c r="B675" s="3" t="s">
        <v>449</v>
      </c>
      <c r="C675" s="34">
        <v>370.75</v>
      </c>
      <c r="D675" s="34"/>
    </row>
    <row r="676" spans="1:4" s="25" customFormat="1" hidden="1" x14ac:dyDescent="0.25">
      <c r="A676" s="4">
        <v>41333</v>
      </c>
      <c r="B676" s="3" t="s">
        <v>450</v>
      </c>
      <c r="C676" s="34">
        <v>142.31</v>
      </c>
      <c r="D676" s="34"/>
    </row>
    <row r="677" spans="1:4" s="25" customFormat="1" hidden="1" x14ac:dyDescent="0.25">
      <c r="A677" s="4">
        <v>41333</v>
      </c>
      <c r="B677" s="3" t="s">
        <v>372</v>
      </c>
      <c r="C677" s="34">
        <v>217</v>
      </c>
      <c r="D677" s="34"/>
    </row>
    <row r="678" spans="1:4" s="25" customFormat="1" hidden="1" x14ac:dyDescent="0.25">
      <c r="A678" s="4">
        <v>41353</v>
      </c>
      <c r="B678" s="3" t="s">
        <v>451</v>
      </c>
      <c r="C678" s="34">
        <v>40</v>
      </c>
      <c r="D678" s="34"/>
    </row>
    <row r="679" spans="1:4" s="25" customFormat="1" hidden="1" x14ac:dyDescent="0.25">
      <c r="A679" s="4">
        <v>41355</v>
      </c>
      <c r="B679" s="3" t="s">
        <v>452</v>
      </c>
      <c r="C679" s="34">
        <v>716.8</v>
      </c>
      <c r="D679" s="34"/>
    </row>
    <row r="680" spans="1:4" s="25" customFormat="1" hidden="1" x14ac:dyDescent="0.25">
      <c r="A680" s="4">
        <v>41361</v>
      </c>
      <c r="B680" s="3" t="s">
        <v>453</v>
      </c>
      <c r="C680" s="34">
        <v>54.2</v>
      </c>
      <c r="D680" s="34"/>
    </row>
    <row r="681" spans="1:4" s="25" customFormat="1" hidden="1" x14ac:dyDescent="0.25">
      <c r="A681" s="4">
        <v>41361</v>
      </c>
      <c r="B681" s="3" t="s">
        <v>454</v>
      </c>
      <c r="C681" s="34">
        <v>277.83999999999997</v>
      </c>
      <c r="D681" s="34"/>
    </row>
    <row r="682" spans="1:4" s="25" customFormat="1" hidden="1" x14ac:dyDescent="0.25">
      <c r="A682" s="4">
        <v>41361</v>
      </c>
      <c r="B682" s="3" t="s">
        <v>372</v>
      </c>
      <c r="C682" s="34">
        <v>246.93</v>
      </c>
      <c r="D682" s="34"/>
    </row>
    <row r="683" spans="1:4" s="25" customFormat="1" hidden="1" x14ac:dyDescent="0.25">
      <c r="A683" s="4">
        <v>41367</v>
      </c>
      <c r="B683" s="3" t="s">
        <v>455</v>
      </c>
      <c r="C683" s="34">
        <v>395.13</v>
      </c>
      <c r="D683" s="34"/>
    </row>
    <row r="684" spans="1:4" s="25" customFormat="1" hidden="1" x14ac:dyDescent="0.25">
      <c r="A684" s="4">
        <v>41368</v>
      </c>
      <c r="B684" s="3" t="s">
        <v>456</v>
      </c>
      <c r="C684" s="34">
        <v>364.5</v>
      </c>
      <c r="D684" s="34"/>
    </row>
    <row r="685" spans="1:4" s="25" customFormat="1" hidden="1" x14ac:dyDescent="0.25">
      <c r="A685" s="4">
        <v>41369</v>
      </c>
      <c r="B685" s="3" t="s">
        <v>457</v>
      </c>
      <c r="C685" s="34">
        <v>820</v>
      </c>
      <c r="D685" s="34"/>
    </row>
    <row r="686" spans="1:4" s="25" customFormat="1" hidden="1" x14ac:dyDescent="0.25">
      <c r="A686" s="4">
        <v>41374</v>
      </c>
      <c r="B686" s="3" t="s">
        <v>440</v>
      </c>
      <c r="C686" s="34">
        <v>250</v>
      </c>
      <c r="D686" s="34"/>
    </row>
    <row r="687" spans="1:4" s="25" customFormat="1" hidden="1" x14ac:dyDescent="0.25">
      <c r="A687" s="4">
        <v>41376</v>
      </c>
      <c r="B687" s="3" t="s">
        <v>385</v>
      </c>
      <c r="C687" s="34">
        <v>200</v>
      </c>
      <c r="D687" s="34"/>
    </row>
    <row r="688" spans="1:4" s="25" customFormat="1" hidden="1" x14ac:dyDescent="0.25">
      <c r="A688" s="4">
        <v>41383</v>
      </c>
      <c r="B688" s="3" t="s">
        <v>458</v>
      </c>
      <c r="C688" s="34">
        <v>33.53</v>
      </c>
      <c r="D688" s="34"/>
    </row>
    <row r="689" spans="1:4" s="25" customFormat="1" hidden="1" x14ac:dyDescent="0.25">
      <c r="A689" s="4">
        <v>41386</v>
      </c>
      <c r="B689" s="3" t="s">
        <v>459</v>
      </c>
      <c r="C689" s="34">
        <v>2344.11</v>
      </c>
      <c r="D689" s="34"/>
    </row>
    <row r="690" spans="1:4" s="25" customFormat="1" hidden="1" x14ac:dyDescent="0.25">
      <c r="A690" s="4">
        <v>41394</v>
      </c>
      <c r="B690" s="3" t="s">
        <v>460</v>
      </c>
      <c r="C690" s="34"/>
      <c r="D690" s="34">
        <v>134</v>
      </c>
    </row>
    <row r="691" spans="1:4" s="25" customFormat="1" hidden="1" x14ac:dyDescent="0.25">
      <c r="A691" s="4">
        <v>41394</v>
      </c>
      <c r="B691" s="3" t="s">
        <v>372</v>
      </c>
      <c r="C691" s="34">
        <v>247.51</v>
      </c>
      <c r="D691" s="34"/>
    </row>
    <row r="692" spans="1:4" s="25" customFormat="1" hidden="1" x14ac:dyDescent="0.25">
      <c r="A692" s="4">
        <v>41397</v>
      </c>
      <c r="B692" s="3" t="s">
        <v>461</v>
      </c>
      <c r="C692" s="34"/>
      <c r="D692" s="34">
        <v>14839</v>
      </c>
    </row>
    <row r="693" spans="1:4" s="25" customFormat="1" hidden="1" x14ac:dyDescent="0.25">
      <c r="A693" s="4">
        <v>41397</v>
      </c>
      <c r="B693" s="3" t="s">
        <v>462</v>
      </c>
      <c r="C693" s="34"/>
      <c r="D693" s="34">
        <v>14962</v>
      </c>
    </row>
    <row r="694" spans="1:4" s="25" customFormat="1" hidden="1" x14ac:dyDescent="0.25">
      <c r="A694" s="4">
        <v>41397</v>
      </c>
      <c r="B694" s="3" t="s">
        <v>463</v>
      </c>
      <c r="C694" s="34">
        <v>1817.53</v>
      </c>
      <c r="D694" s="34"/>
    </row>
    <row r="695" spans="1:4" s="25" customFormat="1" hidden="1" x14ac:dyDescent="0.25">
      <c r="A695" s="4">
        <v>41397</v>
      </c>
      <c r="B695" s="3" t="s">
        <v>464</v>
      </c>
      <c r="C695" s="34">
        <v>81.150000000000006</v>
      </c>
      <c r="D695" s="34"/>
    </row>
    <row r="696" spans="1:4" s="25" customFormat="1" hidden="1" x14ac:dyDescent="0.25">
      <c r="A696" s="4">
        <v>41410</v>
      </c>
      <c r="B696" s="3" t="s">
        <v>465</v>
      </c>
      <c r="C696" s="34">
        <v>16.45</v>
      </c>
      <c r="D696" s="34"/>
    </row>
    <row r="697" spans="1:4" s="25" customFormat="1" hidden="1" x14ac:dyDescent="0.25">
      <c r="A697" s="4">
        <v>41416</v>
      </c>
      <c r="B697" s="3" t="s">
        <v>466</v>
      </c>
      <c r="C697" s="34"/>
      <c r="D697" s="34">
        <v>6140.66</v>
      </c>
    </row>
    <row r="698" spans="1:4" s="25" customFormat="1" hidden="1" x14ac:dyDescent="0.25">
      <c r="A698" s="4">
        <v>41418</v>
      </c>
      <c r="B698" s="3" t="s">
        <v>467</v>
      </c>
      <c r="C698" s="34">
        <v>1773.39</v>
      </c>
      <c r="D698" s="34"/>
    </row>
    <row r="699" spans="1:4" s="25" customFormat="1" hidden="1" x14ac:dyDescent="0.25">
      <c r="A699" s="4">
        <v>41423</v>
      </c>
      <c r="B699" s="3" t="s">
        <v>468</v>
      </c>
      <c r="C699" s="34">
        <v>380.82</v>
      </c>
      <c r="D699" s="34"/>
    </row>
    <row r="700" spans="1:4" s="25" customFormat="1" hidden="1" x14ac:dyDescent="0.25">
      <c r="A700" s="4">
        <v>41425</v>
      </c>
      <c r="B700" s="3" t="s">
        <v>372</v>
      </c>
      <c r="C700" s="34">
        <v>179.92</v>
      </c>
      <c r="D700" s="34"/>
    </row>
    <row r="701" spans="1:4" s="25" customFormat="1" hidden="1" x14ac:dyDescent="0.25">
      <c r="A701" s="4">
        <v>41428</v>
      </c>
      <c r="B701" s="3" t="s">
        <v>469</v>
      </c>
      <c r="C701" s="34"/>
      <c r="D701" s="34">
        <v>1540</v>
      </c>
    </row>
    <row r="702" spans="1:4" s="25" customFormat="1" hidden="1" x14ac:dyDescent="0.25">
      <c r="A702" s="4">
        <v>41453</v>
      </c>
      <c r="B702" s="3" t="s">
        <v>372</v>
      </c>
      <c r="C702" s="34">
        <v>156.79</v>
      </c>
      <c r="D702" s="34"/>
    </row>
    <row r="703" spans="1:4" s="25" customFormat="1" hidden="1" x14ac:dyDescent="0.25">
      <c r="A703" s="4"/>
      <c r="B703" s="4"/>
      <c r="C703" s="34"/>
      <c r="D703" s="34"/>
    </row>
    <row r="704" spans="1:4" s="25" customFormat="1" hidden="1" x14ac:dyDescent="0.25">
      <c r="A704" s="4"/>
      <c r="B704" s="4"/>
      <c r="C704" s="34"/>
      <c r="D704" s="34"/>
    </row>
    <row r="705" spans="1:4" s="25" customFormat="1" hidden="1" x14ac:dyDescent="0.25">
      <c r="A705" s="4">
        <v>41455</v>
      </c>
      <c r="B705" t="s">
        <v>14</v>
      </c>
      <c r="C705" s="36">
        <f>SUM(C641:C704)</f>
        <v>107550.93999999981</v>
      </c>
      <c r="D705" s="36">
        <f>SUM(D641:D704)</f>
        <v>38144.270000000004</v>
      </c>
    </row>
    <row r="706" spans="1:4" s="25" customFormat="1" hidden="1" x14ac:dyDescent="0.25">
      <c r="A706" s="4"/>
      <c r="B706" s="4" t="s">
        <v>15</v>
      </c>
      <c r="C706" s="34">
        <f>IF(C705&gt;D705,C705-D705," ")</f>
        <v>69406.669999999809</v>
      </c>
      <c r="D706" s="34" t="str">
        <f>IF(D705&gt;C705,D705-C705," ")</f>
        <v xml:space="preserve"> </v>
      </c>
    </row>
    <row r="707" spans="1:4" s="25" customFormat="1" hidden="1" x14ac:dyDescent="0.25">
      <c r="A707" s="4">
        <v>41456</v>
      </c>
      <c r="B707" s="4" t="s">
        <v>485</v>
      </c>
      <c r="C707" s="34"/>
      <c r="D707" s="34">
        <v>134</v>
      </c>
    </row>
    <row r="708" spans="1:4" s="25" customFormat="1" hidden="1" x14ac:dyDescent="0.25">
      <c r="A708" s="4">
        <v>41456</v>
      </c>
      <c r="B708" s="4" t="s">
        <v>486</v>
      </c>
      <c r="C708" s="34">
        <v>365</v>
      </c>
      <c r="D708" s="34"/>
    </row>
    <row r="709" spans="1:4" s="25" customFormat="1" hidden="1" x14ac:dyDescent="0.25">
      <c r="A709" s="4">
        <v>41457</v>
      </c>
      <c r="B709" s="4" t="s">
        <v>487</v>
      </c>
      <c r="C709" s="34">
        <v>480</v>
      </c>
      <c r="D709" s="34"/>
    </row>
    <row r="710" spans="1:4" s="25" customFormat="1" hidden="1" x14ac:dyDescent="0.25">
      <c r="A710" s="4">
        <v>41466</v>
      </c>
      <c r="B710" s="4" t="s">
        <v>488</v>
      </c>
      <c r="C710" s="34">
        <v>383.66</v>
      </c>
      <c r="D710" s="34"/>
    </row>
    <row r="711" spans="1:4" s="25" customFormat="1" hidden="1" x14ac:dyDescent="0.25">
      <c r="A711" s="4">
        <v>41471</v>
      </c>
      <c r="B711" s="4" t="s">
        <v>489</v>
      </c>
      <c r="C711" s="34">
        <v>465</v>
      </c>
      <c r="D711" s="34"/>
    </row>
    <row r="712" spans="1:4" s="25" customFormat="1" hidden="1" x14ac:dyDescent="0.25">
      <c r="A712" s="4">
        <v>41480</v>
      </c>
      <c r="B712" s="4" t="s">
        <v>490</v>
      </c>
      <c r="C712" s="34">
        <v>2398.9899999999998</v>
      </c>
      <c r="D712" s="34"/>
    </row>
    <row r="713" spans="1:4" s="25" customFormat="1" hidden="1" x14ac:dyDescent="0.25">
      <c r="A713" s="4">
        <v>41486</v>
      </c>
      <c r="B713" s="4" t="s">
        <v>372</v>
      </c>
      <c r="C713" s="34">
        <v>166.18</v>
      </c>
      <c r="D713" s="34"/>
    </row>
    <row r="714" spans="1:4" s="25" customFormat="1" hidden="1" x14ac:dyDescent="0.25">
      <c r="A714" s="4">
        <v>41509</v>
      </c>
      <c r="B714" s="4" t="s">
        <v>491</v>
      </c>
      <c r="C714" s="34">
        <v>2044.71</v>
      </c>
      <c r="D714" s="34"/>
    </row>
    <row r="715" spans="1:4" s="25" customFormat="1" hidden="1" x14ac:dyDescent="0.25">
      <c r="A715" s="4">
        <v>41516</v>
      </c>
      <c r="B715" s="4" t="s">
        <v>492</v>
      </c>
      <c r="C715" s="34">
        <v>381.99</v>
      </c>
      <c r="D715" s="34"/>
    </row>
    <row r="716" spans="1:4" s="25" customFormat="1" hidden="1" x14ac:dyDescent="0.25">
      <c r="A716" s="4">
        <v>41516</v>
      </c>
      <c r="B716" s="4" t="s">
        <v>493</v>
      </c>
      <c r="C716" s="34">
        <v>148.66999999999999</v>
      </c>
      <c r="D716" s="34"/>
    </row>
    <row r="717" spans="1:4" s="25" customFormat="1" hidden="1" x14ac:dyDescent="0.25">
      <c r="A717" s="4">
        <v>41516</v>
      </c>
      <c r="B717" s="4" t="s">
        <v>372</v>
      </c>
      <c r="C717" s="34">
        <v>161.54</v>
      </c>
      <c r="D717" s="34"/>
    </row>
    <row r="718" spans="1:4" s="25" customFormat="1" hidden="1" x14ac:dyDescent="0.25">
      <c r="A718" s="4">
        <v>41534</v>
      </c>
      <c r="B718" s="4" t="s">
        <v>494</v>
      </c>
      <c r="C718" s="34">
        <v>40</v>
      </c>
      <c r="D718" s="34"/>
    </row>
    <row r="719" spans="1:4" s="25" customFormat="1" hidden="1" x14ac:dyDescent="0.25">
      <c r="A719" s="4">
        <v>41537</v>
      </c>
      <c r="B719" s="4" t="s">
        <v>495</v>
      </c>
      <c r="C719" s="34">
        <v>716.8</v>
      </c>
      <c r="D719" s="34"/>
    </row>
    <row r="720" spans="1:4" s="25" customFormat="1" hidden="1" x14ac:dyDescent="0.25">
      <c r="A720" s="4">
        <v>41540</v>
      </c>
      <c r="B720" s="4" t="s">
        <v>496</v>
      </c>
      <c r="C720" s="34">
        <v>108.4</v>
      </c>
      <c r="D720" s="34"/>
    </row>
    <row r="721" spans="1:4" s="25" customFormat="1" hidden="1" x14ac:dyDescent="0.25">
      <c r="A721" s="4">
        <v>41542</v>
      </c>
      <c r="B721" s="4" t="s">
        <v>497</v>
      </c>
      <c r="C721" s="34">
        <v>321.89</v>
      </c>
      <c r="D721" s="34"/>
    </row>
    <row r="722" spans="1:4" s="25" customFormat="1" hidden="1" x14ac:dyDescent="0.25">
      <c r="A722" s="4">
        <v>41542</v>
      </c>
      <c r="B722" s="4" t="s">
        <v>498</v>
      </c>
      <c r="C722" s="34">
        <v>577.02</v>
      </c>
      <c r="D722" s="34"/>
    </row>
    <row r="723" spans="1:4" s="25" customFormat="1" hidden="1" x14ac:dyDescent="0.25">
      <c r="A723" s="4">
        <v>41544</v>
      </c>
      <c r="B723" s="4" t="s">
        <v>499</v>
      </c>
      <c r="C723" s="34">
        <v>280</v>
      </c>
      <c r="D723" s="34"/>
    </row>
    <row r="724" spans="1:4" s="25" customFormat="1" hidden="1" x14ac:dyDescent="0.25">
      <c r="A724" s="4">
        <v>41544</v>
      </c>
      <c r="B724" s="4" t="s">
        <v>500</v>
      </c>
      <c r="C724" s="34">
        <v>400.95</v>
      </c>
      <c r="D724" s="34"/>
    </row>
    <row r="725" spans="1:4" s="25" customFormat="1" hidden="1" x14ac:dyDescent="0.25">
      <c r="A725" s="4">
        <v>41547</v>
      </c>
      <c r="B725" s="4" t="s">
        <v>372</v>
      </c>
      <c r="C725" s="34">
        <v>157.86000000000001</v>
      </c>
      <c r="D725" s="34"/>
    </row>
    <row r="726" spans="1:4" s="25" customFormat="1" hidden="1" x14ac:dyDescent="0.25">
      <c r="A726" s="4">
        <v>41550</v>
      </c>
      <c r="B726" s="4" t="s">
        <v>501</v>
      </c>
      <c r="C726" s="34">
        <v>1000</v>
      </c>
      <c r="D726" s="34"/>
    </row>
    <row r="727" spans="1:4" s="25" customFormat="1" hidden="1" x14ac:dyDescent="0.25">
      <c r="A727" s="4">
        <v>41551</v>
      </c>
      <c r="B727" s="4" t="s">
        <v>502</v>
      </c>
      <c r="C727" s="34">
        <v>46.1</v>
      </c>
      <c r="D727" s="34"/>
    </row>
    <row r="728" spans="1:4" s="25" customFormat="1" hidden="1" x14ac:dyDescent="0.25">
      <c r="A728" s="4">
        <v>41557</v>
      </c>
      <c r="B728" s="4" t="s">
        <v>503</v>
      </c>
      <c r="C728" s="34">
        <v>229.5</v>
      </c>
      <c r="D728" s="34"/>
    </row>
    <row r="729" spans="1:4" s="25" customFormat="1" hidden="1" x14ac:dyDescent="0.25">
      <c r="A729" s="4">
        <v>41558</v>
      </c>
      <c r="B729" s="4" t="s">
        <v>440</v>
      </c>
      <c r="C729" s="34">
        <v>825</v>
      </c>
      <c r="D729" s="34"/>
    </row>
    <row r="730" spans="1:4" s="25" customFormat="1" hidden="1" x14ac:dyDescent="0.25">
      <c r="A730" s="4">
        <v>41558</v>
      </c>
      <c r="B730" s="4" t="s">
        <v>385</v>
      </c>
      <c r="C730" s="34">
        <v>200</v>
      </c>
      <c r="D730" s="34"/>
    </row>
    <row r="731" spans="1:4" s="25" customFormat="1" hidden="1" x14ac:dyDescent="0.25">
      <c r="A731" s="4">
        <v>41570</v>
      </c>
      <c r="B731" s="4" t="s">
        <v>504</v>
      </c>
      <c r="C731" s="34">
        <v>2398.9899999999998</v>
      </c>
      <c r="D731" s="34"/>
    </row>
    <row r="732" spans="1:4" s="25" customFormat="1" hidden="1" x14ac:dyDescent="0.25">
      <c r="A732" s="4">
        <v>41570</v>
      </c>
      <c r="B732" s="4" t="s">
        <v>505</v>
      </c>
      <c r="C732" s="34">
        <v>7500</v>
      </c>
      <c r="D732" s="34"/>
    </row>
    <row r="733" spans="1:4" s="25" customFormat="1" hidden="1" x14ac:dyDescent="0.25">
      <c r="A733" s="4">
        <v>41578</v>
      </c>
      <c r="B733" s="4" t="s">
        <v>372</v>
      </c>
      <c r="C733" s="34">
        <v>177.46</v>
      </c>
      <c r="D733" s="34"/>
    </row>
    <row r="734" spans="1:4" s="25" customFormat="1" hidden="1" x14ac:dyDescent="0.25">
      <c r="A734" s="4">
        <v>41584</v>
      </c>
      <c r="B734" s="4" t="s">
        <v>506</v>
      </c>
      <c r="C734" s="34"/>
      <c r="D734" s="34">
        <v>11466</v>
      </c>
    </row>
    <row r="735" spans="1:4" s="25" customFormat="1" hidden="1" x14ac:dyDescent="0.25">
      <c r="A735" s="4">
        <v>41584</v>
      </c>
      <c r="B735" s="4" t="s">
        <v>507</v>
      </c>
      <c r="C735" s="34"/>
      <c r="D735" s="34">
        <v>9789.33</v>
      </c>
    </row>
    <row r="736" spans="1:4" s="25" customFormat="1" hidden="1" x14ac:dyDescent="0.25">
      <c r="A736" s="4">
        <v>41584</v>
      </c>
      <c r="B736" s="4" t="s">
        <v>508</v>
      </c>
      <c r="C736" s="34">
        <v>11074</v>
      </c>
      <c r="D736" s="34"/>
    </row>
    <row r="737" spans="1:4" s="25" customFormat="1" hidden="1" x14ac:dyDescent="0.25">
      <c r="A737" s="4">
        <v>41603</v>
      </c>
      <c r="B737" s="4" t="s">
        <v>509</v>
      </c>
      <c r="C737" s="34">
        <v>2044.71</v>
      </c>
      <c r="D737" s="34"/>
    </row>
    <row r="738" spans="1:4" s="25" customFormat="1" hidden="1" x14ac:dyDescent="0.25">
      <c r="A738" s="4">
        <v>41604</v>
      </c>
      <c r="B738" s="4" t="s">
        <v>510</v>
      </c>
      <c r="C738" s="34">
        <v>564.5</v>
      </c>
      <c r="D738" s="34"/>
    </row>
    <row r="739" spans="1:4" s="25" customFormat="1" hidden="1" x14ac:dyDescent="0.25">
      <c r="A739" s="4">
        <v>41607</v>
      </c>
      <c r="B739" s="4" t="s">
        <v>372</v>
      </c>
      <c r="C739" s="34">
        <v>171.07</v>
      </c>
      <c r="D739" s="34"/>
    </row>
    <row r="740" spans="1:4" s="25" customFormat="1" hidden="1" x14ac:dyDescent="0.25">
      <c r="A740" s="4">
        <v>41624</v>
      </c>
      <c r="B740" s="4" t="s">
        <v>511</v>
      </c>
      <c r="C740" s="34">
        <v>455</v>
      </c>
      <c r="D740" s="34"/>
    </row>
    <row r="741" spans="1:4" s="25" customFormat="1" hidden="1" x14ac:dyDescent="0.25">
      <c r="A741" s="4">
        <v>41626</v>
      </c>
      <c r="B741" s="4" t="s">
        <v>512</v>
      </c>
      <c r="C741" s="34">
        <v>485</v>
      </c>
      <c r="D741" s="34"/>
    </row>
    <row r="742" spans="1:4" s="25" customFormat="1" hidden="1" x14ac:dyDescent="0.25">
      <c r="A742" s="4">
        <v>41627</v>
      </c>
      <c r="B742" s="4" t="s">
        <v>513</v>
      </c>
      <c r="C742" s="34">
        <v>490</v>
      </c>
      <c r="D742" s="34"/>
    </row>
    <row r="743" spans="1:4" s="25" customFormat="1" hidden="1" x14ac:dyDescent="0.25">
      <c r="A743" s="4">
        <v>41639</v>
      </c>
      <c r="B743" s="4" t="s">
        <v>372</v>
      </c>
      <c r="C743" s="34">
        <v>179.39</v>
      </c>
      <c r="D743" s="34"/>
    </row>
    <row r="744" spans="1:4" s="25" customFormat="1" hidden="1" x14ac:dyDescent="0.25">
      <c r="A744" s="4">
        <v>41668</v>
      </c>
      <c r="B744" s="4" t="s">
        <v>514</v>
      </c>
      <c r="C744" s="34">
        <v>2398.9899999999998</v>
      </c>
      <c r="D744" s="34"/>
    </row>
    <row r="745" spans="1:4" s="25" customFormat="1" hidden="1" x14ac:dyDescent="0.25">
      <c r="A745" s="4">
        <v>41670</v>
      </c>
      <c r="B745" s="4" t="s">
        <v>372</v>
      </c>
      <c r="C745" s="34">
        <v>181.89</v>
      </c>
      <c r="D745" s="34"/>
    </row>
    <row r="746" spans="1:4" s="25" customFormat="1" hidden="1" x14ac:dyDescent="0.25">
      <c r="A746" s="4">
        <v>41696</v>
      </c>
      <c r="B746" s="4" t="s">
        <v>515</v>
      </c>
      <c r="C746" s="34">
        <v>2044.71</v>
      </c>
      <c r="D746" s="34"/>
    </row>
    <row r="747" spans="1:4" s="25" customFormat="1" hidden="1" x14ac:dyDescent="0.25">
      <c r="A747" s="4">
        <v>41698</v>
      </c>
      <c r="B747" s="4" t="s">
        <v>516</v>
      </c>
      <c r="C747" s="34">
        <v>381.98</v>
      </c>
      <c r="D747" s="34"/>
    </row>
    <row r="748" spans="1:4" s="25" customFormat="1" hidden="1" x14ac:dyDescent="0.25">
      <c r="A748" s="4">
        <v>41698</v>
      </c>
      <c r="B748" s="4" t="s">
        <v>517</v>
      </c>
      <c r="C748" s="34">
        <v>148.66999999999999</v>
      </c>
      <c r="D748" s="34"/>
    </row>
    <row r="749" spans="1:4" s="25" customFormat="1" hidden="1" x14ac:dyDescent="0.25">
      <c r="A749" s="4">
        <v>41698</v>
      </c>
      <c r="B749" s="4" t="s">
        <v>372</v>
      </c>
      <c r="C749" s="34">
        <v>169.3</v>
      </c>
      <c r="D749" s="34"/>
    </row>
    <row r="750" spans="1:4" s="25" customFormat="1" hidden="1" x14ac:dyDescent="0.25">
      <c r="A750" s="4">
        <v>41708</v>
      </c>
      <c r="B750" s="4" t="s">
        <v>440</v>
      </c>
      <c r="C750" s="34">
        <v>660</v>
      </c>
      <c r="D750" s="34"/>
    </row>
    <row r="751" spans="1:4" s="25" customFormat="1" hidden="1" x14ac:dyDescent="0.25">
      <c r="A751" s="4">
        <v>41717</v>
      </c>
      <c r="B751" s="4" t="s">
        <v>518</v>
      </c>
      <c r="C751" s="34">
        <v>80</v>
      </c>
      <c r="D751" s="34"/>
    </row>
    <row r="752" spans="1:4" s="25" customFormat="1" hidden="1" x14ac:dyDescent="0.25">
      <c r="A752" s="4">
        <v>41719</v>
      </c>
      <c r="B752" s="4" t="s">
        <v>519</v>
      </c>
      <c r="C752" s="34">
        <v>308</v>
      </c>
      <c r="D752" s="34"/>
    </row>
    <row r="753" spans="1:4" s="25" customFormat="1" hidden="1" x14ac:dyDescent="0.25">
      <c r="A753" s="4">
        <v>41722</v>
      </c>
      <c r="B753" s="4" t="s">
        <v>520</v>
      </c>
      <c r="C753" s="34"/>
      <c r="D753" s="34">
        <v>1815</v>
      </c>
    </row>
    <row r="754" spans="1:4" s="25" customFormat="1" hidden="1" x14ac:dyDescent="0.25">
      <c r="A754" s="4">
        <v>41723</v>
      </c>
      <c r="B754" s="4" t="s">
        <v>521</v>
      </c>
      <c r="C754" s="34">
        <v>1440.2</v>
      </c>
      <c r="D754" s="34"/>
    </row>
    <row r="755" spans="1:4" s="25" customFormat="1" hidden="1" x14ac:dyDescent="0.25">
      <c r="A755" s="4">
        <v>41723</v>
      </c>
      <c r="B755" s="4" t="s">
        <v>522</v>
      </c>
      <c r="C755" s="34">
        <v>11309</v>
      </c>
      <c r="D755" s="34"/>
    </row>
    <row r="756" spans="1:4" s="25" customFormat="1" hidden="1" x14ac:dyDescent="0.25">
      <c r="A756" s="4">
        <v>41723</v>
      </c>
      <c r="B756" s="4" t="s">
        <v>523</v>
      </c>
      <c r="C756" s="34">
        <v>13304</v>
      </c>
      <c r="D756" s="34"/>
    </row>
    <row r="757" spans="1:4" s="25" customFormat="1" hidden="1" x14ac:dyDescent="0.25">
      <c r="A757" s="4">
        <v>41724</v>
      </c>
      <c r="B757" s="4" t="s">
        <v>524</v>
      </c>
      <c r="C757" s="34">
        <v>714.94</v>
      </c>
      <c r="D757" s="34"/>
    </row>
    <row r="758" spans="1:4" s="25" customFormat="1" hidden="1" x14ac:dyDescent="0.25">
      <c r="A758" s="4">
        <v>41724</v>
      </c>
      <c r="B758" s="4" t="s">
        <v>525</v>
      </c>
      <c r="C758" s="34">
        <v>323.62</v>
      </c>
      <c r="D758" s="34"/>
    </row>
    <row r="759" spans="1:4" s="25" customFormat="1" hidden="1" x14ac:dyDescent="0.25">
      <c r="A759" s="4">
        <v>41726</v>
      </c>
      <c r="B759" s="4" t="s">
        <v>526</v>
      </c>
      <c r="C759" s="34">
        <v>742.4</v>
      </c>
      <c r="D759" s="34"/>
    </row>
    <row r="760" spans="1:4" s="25" customFormat="1" hidden="1" x14ac:dyDescent="0.25">
      <c r="A760" s="4">
        <v>41726</v>
      </c>
      <c r="B760" s="4" t="s">
        <v>527</v>
      </c>
      <c r="C760" s="34">
        <v>140</v>
      </c>
      <c r="D760" s="34"/>
    </row>
    <row r="761" spans="1:4" s="25" customFormat="1" hidden="1" x14ac:dyDescent="0.25">
      <c r="A761" s="4">
        <v>41729</v>
      </c>
      <c r="B761" s="4" t="s">
        <v>528</v>
      </c>
      <c r="C761" s="34">
        <v>65.040000000000006</v>
      </c>
      <c r="D761" s="34"/>
    </row>
    <row r="762" spans="1:4" s="25" customFormat="1" hidden="1" x14ac:dyDescent="0.25">
      <c r="A762" s="4">
        <v>41729</v>
      </c>
      <c r="B762" s="4" t="s">
        <v>372</v>
      </c>
      <c r="C762" s="34">
        <v>206.22</v>
      </c>
      <c r="D762" s="34"/>
    </row>
    <row r="763" spans="1:4" s="25" customFormat="1" hidden="1" x14ac:dyDescent="0.25">
      <c r="A763" s="4">
        <v>41732</v>
      </c>
      <c r="B763" s="4" t="s">
        <v>529</v>
      </c>
      <c r="C763" s="34">
        <v>915</v>
      </c>
      <c r="D763" s="34"/>
    </row>
    <row r="764" spans="1:4" s="25" customFormat="1" hidden="1" x14ac:dyDescent="0.25">
      <c r="A764" s="4">
        <v>41733</v>
      </c>
      <c r="B764" s="4" t="s">
        <v>530</v>
      </c>
      <c r="C764" s="34">
        <v>69.849999999999994</v>
      </c>
      <c r="D764" s="34"/>
    </row>
    <row r="765" spans="1:4" s="25" customFormat="1" hidden="1" x14ac:dyDescent="0.25">
      <c r="A765" s="4">
        <v>41733</v>
      </c>
      <c r="B765" s="4" t="s">
        <v>531</v>
      </c>
      <c r="C765" s="34">
        <v>364.5</v>
      </c>
      <c r="D765" s="34"/>
    </row>
    <row r="766" spans="1:4" s="25" customFormat="1" hidden="1" x14ac:dyDescent="0.25">
      <c r="A766" s="4">
        <v>41736</v>
      </c>
      <c r="B766" s="4" t="s">
        <v>532</v>
      </c>
      <c r="C766" s="34"/>
      <c r="D766" s="34">
        <v>6822.84</v>
      </c>
    </row>
    <row r="767" spans="1:4" s="25" customFormat="1" hidden="1" x14ac:dyDescent="0.25">
      <c r="A767" s="4">
        <v>41739</v>
      </c>
      <c r="B767" s="4" t="s">
        <v>533</v>
      </c>
      <c r="C767" s="34">
        <v>229.5</v>
      </c>
      <c r="D767" s="34"/>
    </row>
    <row r="768" spans="1:4" s="25" customFormat="1" hidden="1" x14ac:dyDescent="0.25">
      <c r="A768" s="4">
        <v>41740</v>
      </c>
      <c r="B768" s="4" t="s">
        <v>385</v>
      </c>
      <c r="C768" s="34">
        <v>200</v>
      </c>
      <c r="D768" s="34"/>
    </row>
    <row r="769" spans="1:4" s="25" customFormat="1" hidden="1" x14ac:dyDescent="0.25">
      <c r="A769" s="4">
        <v>41757</v>
      </c>
      <c r="B769" s="4" t="s">
        <v>534</v>
      </c>
      <c r="C769" s="34">
        <v>2398.9899999999998</v>
      </c>
      <c r="D769" s="34"/>
    </row>
    <row r="770" spans="1:4" s="25" customFormat="1" hidden="1" x14ac:dyDescent="0.25">
      <c r="A770" s="4">
        <v>41759</v>
      </c>
      <c r="B770" s="4" t="s">
        <v>372</v>
      </c>
      <c r="C770" s="34">
        <v>235.43</v>
      </c>
      <c r="D770" s="34"/>
    </row>
    <row r="771" spans="1:4" s="25" customFormat="1" hidden="1" x14ac:dyDescent="0.25">
      <c r="A771" s="4">
        <v>41778</v>
      </c>
      <c r="B771" s="4" t="s">
        <v>535</v>
      </c>
      <c r="C771" s="34"/>
      <c r="D771" s="34">
        <v>4189.12</v>
      </c>
    </row>
    <row r="772" spans="1:4" s="25" customFormat="1" hidden="1" x14ac:dyDescent="0.25">
      <c r="A772" s="4">
        <v>41778</v>
      </c>
      <c r="B772" s="4" t="s">
        <v>536</v>
      </c>
      <c r="C772" s="34"/>
      <c r="D772" s="34">
        <v>2881.64</v>
      </c>
    </row>
    <row r="773" spans="1:4" s="25" customFormat="1" hidden="1" x14ac:dyDescent="0.25">
      <c r="A773" s="4">
        <v>41786</v>
      </c>
      <c r="B773" s="4" t="s">
        <v>537</v>
      </c>
      <c r="C773" s="34">
        <v>2044.71</v>
      </c>
      <c r="D773" s="34"/>
    </row>
    <row r="774" spans="1:4" s="25" customFormat="1" hidden="1" x14ac:dyDescent="0.25">
      <c r="A774" s="4">
        <v>41789</v>
      </c>
      <c r="B774" s="4" t="s">
        <v>372</v>
      </c>
      <c r="C774" s="34">
        <v>240.44</v>
      </c>
      <c r="D774" s="34"/>
    </row>
    <row r="775" spans="1:4" s="25" customFormat="1" hidden="1" x14ac:dyDescent="0.25">
      <c r="A775" s="4">
        <v>41796</v>
      </c>
      <c r="B775" s="4" t="s">
        <v>538</v>
      </c>
      <c r="C775" s="34">
        <v>283.36</v>
      </c>
      <c r="D775" s="34"/>
    </row>
    <row r="776" spans="1:4" s="25" customFormat="1" hidden="1" x14ac:dyDescent="0.25">
      <c r="A776" s="4">
        <v>41802</v>
      </c>
      <c r="B776" s="4" t="s">
        <v>539</v>
      </c>
      <c r="C776" s="34"/>
      <c r="D776" s="34">
        <v>220</v>
      </c>
    </row>
    <row r="777" spans="1:4" s="25" customFormat="1" hidden="1" x14ac:dyDescent="0.25">
      <c r="A777" s="4">
        <v>41820</v>
      </c>
      <c r="B777" s="4" t="s">
        <v>540</v>
      </c>
      <c r="C777" s="34">
        <v>427.37</v>
      </c>
      <c r="D777" s="34"/>
    </row>
    <row r="778" spans="1:4" s="25" customFormat="1" hidden="1" x14ac:dyDescent="0.25">
      <c r="A778" s="4">
        <v>41820</v>
      </c>
      <c r="B778" s="4" t="s">
        <v>372</v>
      </c>
      <c r="C778" s="34">
        <v>228.44</v>
      </c>
      <c r="D778" s="34"/>
    </row>
    <row r="779" spans="1:4" s="25" customFormat="1" hidden="1" x14ac:dyDescent="0.25">
      <c r="A779" s="4"/>
      <c r="B779" s="4"/>
      <c r="C779" s="34"/>
      <c r="D779" s="34"/>
    </row>
    <row r="780" spans="1:4" s="25" customFormat="1" hidden="1" x14ac:dyDescent="0.25">
      <c r="A780" s="4">
        <v>41820</v>
      </c>
      <c r="B780" t="s">
        <v>14</v>
      </c>
      <c r="C780" s="36">
        <f>SUM(C706:C779)</f>
        <v>149102.59999999983</v>
      </c>
      <c r="D780" s="36">
        <f>SUM(D706:D779)</f>
        <v>37317.93</v>
      </c>
    </row>
    <row r="781" spans="1:4" s="25" customFormat="1" hidden="1" x14ac:dyDescent="0.25">
      <c r="A781" s="4"/>
      <c r="B781" s="4" t="s">
        <v>15</v>
      </c>
      <c r="C781" s="34">
        <f>IF(C780&gt;D780,C780-D780," ")</f>
        <v>111784.66999999984</v>
      </c>
      <c r="D781" s="34" t="str">
        <f>IF(D780&gt;C780,D780-C780," ")</f>
        <v xml:space="preserve"> </v>
      </c>
    </row>
    <row r="782" spans="1:4" s="25" customFormat="1" hidden="1" x14ac:dyDescent="0.25">
      <c r="A782" s="4">
        <v>41821</v>
      </c>
      <c r="B782" t="s">
        <v>552</v>
      </c>
      <c r="C782" s="34">
        <v>415</v>
      </c>
      <c r="D782" s="34"/>
    </row>
    <row r="783" spans="1:4" s="25" customFormat="1" hidden="1" x14ac:dyDescent="0.25">
      <c r="A783" s="4">
        <v>41822</v>
      </c>
      <c r="B783" t="s">
        <v>553</v>
      </c>
      <c r="C783" s="34">
        <v>450</v>
      </c>
      <c r="D783" s="34"/>
    </row>
    <row r="784" spans="1:4" s="25" customFormat="1" hidden="1" x14ac:dyDescent="0.25">
      <c r="A784" s="4">
        <v>41827</v>
      </c>
      <c r="B784" t="s">
        <v>599</v>
      </c>
      <c r="C784" s="34"/>
      <c r="D784" s="34">
        <v>1235.25</v>
      </c>
    </row>
    <row r="785" spans="1:4" s="25" customFormat="1" hidden="1" x14ac:dyDescent="0.25">
      <c r="A785" s="4">
        <v>41827</v>
      </c>
      <c r="B785" t="s">
        <v>599</v>
      </c>
      <c r="C785" s="34"/>
      <c r="D785" s="34">
        <v>1812</v>
      </c>
    </row>
    <row r="786" spans="1:4" s="25" customFormat="1" hidden="1" x14ac:dyDescent="0.25">
      <c r="A786" s="4">
        <v>41828</v>
      </c>
      <c r="B786" t="s">
        <v>554</v>
      </c>
      <c r="C786" s="34">
        <v>495</v>
      </c>
      <c r="D786" s="34"/>
    </row>
    <row r="787" spans="1:4" s="25" customFormat="1" hidden="1" x14ac:dyDescent="0.25">
      <c r="A787" s="4">
        <v>41843</v>
      </c>
      <c r="B787" t="s">
        <v>555</v>
      </c>
      <c r="C787" s="34">
        <v>2455.85</v>
      </c>
      <c r="D787" s="34"/>
    </row>
    <row r="788" spans="1:4" s="25" customFormat="1" hidden="1" x14ac:dyDescent="0.25">
      <c r="A788" s="4">
        <v>41851</v>
      </c>
      <c r="B788" t="s">
        <v>372</v>
      </c>
      <c r="C788" s="34">
        <v>236.27</v>
      </c>
      <c r="D788" s="34"/>
    </row>
    <row r="789" spans="1:4" s="25" customFormat="1" hidden="1" x14ac:dyDescent="0.25">
      <c r="A789" s="4">
        <v>41877</v>
      </c>
      <c r="B789" t="s">
        <v>556</v>
      </c>
      <c r="C789" s="34">
        <v>2240</v>
      </c>
      <c r="D789" s="34"/>
    </row>
    <row r="790" spans="1:4" s="25" customFormat="1" hidden="1" x14ac:dyDescent="0.25">
      <c r="A790" s="4">
        <v>41880</v>
      </c>
      <c r="B790" t="s">
        <v>372</v>
      </c>
      <c r="C790" s="34">
        <v>240.6</v>
      </c>
      <c r="D790" s="34"/>
    </row>
    <row r="791" spans="1:4" s="25" customFormat="1" hidden="1" x14ac:dyDescent="0.25">
      <c r="A791" s="4">
        <v>41880</v>
      </c>
      <c r="B791" t="s">
        <v>557</v>
      </c>
      <c r="C791" s="34">
        <v>393.22</v>
      </c>
      <c r="D791" s="34"/>
    </row>
    <row r="792" spans="1:4" s="25" customFormat="1" hidden="1" x14ac:dyDescent="0.25">
      <c r="A792" s="4">
        <v>41880</v>
      </c>
      <c r="B792" t="s">
        <v>558</v>
      </c>
      <c r="C792" s="34">
        <v>152.79</v>
      </c>
      <c r="D792" s="34"/>
    </row>
    <row r="793" spans="1:4" s="25" customFormat="1" hidden="1" x14ac:dyDescent="0.25">
      <c r="A793" s="4">
        <v>41883</v>
      </c>
      <c r="B793" t="s">
        <v>440</v>
      </c>
      <c r="C793" s="34">
        <v>654</v>
      </c>
      <c r="D793" s="34"/>
    </row>
    <row r="794" spans="1:4" s="25" customFormat="1" hidden="1" x14ac:dyDescent="0.25">
      <c r="A794" s="4">
        <v>41891</v>
      </c>
      <c r="B794" t="s">
        <v>559</v>
      </c>
      <c r="C794" s="34">
        <v>80</v>
      </c>
      <c r="D794" s="34"/>
    </row>
    <row r="795" spans="1:4" s="25" customFormat="1" hidden="1" x14ac:dyDescent="0.25">
      <c r="A795" s="4">
        <v>41892</v>
      </c>
      <c r="B795" t="s">
        <v>604</v>
      </c>
      <c r="C795" s="34"/>
      <c r="D795" s="34">
        <v>2673</v>
      </c>
    </row>
    <row r="796" spans="1:4" s="25" customFormat="1" hidden="1" x14ac:dyDescent="0.25">
      <c r="A796" s="4">
        <v>41892</v>
      </c>
      <c r="B796" t="s">
        <v>603</v>
      </c>
      <c r="C796" s="34"/>
      <c r="D796" s="34">
        <v>15000</v>
      </c>
    </row>
    <row r="797" spans="1:4" s="25" customFormat="1" hidden="1" x14ac:dyDescent="0.25">
      <c r="A797" s="4">
        <v>41904</v>
      </c>
      <c r="B797" t="s">
        <v>560</v>
      </c>
      <c r="C797" s="34">
        <v>686</v>
      </c>
      <c r="D797" s="34"/>
    </row>
    <row r="798" spans="1:4" s="25" customFormat="1" hidden="1" x14ac:dyDescent="0.25">
      <c r="A798" s="4">
        <v>41905</v>
      </c>
      <c r="B798" t="s">
        <v>561</v>
      </c>
      <c r="C798" s="34">
        <v>331</v>
      </c>
      <c r="D798" s="34"/>
    </row>
    <row r="799" spans="1:4" s="25" customFormat="1" hidden="1" x14ac:dyDescent="0.25">
      <c r="A799" s="4">
        <v>41905</v>
      </c>
      <c r="B799" t="s">
        <v>562</v>
      </c>
      <c r="C799" s="34">
        <v>81.3</v>
      </c>
      <c r="D799" s="34"/>
    </row>
    <row r="800" spans="1:4" s="25" customFormat="1" hidden="1" x14ac:dyDescent="0.25">
      <c r="A800" s="4">
        <v>41906</v>
      </c>
      <c r="B800" t="s">
        <v>563</v>
      </c>
      <c r="C800" s="34">
        <v>738.34</v>
      </c>
      <c r="D800" s="34"/>
    </row>
    <row r="801" spans="1:4" s="25" customFormat="1" hidden="1" x14ac:dyDescent="0.25">
      <c r="A801" s="4">
        <v>41908</v>
      </c>
      <c r="B801" t="s">
        <v>564</v>
      </c>
      <c r="C801" s="34">
        <v>768</v>
      </c>
      <c r="D801" s="34"/>
    </row>
    <row r="802" spans="1:4" s="25" customFormat="1" hidden="1" x14ac:dyDescent="0.25">
      <c r="A802" s="4">
        <v>41912</v>
      </c>
      <c r="B802" t="s">
        <v>565</v>
      </c>
      <c r="C802" s="34">
        <v>400.95</v>
      </c>
      <c r="D802" s="34"/>
    </row>
    <row r="803" spans="1:4" s="25" customFormat="1" hidden="1" x14ac:dyDescent="0.25">
      <c r="A803" s="4">
        <v>41912</v>
      </c>
      <c r="B803" t="s">
        <v>372</v>
      </c>
      <c r="C803" s="34">
        <v>215.32</v>
      </c>
      <c r="D803" s="34"/>
    </row>
    <row r="804" spans="1:4" s="25" customFormat="1" hidden="1" x14ac:dyDescent="0.25">
      <c r="A804" s="4">
        <v>41914</v>
      </c>
      <c r="B804" t="s">
        <v>566</v>
      </c>
      <c r="C804" s="34">
        <v>1090</v>
      </c>
      <c r="D804" s="34"/>
    </row>
    <row r="805" spans="1:4" s="25" customFormat="1" hidden="1" x14ac:dyDescent="0.25">
      <c r="A805" s="4">
        <v>41915</v>
      </c>
      <c r="B805" t="s">
        <v>567</v>
      </c>
      <c r="C805" s="34">
        <v>6.93</v>
      </c>
      <c r="D805" s="34"/>
    </row>
    <row r="806" spans="1:4" s="25" customFormat="1" hidden="1" x14ac:dyDescent="0.25">
      <c r="A806" s="4">
        <v>41915</v>
      </c>
      <c r="B806" t="s">
        <v>568</v>
      </c>
      <c r="C806" s="34">
        <v>14060.7</v>
      </c>
      <c r="D806" s="34"/>
    </row>
    <row r="807" spans="1:4" s="25" customFormat="1" hidden="1" x14ac:dyDescent="0.25">
      <c r="A807" s="4">
        <v>41920</v>
      </c>
      <c r="B807" t="s">
        <v>569</v>
      </c>
      <c r="C807" s="34">
        <v>114.55</v>
      </c>
      <c r="D807" s="34"/>
    </row>
    <row r="808" spans="1:4" s="25" customFormat="1" hidden="1" x14ac:dyDescent="0.25">
      <c r="A808" s="4">
        <v>41921</v>
      </c>
      <c r="B808" t="s">
        <v>570</v>
      </c>
      <c r="C808" s="34">
        <v>229.5</v>
      </c>
      <c r="D808" s="34"/>
    </row>
    <row r="809" spans="1:4" s="25" customFormat="1" hidden="1" x14ac:dyDescent="0.25">
      <c r="A809" s="4">
        <v>41925</v>
      </c>
      <c r="B809" t="s">
        <v>385</v>
      </c>
      <c r="C809" s="34">
        <v>200</v>
      </c>
      <c r="D809" s="34"/>
    </row>
    <row r="810" spans="1:4" s="25" customFormat="1" hidden="1" x14ac:dyDescent="0.25">
      <c r="A810" s="4">
        <v>41936</v>
      </c>
      <c r="B810" t="s">
        <v>571</v>
      </c>
      <c r="C810" s="34">
        <v>2455.85</v>
      </c>
      <c r="D810" s="34"/>
    </row>
    <row r="811" spans="1:4" s="25" customFormat="1" hidden="1" x14ac:dyDescent="0.25">
      <c r="A811" s="4">
        <v>41939</v>
      </c>
      <c r="B811" t="s">
        <v>599</v>
      </c>
      <c r="C811" s="34"/>
      <c r="D811" s="34">
        <v>1829</v>
      </c>
    </row>
    <row r="812" spans="1:4" s="25" customFormat="1" hidden="1" x14ac:dyDescent="0.25">
      <c r="A812" s="4">
        <v>41943</v>
      </c>
      <c r="B812" t="s">
        <v>372</v>
      </c>
      <c r="C812" s="34">
        <v>248.49</v>
      </c>
      <c r="D812" s="34"/>
    </row>
    <row r="813" spans="1:4" s="25" customFormat="1" hidden="1" x14ac:dyDescent="0.25">
      <c r="A813" s="4">
        <v>41968</v>
      </c>
      <c r="B813" t="s">
        <v>572</v>
      </c>
      <c r="C813" s="34">
        <v>2240</v>
      </c>
      <c r="D813" s="34"/>
    </row>
    <row r="814" spans="1:4" s="25" customFormat="1" hidden="1" x14ac:dyDescent="0.25">
      <c r="A814" s="4">
        <v>41971</v>
      </c>
      <c r="B814" t="s">
        <v>372</v>
      </c>
      <c r="C814" s="34">
        <v>244.81</v>
      </c>
      <c r="D814" s="34"/>
    </row>
    <row r="815" spans="1:4" s="25" customFormat="1" hidden="1" x14ac:dyDescent="0.25">
      <c r="A815" s="4">
        <v>41989</v>
      </c>
      <c r="B815" t="s">
        <v>573</v>
      </c>
      <c r="C815" s="34">
        <v>475</v>
      </c>
      <c r="D815" s="34"/>
    </row>
    <row r="816" spans="1:4" s="25" customFormat="1" hidden="1" x14ac:dyDescent="0.25">
      <c r="A816" s="4">
        <v>41989</v>
      </c>
      <c r="B816" t="s">
        <v>574</v>
      </c>
      <c r="C816" s="34">
        <v>876</v>
      </c>
      <c r="D816" s="34"/>
    </row>
    <row r="817" spans="1:4" s="25" customFormat="1" hidden="1" x14ac:dyDescent="0.25">
      <c r="A817" s="4">
        <v>41989</v>
      </c>
      <c r="B817" t="s">
        <v>575</v>
      </c>
      <c r="C817" s="34">
        <v>495</v>
      </c>
      <c r="D817" s="34"/>
    </row>
    <row r="818" spans="1:4" s="25" customFormat="1" hidden="1" x14ac:dyDescent="0.25">
      <c r="A818" s="4">
        <v>41992</v>
      </c>
      <c r="B818" t="s">
        <v>576</v>
      </c>
      <c r="C818" s="34">
        <v>460</v>
      </c>
      <c r="D818" s="34"/>
    </row>
    <row r="819" spans="1:4" s="25" customFormat="1" hidden="1" x14ac:dyDescent="0.25">
      <c r="A819" s="4">
        <v>42004</v>
      </c>
      <c r="B819" t="s">
        <v>372</v>
      </c>
      <c r="C819" s="34">
        <v>259.73</v>
      </c>
      <c r="D819" s="34"/>
    </row>
    <row r="820" spans="1:4" s="25" customFormat="1" hidden="1" x14ac:dyDescent="0.25">
      <c r="A820" s="4">
        <v>42026</v>
      </c>
      <c r="B820" t="s">
        <v>577</v>
      </c>
      <c r="C820" s="34"/>
      <c r="D820" s="34">
        <v>15141.33</v>
      </c>
    </row>
    <row r="821" spans="1:4" s="25" customFormat="1" hidden="1" x14ac:dyDescent="0.25">
      <c r="A821" s="4">
        <v>42031</v>
      </c>
      <c r="B821" t="s">
        <v>578</v>
      </c>
      <c r="C821" s="34">
        <v>2455.85</v>
      </c>
      <c r="D821" s="34"/>
    </row>
    <row r="822" spans="1:4" s="25" customFormat="1" hidden="1" x14ac:dyDescent="0.25">
      <c r="A822" s="4">
        <v>42034</v>
      </c>
      <c r="B822" t="s">
        <v>372</v>
      </c>
      <c r="C822" s="34">
        <v>253.13</v>
      </c>
      <c r="D822" s="34"/>
    </row>
    <row r="823" spans="1:4" s="25" customFormat="1" hidden="1" x14ac:dyDescent="0.25">
      <c r="A823" s="4">
        <v>42061</v>
      </c>
      <c r="B823" t="s">
        <v>579</v>
      </c>
      <c r="C823" s="34">
        <v>2240</v>
      </c>
      <c r="D823" s="34"/>
    </row>
    <row r="824" spans="1:4" s="25" customFormat="1" hidden="1" x14ac:dyDescent="0.25">
      <c r="A824" s="4">
        <v>42062</v>
      </c>
      <c r="B824" t="s">
        <v>372</v>
      </c>
      <c r="C824" s="34">
        <v>195.61</v>
      </c>
      <c r="D824" s="34"/>
    </row>
    <row r="825" spans="1:4" s="25" customFormat="1" hidden="1" x14ac:dyDescent="0.25">
      <c r="A825" s="4">
        <v>42062</v>
      </c>
      <c r="B825" t="s">
        <v>580</v>
      </c>
      <c r="C825" s="34">
        <v>330.77</v>
      </c>
      <c r="D825" s="34"/>
    </row>
    <row r="826" spans="1:4" s="25" customFormat="1" hidden="1" x14ac:dyDescent="0.25">
      <c r="A826" s="4">
        <v>42062</v>
      </c>
      <c r="B826" t="s">
        <v>581</v>
      </c>
      <c r="C826" s="34">
        <v>237.45</v>
      </c>
      <c r="D826" s="34"/>
    </row>
    <row r="827" spans="1:4" s="25" customFormat="1" hidden="1" x14ac:dyDescent="0.25">
      <c r="A827" s="4">
        <v>42065</v>
      </c>
      <c r="B827" t="s">
        <v>599</v>
      </c>
      <c r="C827" s="34"/>
      <c r="D827" s="34">
        <v>1829</v>
      </c>
    </row>
    <row r="828" spans="1:4" s="25" customFormat="1" hidden="1" x14ac:dyDescent="0.25">
      <c r="A828" s="4">
        <v>42072</v>
      </c>
      <c r="B828" t="s">
        <v>440</v>
      </c>
      <c r="C828" s="34">
        <v>1113</v>
      </c>
      <c r="D828" s="34"/>
    </row>
    <row r="829" spans="1:4" s="25" customFormat="1" hidden="1" x14ac:dyDescent="0.25">
      <c r="A829" s="4">
        <v>42081</v>
      </c>
      <c r="B829" t="s">
        <v>582</v>
      </c>
      <c r="C829" s="34">
        <v>80</v>
      </c>
      <c r="D829" s="34"/>
    </row>
    <row r="830" spans="1:4" s="25" customFormat="1" hidden="1" x14ac:dyDescent="0.25">
      <c r="A830" s="4">
        <v>42081</v>
      </c>
      <c r="B830" t="s">
        <v>583</v>
      </c>
      <c r="C830" s="34">
        <v>378</v>
      </c>
      <c r="D830" s="34"/>
    </row>
    <row r="831" spans="1:4" s="25" customFormat="1" hidden="1" x14ac:dyDescent="0.25">
      <c r="A831" s="4">
        <v>42081</v>
      </c>
      <c r="B831" t="s">
        <v>584</v>
      </c>
      <c r="C831" s="34">
        <v>19666.810000000001</v>
      </c>
      <c r="D831" s="34"/>
    </row>
    <row r="832" spans="1:4" s="25" customFormat="1" hidden="1" x14ac:dyDescent="0.25">
      <c r="A832" s="4">
        <v>42081</v>
      </c>
      <c r="B832" t="s">
        <v>585</v>
      </c>
      <c r="C832" s="34">
        <v>17395.37</v>
      </c>
      <c r="D832" s="34"/>
    </row>
    <row r="833" spans="1:4" s="25" customFormat="1" hidden="1" x14ac:dyDescent="0.25">
      <c r="A833" s="4">
        <v>42088</v>
      </c>
      <c r="B833" t="s">
        <v>586</v>
      </c>
      <c r="C833" s="34">
        <v>437.4</v>
      </c>
      <c r="D833" s="34"/>
    </row>
    <row r="834" spans="1:4" s="25" customFormat="1" hidden="1" x14ac:dyDescent="0.25">
      <c r="A834" s="4">
        <v>42088</v>
      </c>
      <c r="B834" t="s">
        <v>587</v>
      </c>
      <c r="C834" s="34">
        <v>1146.69</v>
      </c>
      <c r="D834" s="34"/>
    </row>
    <row r="835" spans="1:4" s="25" customFormat="1" hidden="1" x14ac:dyDescent="0.25">
      <c r="A835" s="4">
        <v>42089</v>
      </c>
      <c r="B835" t="s">
        <v>383</v>
      </c>
      <c r="C835" s="34">
        <v>33.479999999999997</v>
      </c>
      <c r="D835" s="34"/>
    </row>
    <row r="836" spans="1:4" s="25" customFormat="1" hidden="1" x14ac:dyDescent="0.25">
      <c r="A836" s="4">
        <v>42090</v>
      </c>
      <c r="B836" t="s">
        <v>588</v>
      </c>
      <c r="C836" s="34">
        <v>768</v>
      </c>
      <c r="D836" s="34"/>
    </row>
    <row r="837" spans="1:4" s="25" customFormat="1" hidden="1" x14ac:dyDescent="0.25">
      <c r="A837" s="4">
        <v>42094</v>
      </c>
      <c r="B837" t="s">
        <v>589</v>
      </c>
      <c r="C837" s="34">
        <v>83.82</v>
      </c>
      <c r="D837" s="34"/>
    </row>
    <row r="838" spans="1:4" s="25" customFormat="1" hidden="1" x14ac:dyDescent="0.25">
      <c r="A838" s="4">
        <v>42094</v>
      </c>
      <c r="B838" t="s">
        <v>590</v>
      </c>
      <c r="C838" s="34">
        <v>404.12</v>
      </c>
      <c r="D838" s="34"/>
    </row>
    <row r="839" spans="1:4" s="25" customFormat="1" hidden="1" x14ac:dyDescent="0.25">
      <c r="A839" s="4">
        <v>42094</v>
      </c>
      <c r="B839" t="s">
        <v>372</v>
      </c>
      <c r="C839" s="34">
        <v>242.54</v>
      </c>
      <c r="D839" s="34"/>
    </row>
    <row r="840" spans="1:4" s="25" customFormat="1" hidden="1" x14ac:dyDescent="0.25">
      <c r="A840" s="4">
        <v>42096</v>
      </c>
      <c r="B840" t="s">
        <v>591</v>
      </c>
      <c r="C840" s="34">
        <v>990</v>
      </c>
      <c r="D840" s="34"/>
    </row>
    <row r="841" spans="1:4" s="25" customFormat="1" hidden="1" x14ac:dyDescent="0.25">
      <c r="A841" s="4">
        <v>42101</v>
      </c>
      <c r="B841" t="s">
        <v>599</v>
      </c>
      <c r="C841" s="34"/>
      <c r="D841" s="34">
        <v>1829</v>
      </c>
    </row>
    <row r="842" spans="1:4" s="25" customFormat="1" hidden="1" x14ac:dyDescent="0.25">
      <c r="A842" s="4">
        <v>42103</v>
      </c>
      <c r="B842" t="s">
        <v>592</v>
      </c>
      <c r="C842" s="34">
        <v>238</v>
      </c>
      <c r="D842" s="34"/>
    </row>
    <row r="843" spans="1:4" s="25" customFormat="1" hidden="1" x14ac:dyDescent="0.25">
      <c r="A843" s="4">
        <v>42104</v>
      </c>
      <c r="B843" t="s">
        <v>385</v>
      </c>
      <c r="C843" s="34">
        <v>200</v>
      </c>
      <c r="D843" s="34"/>
    </row>
    <row r="844" spans="1:4" s="25" customFormat="1" hidden="1" x14ac:dyDescent="0.25">
      <c r="A844" s="4">
        <v>42107</v>
      </c>
      <c r="B844" t="s">
        <v>593</v>
      </c>
      <c r="C844" s="34">
        <v>139.69999999999999</v>
      </c>
      <c r="D844" s="34"/>
    </row>
    <row r="845" spans="1:4" s="25" customFormat="1" hidden="1" x14ac:dyDescent="0.25">
      <c r="A845" s="4">
        <v>42116</v>
      </c>
      <c r="B845" t="s">
        <v>594</v>
      </c>
      <c r="C845" s="34">
        <v>2455.85</v>
      </c>
      <c r="D845" s="34"/>
    </row>
    <row r="846" spans="1:4" s="25" customFormat="1" hidden="1" x14ac:dyDescent="0.25">
      <c r="A846" s="4">
        <v>42118</v>
      </c>
      <c r="B846" t="s">
        <v>595</v>
      </c>
      <c r="C846" s="34">
        <v>108</v>
      </c>
      <c r="D846" s="34"/>
    </row>
    <row r="847" spans="1:4" s="25" customFormat="1" hidden="1" x14ac:dyDescent="0.25">
      <c r="A847" s="4">
        <v>42124</v>
      </c>
      <c r="B847" t="s">
        <v>372</v>
      </c>
      <c r="C847" s="34">
        <v>273.67</v>
      </c>
      <c r="D847" s="34"/>
    </row>
    <row r="848" spans="1:4" s="25" customFormat="1" hidden="1" x14ac:dyDescent="0.25">
      <c r="A848" s="4">
        <v>42138</v>
      </c>
      <c r="B848" t="s">
        <v>602</v>
      </c>
      <c r="C848" s="34"/>
      <c r="D848" s="34">
        <v>2475</v>
      </c>
    </row>
    <row r="849" spans="1:4" s="25" customFormat="1" hidden="1" x14ac:dyDescent="0.25">
      <c r="A849" s="4">
        <v>42146</v>
      </c>
      <c r="B849" t="s">
        <v>596</v>
      </c>
      <c r="C849" s="34">
        <v>2240</v>
      </c>
      <c r="D849" s="34"/>
    </row>
    <row r="850" spans="1:4" s="25" customFormat="1" hidden="1" x14ac:dyDescent="0.25">
      <c r="A850" s="4">
        <v>42149</v>
      </c>
      <c r="B850" t="s">
        <v>597</v>
      </c>
      <c r="C850" s="34">
        <v>795.2</v>
      </c>
      <c r="D850" s="34"/>
    </row>
    <row r="851" spans="1:4" s="25" customFormat="1" hidden="1" x14ac:dyDescent="0.25">
      <c r="A851" s="4">
        <v>42150</v>
      </c>
      <c r="B851" t="s">
        <v>601</v>
      </c>
      <c r="C851" s="34"/>
      <c r="D851" s="34">
        <v>3302.46</v>
      </c>
    </row>
    <row r="852" spans="1:4" s="25" customFormat="1" hidden="1" x14ac:dyDescent="0.25">
      <c r="A852" s="4">
        <v>42150</v>
      </c>
      <c r="B852" t="s">
        <v>601</v>
      </c>
      <c r="C852" s="34"/>
      <c r="D852" s="34">
        <v>4838.3</v>
      </c>
    </row>
    <row r="853" spans="1:4" s="25" customFormat="1" hidden="1" x14ac:dyDescent="0.25">
      <c r="A853" s="4">
        <v>42150</v>
      </c>
      <c r="B853" t="s">
        <v>600</v>
      </c>
      <c r="C853" s="34"/>
      <c r="D853" s="34">
        <v>1140</v>
      </c>
    </row>
    <row r="854" spans="1:4" s="25" customFormat="1" hidden="1" x14ac:dyDescent="0.25">
      <c r="A854" s="4">
        <v>42153</v>
      </c>
      <c r="B854" t="s">
        <v>372</v>
      </c>
      <c r="C854" s="34">
        <v>255.7</v>
      </c>
      <c r="D854" s="34"/>
    </row>
    <row r="855" spans="1:4" s="25" customFormat="1" hidden="1" x14ac:dyDescent="0.25">
      <c r="A855" s="4">
        <v>42173</v>
      </c>
      <c r="B855" t="s">
        <v>598</v>
      </c>
      <c r="C855" s="34">
        <v>831.28</v>
      </c>
      <c r="D855" s="34"/>
    </row>
    <row r="856" spans="1:4" s="25" customFormat="1" hidden="1" x14ac:dyDescent="0.25">
      <c r="A856" s="4">
        <v>42185</v>
      </c>
      <c r="B856" t="s">
        <v>372</v>
      </c>
      <c r="C856" s="34">
        <v>232.14</v>
      </c>
      <c r="D856" s="34"/>
    </row>
    <row r="857" spans="1:4" s="25" customFormat="1" hidden="1" x14ac:dyDescent="0.25">
      <c r="A857" s="4"/>
      <c r="B857" s="4"/>
      <c r="C857" s="34"/>
      <c r="D857" s="34"/>
    </row>
    <row r="858" spans="1:4" s="25" customFormat="1" hidden="1" x14ac:dyDescent="0.25">
      <c r="A858" s="4"/>
      <c r="B858" s="4"/>
      <c r="C858" s="34"/>
      <c r="D858" s="34"/>
    </row>
    <row r="859" spans="1:4" s="25" customFormat="1" hidden="1" x14ac:dyDescent="0.25">
      <c r="A859" s="4">
        <v>42185</v>
      </c>
      <c r="B859" t="s">
        <v>14</v>
      </c>
      <c r="C859" s="36">
        <f>SUM(C781:C858)</f>
        <v>202496.44999999992</v>
      </c>
      <c r="D859" s="36">
        <f>SUM(D781:D858)</f>
        <v>53104.340000000004</v>
      </c>
    </row>
    <row r="860" spans="1:4" s="25" customFormat="1" hidden="1" x14ac:dyDescent="0.25">
      <c r="A860" s="4"/>
      <c r="B860" s="4" t="s">
        <v>15</v>
      </c>
      <c r="C860" s="34">
        <f>IF(C859&gt;D859,C859-D859," ")</f>
        <v>149392.10999999993</v>
      </c>
      <c r="D860" s="34" t="str">
        <f>IF(D859&gt;C859,D859-C859," ")</f>
        <v xml:space="preserve"> </v>
      </c>
    </row>
    <row r="861" spans="1:4" s="25" customFormat="1" hidden="1" x14ac:dyDescent="0.25">
      <c r="A861" s="4">
        <v>42186</v>
      </c>
      <c r="B861" t="s">
        <v>612</v>
      </c>
      <c r="C861" s="34">
        <v>430</v>
      </c>
      <c r="D861" s="34"/>
    </row>
    <row r="862" spans="1:4" s="25" customFormat="1" hidden="1" x14ac:dyDescent="0.25">
      <c r="A862" s="4">
        <v>42187</v>
      </c>
      <c r="B862" t="s">
        <v>613</v>
      </c>
      <c r="C862" s="34">
        <v>465</v>
      </c>
      <c r="D862" s="34"/>
    </row>
    <row r="863" spans="1:4" s="25" customFormat="1" hidden="1" x14ac:dyDescent="0.25">
      <c r="A863" s="4">
        <v>42188</v>
      </c>
      <c r="B863" t="s">
        <v>614</v>
      </c>
      <c r="C863" s="34">
        <v>495</v>
      </c>
      <c r="D863" s="34"/>
    </row>
    <row r="864" spans="1:4" s="25" customFormat="1" hidden="1" x14ac:dyDescent="0.25">
      <c r="A864" s="4">
        <v>42191</v>
      </c>
      <c r="B864" t="s">
        <v>615</v>
      </c>
      <c r="C864" s="34"/>
      <c r="D864" s="34">
        <v>1333.05</v>
      </c>
    </row>
    <row r="865" spans="1:4" s="25" customFormat="1" hidden="1" x14ac:dyDescent="0.25">
      <c r="A865" s="4">
        <v>42209</v>
      </c>
      <c r="B865" t="s">
        <v>616</v>
      </c>
      <c r="C865" s="34">
        <v>2443.77</v>
      </c>
      <c r="D865" s="34"/>
    </row>
    <row r="866" spans="1:4" s="25" customFormat="1" hidden="1" x14ac:dyDescent="0.25">
      <c r="A866" s="4">
        <v>42216</v>
      </c>
      <c r="B866" t="s">
        <v>372</v>
      </c>
      <c r="C866" s="34">
        <v>242.48</v>
      </c>
      <c r="D866" s="34"/>
    </row>
    <row r="867" spans="1:4" s="25" customFormat="1" hidden="1" x14ac:dyDescent="0.25">
      <c r="A867" s="4">
        <v>42240</v>
      </c>
      <c r="B867" t="s">
        <v>617</v>
      </c>
      <c r="C867" s="34">
        <v>2383.1799999999998</v>
      </c>
      <c r="D867" s="34"/>
    </row>
    <row r="868" spans="1:4" s="25" customFormat="1" hidden="1" x14ac:dyDescent="0.25">
      <c r="A868" s="4">
        <v>42242</v>
      </c>
      <c r="B868" t="s">
        <v>440</v>
      </c>
      <c r="C868" s="34">
        <v>756</v>
      </c>
      <c r="D868" s="34"/>
    </row>
    <row r="869" spans="1:4" s="25" customFormat="1" hidden="1" x14ac:dyDescent="0.25">
      <c r="A869" s="4">
        <v>42247</v>
      </c>
      <c r="B869" t="s">
        <v>618</v>
      </c>
      <c r="C869" s="34"/>
      <c r="D869" s="34">
        <v>1573</v>
      </c>
    </row>
    <row r="870" spans="1:4" s="25" customFormat="1" hidden="1" x14ac:dyDescent="0.25">
      <c r="A870" s="4">
        <v>42247</v>
      </c>
      <c r="B870" t="s">
        <v>619</v>
      </c>
      <c r="C870" s="34">
        <v>338.88</v>
      </c>
      <c r="D870" s="34"/>
    </row>
    <row r="871" spans="1:4" s="25" customFormat="1" hidden="1" x14ac:dyDescent="0.25">
      <c r="A871" s="4">
        <v>42247</v>
      </c>
      <c r="B871" t="s">
        <v>620</v>
      </c>
      <c r="C871" s="34">
        <v>254.68</v>
      </c>
      <c r="D871" s="34"/>
    </row>
    <row r="872" spans="1:4" s="25" customFormat="1" hidden="1" x14ac:dyDescent="0.25">
      <c r="A872" s="4">
        <v>42247</v>
      </c>
      <c r="B872" t="s">
        <v>372</v>
      </c>
      <c r="C872" s="34">
        <v>246.68</v>
      </c>
      <c r="D872" s="34"/>
    </row>
    <row r="873" spans="1:4" s="25" customFormat="1" hidden="1" x14ac:dyDescent="0.25">
      <c r="A873" s="4">
        <v>42255</v>
      </c>
      <c r="B873" t="s">
        <v>621</v>
      </c>
      <c r="C873" s="34">
        <v>80</v>
      </c>
      <c r="D873" s="34"/>
    </row>
    <row r="874" spans="1:4" s="25" customFormat="1" hidden="1" x14ac:dyDescent="0.25">
      <c r="A874" s="4">
        <v>42265</v>
      </c>
      <c r="B874" t="s">
        <v>622</v>
      </c>
      <c r="C874" s="34">
        <v>378</v>
      </c>
      <c r="D874" s="34"/>
    </row>
    <row r="875" spans="1:4" s="25" customFormat="1" hidden="1" x14ac:dyDescent="0.25">
      <c r="A875" s="4">
        <v>42270</v>
      </c>
      <c r="B875" t="s">
        <v>623</v>
      </c>
      <c r="C875" s="34">
        <v>572.71</v>
      </c>
      <c r="D875" s="34"/>
    </row>
    <row r="876" spans="1:4" s="25" customFormat="1" hidden="1" x14ac:dyDescent="0.25">
      <c r="A876" s="4">
        <v>42271</v>
      </c>
      <c r="B876" t="s">
        <v>624</v>
      </c>
      <c r="C876" s="34">
        <v>495.72</v>
      </c>
      <c r="D876" s="34"/>
    </row>
    <row r="877" spans="1:4" s="25" customFormat="1" hidden="1" x14ac:dyDescent="0.25">
      <c r="A877" s="4">
        <v>42272</v>
      </c>
      <c r="B877" t="s">
        <v>625</v>
      </c>
      <c r="C877" s="34">
        <v>793.6</v>
      </c>
      <c r="D877" s="34"/>
    </row>
    <row r="878" spans="1:4" s="25" customFormat="1" hidden="1" x14ac:dyDescent="0.25">
      <c r="A878" s="4">
        <v>42276</v>
      </c>
      <c r="B878" t="s">
        <v>626</v>
      </c>
      <c r="C878" s="34">
        <v>438.91</v>
      </c>
      <c r="D878" s="34"/>
    </row>
    <row r="879" spans="1:4" s="25" customFormat="1" hidden="1" x14ac:dyDescent="0.25">
      <c r="A879" s="4">
        <v>42277</v>
      </c>
      <c r="B879" t="s">
        <v>372</v>
      </c>
      <c r="C879" s="34">
        <v>242.42</v>
      </c>
      <c r="D879" s="34"/>
    </row>
    <row r="880" spans="1:4" s="25" customFormat="1" hidden="1" x14ac:dyDescent="0.25">
      <c r="A880" s="4">
        <v>42277</v>
      </c>
      <c r="B880" t="s">
        <v>627</v>
      </c>
      <c r="C880" s="34">
        <v>139.69999999999999</v>
      </c>
      <c r="D880" s="34"/>
    </row>
    <row r="881" spans="1:4" s="25" customFormat="1" hidden="1" x14ac:dyDescent="0.25">
      <c r="A881" s="4">
        <v>42278</v>
      </c>
      <c r="B881" t="s">
        <v>628</v>
      </c>
      <c r="C881" s="34">
        <v>1110</v>
      </c>
      <c r="D881" s="34"/>
    </row>
    <row r="882" spans="1:4" s="25" customFormat="1" hidden="1" x14ac:dyDescent="0.25">
      <c r="A882" s="4">
        <v>42278</v>
      </c>
      <c r="B882" t="s">
        <v>383</v>
      </c>
      <c r="C882" s="34">
        <v>100.44</v>
      </c>
      <c r="D882" s="34"/>
    </row>
    <row r="883" spans="1:4" s="25" customFormat="1" hidden="1" x14ac:dyDescent="0.25">
      <c r="A883" s="4">
        <v>42279</v>
      </c>
      <c r="B883" t="s">
        <v>629</v>
      </c>
      <c r="C883" s="34">
        <v>127</v>
      </c>
      <c r="D883" s="34"/>
    </row>
    <row r="884" spans="1:4" s="25" customFormat="1" hidden="1" x14ac:dyDescent="0.25">
      <c r="A884" s="4">
        <v>42285</v>
      </c>
      <c r="B884" t="s">
        <v>630</v>
      </c>
      <c r="C884" s="34">
        <v>238</v>
      </c>
      <c r="D884" s="34"/>
    </row>
    <row r="885" spans="1:4" s="25" customFormat="1" hidden="1" x14ac:dyDescent="0.25">
      <c r="A885" s="4">
        <v>42286</v>
      </c>
      <c r="B885" t="s">
        <v>385</v>
      </c>
      <c r="C885" s="34">
        <v>200</v>
      </c>
      <c r="D885" s="34"/>
    </row>
    <row r="886" spans="1:4" s="25" customFormat="1" hidden="1" x14ac:dyDescent="0.25">
      <c r="A886" s="4">
        <v>42299</v>
      </c>
      <c r="B886" t="s">
        <v>631</v>
      </c>
      <c r="C886" s="34">
        <v>2443.77</v>
      </c>
      <c r="D886" s="34"/>
    </row>
    <row r="887" spans="1:4" s="25" customFormat="1" hidden="1" x14ac:dyDescent="0.25">
      <c r="A887" s="4">
        <v>42300</v>
      </c>
      <c r="B887" t="s">
        <v>632</v>
      </c>
      <c r="C887" s="34">
        <v>117</v>
      </c>
      <c r="D887" s="34"/>
    </row>
    <row r="888" spans="1:4" s="25" customFormat="1" hidden="1" x14ac:dyDescent="0.25">
      <c r="A888" s="4">
        <v>42303</v>
      </c>
      <c r="B888" t="s">
        <v>633</v>
      </c>
      <c r="C888" s="34"/>
      <c r="D888" s="34">
        <v>162</v>
      </c>
    </row>
    <row r="889" spans="1:4" s="25" customFormat="1" hidden="1" x14ac:dyDescent="0.25">
      <c r="A889" s="4">
        <v>42307</v>
      </c>
      <c r="B889" t="s">
        <v>372</v>
      </c>
      <c r="C889" s="34">
        <v>258.43</v>
      </c>
      <c r="D889" s="34"/>
    </row>
    <row r="890" spans="1:4" s="25" customFormat="1" hidden="1" x14ac:dyDescent="0.25">
      <c r="A890" s="4">
        <v>42317</v>
      </c>
      <c r="B890" t="s">
        <v>634</v>
      </c>
      <c r="C890" s="34"/>
      <c r="D890" s="34">
        <v>561</v>
      </c>
    </row>
    <row r="891" spans="1:4" s="25" customFormat="1" hidden="1" x14ac:dyDescent="0.25">
      <c r="A891" s="4">
        <v>42328</v>
      </c>
      <c r="B891" t="s">
        <v>635</v>
      </c>
      <c r="C891" s="34">
        <v>2383.1799999999998</v>
      </c>
      <c r="D891" s="34"/>
    </row>
    <row r="892" spans="1:4" s="25" customFormat="1" hidden="1" x14ac:dyDescent="0.25">
      <c r="A892" s="4">
        <v>42338</v>
      </c>
      <c r="B892" t="s">
        <v>372</v>
      </c>
      <c r="C892" s="34">
        <v>253.88</v>
      </c>
      <c r="D892" s="34"/>
    </row>
    <row r="893" spans="1:4" s="25" customFormat="1" hidden="1" x14ac:dyDescent="0.25">
      <c r="A893" s="4">
        <v>42353</v>
      </c>
      <c r="B893" t="s">
        <v>636</v>
      </c>
      <c r="C893" s="34">
        <v>534.6</v>
      </c>
      <c r="D893" s="34"/>
    </row>
    <row r="894" spans="1:4" s="25" customFormat="1" hidden="1" x14ac:dyDescent="0.25">
      <c r="A894" s="4">
        <v>42354</v>
      </c>
      <c r="B894" t="s">
        <v>637</v>
      </c>
      <c r="C894" s="34">
        <v>475</v>
      </c>
      <c r="D894" s="34"/>
    </row>
    <row r="895" spans="1:4" s="25" customFormat="1" hidden="1" x14ac:dyDescent="0.25">
      <c r="A895" s="4">
        <v>42359</v>
      </c>
      <c r="B895" t="s">
        <v>638</v>
      </c>
      <c r="C895" s="34">
        <v>470</v>
      </c>
      <c r="D895" s="34"/>
    </row>
    <row r="896" spans="1:4" s="25" customFormat="1" hidden="1" x14ac:dyDescent="0.25">
      <c r="A896" s="4">
        <v>42361</v>
      </c>
      <c r="B896" t="s">
        <v>639</v>
      </c>
      <c r="C896" s="34"/>
      <c r="D896" s="34">
        <v>162</v>
      </c>
    </row>
    <row r="897" spans="1:4" s="25" customFormat="1" hidden="1" x14ac:dyDescent="0.25">
      <c r="A897" s="4">
        <v>42368</v>
      </c>
      <c r="B897" t="s">
        <v>640</v>
      </c>
      <c r="C897" s="34">
        <v>47.4</v>
      </c>
      <c r="D897" s="34"/>
    </row>
    <row r="898" spans="1:4" s="25" customFormat="1" hidden="1" x14ac:dyDescent="0.25">
      <c r="A898" s="4">
        <v>42369</v>
      </c>
      <c r="B898" t="s">
        <v>372</v>
      </c>
      <c r="C898" s="34">
        <v>266.05</v>
      </c>
      <c r="D898" s="34"/>
    </row>
    <row r="899" spans="1:4" s="25" customFormat="1" hidden="1" x14ac:dyDescent="0.25">
      <c r="A899" s="4">
        <v>42373</v>
      </c>
      <c r="B899" t="s">
        <v>641</v>
      </c>
      <c r="C899" s="34"/>
      <c r="D899" s="34">
        <v>2.5</v>
      </c>
    </row>
    <row r="900" spans="1:4" s="25" customFormat="1" hidden="1" x14ac:dyDescent="0.25">
      <c r="A900" s="4">
        <v>42391</v>
      </c>
      <c r="B900" t="s">
        <v>642</v>
      </c>
      <c r="C900" s="34">
        <v>2443.77</v>
      </c>
      <c r="D900" s="34"/>
    </row>
    <row r="901" spans="1:4" s="25" customFormat="1" hidden="1" x14ac:dyDescent="0.25">
      <c r="A901" s="4">
        <v>42398</v>
      </c>
      <c r="B901" t="s">
        <v>372</v>
      </c>
      <c r="C901" s="34">
        <v>268.14999999999998</v>
      </c>
      <c r="D901" s="34"/>
    </row>
    <row r="902" spans="1:4" s="25" customFormat="1" hidden="1" x14ac:dyDescent="0.25">
      <c r="A902" s="4">
        <v>42418</v>
      </c>
      <c r="B902" t="s">
        <v>643</v>
      </c>
      <c r="C902" s="34">
        <v>2383.1799999999998</v>
      </c>
      <c r="D902" s="34"/>
    </row>
    <row r="903" spans="1:4" s="25" customFormat="1" hidden="1" x14ac:dyDescent="0.25">
      <c r="A903" s="4">
        <v>42429</v>
      </c>
      <c r="B903" t="s">
        <v>372</v>
      </c>
      <c r="C903" s="34">
        <v>255.24</v>
      </c>
      <c r="D903" s="34"/>
    </row>
    <row r="904" spans="1:4" s="25" customFormat="1" hidden="1" x14ac:dyDescent="0.25">
      <c r="A904" s="4">
        <v>42429</v>
      </c>
      <c r="B904" t="s">
        <v>644</v>
      </c>
      <c r="C904" s="34">
        <v>338.89</v>
      </c>
      <c r="D904" s="34"/>
    </row>
    <row r="905" spans="1:4" s="25" customFormat="1" hidden="1" x14ac:dyDescent="0.25">
      <c r="A905" s="4">
        <v>42429</v>
      </c>
      <c r="B905" t="s">
        <v>645</v>
      </c>
      <c r="C905" s="34">
        <v>264.43</v>
      </c>
      <c r="D905" s="34"/>
    </row>
    <row r="906" spans="1:4" s="25" customFormat="1" hidden="1" x14ac:dyDescent="0.25">
      <c r="A906" s="4">
        <v>42433</v>
      </c>
      <c r="B906" t="s">
        <v>440</v>
      </c>
      <c r="C906" s="34">
        <v>1026</v>
      </c>
      <c r="D906" s="34"/>
    </row>
    <row r="907" spans="1:4" s="25" customFormat="1" hidden="1" x14ac:dyDescent="0.25">
      <c r="A907" s="4">
        <v>42433</v>
      </c>
      <c r="B907" t="s">
        <v>646</v>
      </c>
      <c r="C907" s="34">
        <v>5824</v>
      </c>
      <c r="D907" s="34"/>
    </row>
    <row r="908" spans="1:4" s="25" customFormat="1" hidden="1" x14ac:dyDescent="0.25">
      <c r="A908" s="4">
        <v>42433</v>
      </c>
      <c r="B908" t="s">
        <v>647</v>
      </c>
      <c r="C908" s="34">
        <v>4570.9799999999996</v>
      </c>
      <c r="D908" s="34"/>
    </row>
    <row r="909" spans="1:4" s="25" customFormat="1" hidden="1" x14ac:dyDescent="0.25">
      <c r="A909" s="4">
        <v>42444</v>
      </c>
      <c r="B909" t="s">
        <v>648</v>
      </c>
      <c r="C909" s="34">
        <v>420</v>
      </c>
      <c r="D909" s="34"/>
    </row>
    <row r="910" spans="1:4" s="25" customFormat="1" hidden="1" x14ac:dyDescent="0.25">
      <c r="A910" s="4">
        <v>42445</v>
      </c>
      <c r="B910" t="s">
        <v>649</v>
      </c>
      <c r="C910" s="34">
        <v>466.56</v>
      </c>
      <c r="D910" s="34"/>
    </row>
    <row r="911" spans="1:4" s="25" customFormat="1" hidden="1" x14ac:dyDescent="0.25">
      <c r="A911" s="4">
        <v>42447</v>
      </c>
      <c r="B911" t="s">
        <v>650</v>
      </c>
      <c r="C911" s="34">
        <v>80</v>
      </c>
      <c r="D911" s="34"/>
    </row>
    <row r="912" spans="1:4" s="25" customFormat="1" hidden="1" x14ac:dyDescent="0.25">
      <c r="A912" s="4">
        <v>42460</v>
      </c>
      <c r="B912" t="s">
        <v>651</v>
      </c>
      <c r="C912" s="34">
        <v>1033.56</v>
      </c>
      <c r="D912" s="34"/>
    </row>
    <row r="913" spans="1:4" s="25" customFormat="1" hidden="1" x14ac:dyDescent="0.25">
      <c r="A913" s="4">
        <v>42460</v>
      </c>
      <c r="B913" t="s">
        <v>652</v>
      </c>
      <c r="C913" s="34">
        <v>106.84</v>
      </c>
      <c r="D913" s="34"/>
    </row>
    <row r="914" spans="1:4" s="25" customFormat="1" hidden="1" x14ac:dyDescent="0.25">
      <c r="A914" s="4">
        <v>42460</v>
      </c>
      <c r="B914" t="s">
        <v>653</v>
      </c>
      <c r="C914" s="34">
        <v>125.73</v>
      </c>
      <c r="D914" s="34"/>
    </row>
    <row r="915" spans="1:4" s="25" customFormat="1" hidden="1" x14ac:dyDescent="0.25">
      <c r="A915" s="4">
        <v>42460</v>
      </c>
      <c r="B915" t="s">
        <v>372</v>
      </c>
      <c r="C915" s="34">
        <v>293.93</v>
      </c>
      <c r="D915" s="34"/>
    </row>
    <row r="916" spans="1:4" s="25" customFormat="1" hidden="1" x14ac:dyDescent="0.25">
      <c r="A916" s="4">
        <v>42461</v>
      </c>
      <c r="B916" t="s">
        <v>654</v>
      </c>
      <c r="C916" s="34">
        <v>793.6</v>
      </c>
      <c r="D916" s="34"/>
    </row>
    <row r="917" spans="1:4" s="25" customFormat="1" hidden="1" x14ac:dyDescent="0.25">
      <c r="A917" s="4">
        <v>42474</v>
      </c>
      <c r="B917" t="s">
        <v>655</v>
      </c>
      <c r="C917" s="34">
        <v>190.5</v>
      </c>
      <c r="D917" s="34"/>
    </row>
    <row r="918" spans="1:4" s="25" customFormat="1" hidden="1" x14ac:dyDescent="0.25">
      <c r="A918" s="4">
        <v>42474</v>
      </c>
      <c r="B918" t="s">
        <v>656</v>
      </c>
      <c r="C918" s="34">
        <v>246.5</v>
      </c>
      <c r="D918" s="34"/>
    </row>
    <row r="919" spans="1:4" s="25" customFormat="1" hidden="1" x14ac:dyDescent="0.25">
      <c r="A919" s="4">
        <v>42478</v>
      </c>
      <c r="B919" t="s">
        <v>657</v>
      </c>
      <c r="C919" s="34"/>
      <c r="D919" s="34">
        <v>162</v>
      </c>
    </row>
    <row r="920" spans="1:4" s="25" customFormat="1" hidden="1" x14ac:dyDescent="0.25">
      <c r="A920" s="4">
        <v>42486</v>
      </c>
      <c r="B920" t="s">
        <v>658</v>
      </c>
      <c r="C920" s="34">
        <v>2443.77</v>
      </c>
      <c r="D920" s="34"/>
    </row>
    <row r="921" spans="1:4" s="25" customFormat="1" hidden="1" x14ac:dyDescent="0.25">
      <c r="A921" s="4">
        <v>42489</v>
      </c>
      <c r="B921" t="s">
        <v>372</v>
      </c>
      <c r="C921" s="34">
        <v>291.39</v>
      </c>
      <c r="D921" s="34"/>
    </row>
    <row r="922" spans="1:4" s="25" customFormat="1" hidden="1" x14ac:dyDescent="0.25">
      <c r="A922" s="4">
        <v>42509</v>
      </c>
      <c r="B922" t="s">
        <v>659</v>
      </c>
      <c r="C922" s="34">
        <v>3906.54</v>
      </c>
      <c r="D922" s="34"/>
    </row>
    <row r="923" spans="1:4" s="25" customFormat="1" hidden="1" x14ac:dyDescent="0.25">
      <c r="A923" s="4">
        <v>42513</v>
      </c>
      <c r="B923" t="s">
        <v>660</v>
      </c>
      <c r="C923" s="34"/>
      <c r="D923" s="34">
        <v>5609.94</v>
      </c>
    </row>
    <row r="924" spans="1:4" s="25" customFormat="1" hidden="1" x14ac:dyDescent="0.25">
      <c r="A924" s="4">
        <v>42513</v>
      </c>
      <c r="B924" t="s">
        <v>661</v>
      </c>
      <c r="C924" s="34"/>
      <c r="D924" s="34">
        <v>3799.99</v>
      </c>
    </row>
    <row r="925" spans="1:4" s="25" customFormat="1" hidden="1" x14ac:dyDescent="0.25">
      <c r="A925" s="4">
        <v>42514</v>
      </c>
      <c r="B925" t="s">
        <v>662</v>
      </c>
      <c r="C925" s="34">
        <v>2383.1799999999998</v>
      </c>
      <c r="D925" s="34"/>
    </row>
    <row r="926" spans="1:4" s="25" customFormat="1" hidden="1" x14ac:dyDescent="0.25">
      <c r="A926" s="4">
        <v>42517</v>
      </c>
      <c r="B926" t="s">
        <v>663</v>
      </c>
      <c r="C926" s="34"/>
      <c r="D926" s="34">
        <v>60</v>
      </c>
    </row>
    <row r="927" spans="1:4" s="25" customFormat="1" hidden="1" x14ac:dyDescent="0.25">
      <c r="A927" s="4">
        <v>42520</v>
      </c>
      <c r="B927" t="s">
        <v>664</v>
      </c>
      <c r="C927" s="34"/>
      <c r="D927" s="34">
        <v>2750</v>
      </c>
    </row>
    <row r="928" spans="1:4" s="25" customFormat="1" hidden="1" x14ac:dyDescent="0.25">
      <c r="A928" s="4">
        <v>42521</v>
      </c>
      <c r="B928" t="s">
        <v>372</v>
      </c>
      <c r="C928" s="34">
        <v>269.08</v>
      </c>
      <c r="D928" s="34"/>
    </row>
    <row r="929" spans="1:4" s="25" customFormat="1" hidden="1" x14ac:dyDescent="0.25">
      <c r="A929" s="4">
        <v>42551</v>
      </c>
      <c r="B929" t="s">
        <v>372</v>
      </c>
      <c r="C929" s="34">
        <v>248.7</v>
      </c>
      <c r="D929" s="34"/>
    </row>
    <row r="930" spans="1:4" s="25" customFormat="1" hidden="1" x14ac:dyDescent="0.25">
      <c r="A930" s="4"/>
      <c r="B930" s="4"/>
      <c r="C930" s="34"/>
      <c r="D930" s="34"/>
    </row>
    <row r="931" spans="1:4" s="25" customFormat="1" hidden="1" x14ac:dyDescent="0.25">
      <c r="A931" s="4"/>
      <c r="B931" s="4"/>
      <c r="C931" s="34"/>
      <c r="D931" s="34"/>
    </row>
    <row r="932" spans="1:4" s="25" customFormat="1" hidden="1" x14ac:dyDescent="0.25">
      <c r="A932" s="4">
        <v>42551</v>
      </c>
      <c r="B932" t="s">
        <v>14</v>
      </c>
      <c r="C932" s="36">
        <f>SUM(C860:C931)</f>
        <v>200288.1099999999</v>
      </c>
      <c r="D932" s="36">
        <f>SUM(D860:D931)</f>
        <v>16175.48</v>
      </c>
    </row>
    <row r="933" spans="1:4" s="25" customFormat="1" hidden="1" x14ac:dyDescent="0.25">
      <c r="A933" s="4"/>
      <c r="B933" s="4" t="s">
        <v>15</v>
      </c>
      <c r="C933" s="34">
        <f>IF(C932&gt;D932,C932-D932," ")</f>
        <v>184112.62999999989</v>
      </c>
      <c r="D933" s="34" t="str">
        <f>IF(D932&gt;C932,D932-C932," ")</f>
        <v xml:space="preserve"> </v>
      </c>
    </row>
    <row r="934" spans="1:4" s="25" customFormat="1" hidden="1" x14ac:dyDescent="0.25">
      <c r="A934" s="4">
        <v>42552</v>
      </c>
      <c r="B934" s="3" t="s">
        <v>665</v>
      </c>
      <c r="C934" s="34">
        <v>400</v>
      </c>
      <c r="D934" s="37"/>
    </row>
    <row r="935" spans="1:4" s="25" customFormat="1" hidden="1" x14ac:dyDescent="0.25">
      <c r="A935" s="4">
        <v>42555</v>
      </c>
      <c r="B935" s="3" t="s">
        <v>666</v>
      </c>
      <c r="C935" s="34"/>
      <c r="D935" s="37">
        <v>1408.8</v>
      </c>
    </row>
    <row r="936" spans="1:4" s="25" customFormat="1" hidden="1" x14ac:dyDescent="0.25">
      <c r="A936" s="4">
        <v>42555</v>
      </c>
      <c r="B936" s="3" t="s">
        <v>667</v>
      </c>
      <c r="C936" s="34">
        <v>490.68</v>
      </c>
      <c r="D936" s="37"/>
    </row>
    <row r="937" spans="1:4" s="25" customFormat="1" hidden="1" x14ac:dyDescent="0.25">
      <c r="A937" s="4">
        <v>42556</v>
      </c>
      <c r="B937" s="3" t="s">
        <v>668</v>
      </c>
      <c r="C937" s="34">
        <v>534.6</v>
      </c>
      <c r="D937" s="37"/>
    </row>
    <row r="938" spans="1:4" s="25" customFormat="1" hidden="1" x14ac:dyDescent="0.25">
      <c r="A938" s="4">
        <v>42562</v>
      </c>
      <c r="B938" s="3" t="s">
        <v>669</v>
      </c>
      <c r="C938" s="34"/>
      <c r="D938" s="37">
        <v>875</v>
      </c>
    </row>
    <row r="939" spans="1:4" s="25" customFormat="1" hidden="1" x14ac:dyDescent="0.25">
      <c r="A939" s="4">
        <v>42577</v>
      </c>
      <c r="B939" s="3" t="s">
        <v>670</v>
      </c>
      <c r="C939" s="34">
        <v>2441.33</v>
      </c>
      <c r="D939" s="37"/>
    </row>
    <row r="940" spans="1:4" s="25" customFormat="1" hidden="1" x14ac:dyDescent="0.25">
      <c r="A940" s="4">
        <v>42580</v>
      </c>
      <c r="B940" s="3" t="s">
        <v>372</v>
      </c>
      <c r="C940" s="34">
        <v>257.14999999999998</v>
      </c>
      <c r="D940" s="37"/>
    </row>
    <row r="941" spans="1:4" s="25" customFormat="1" hidden="1" x14ac:dyDescent="0.25">
      <c r="A941" s="4">
        <v>42604</v>
      </c>
      <c r="B941" s="3" t="s">
        <v>671</v>
      </c>
      <c r="C941" s="34">
        <v>2441.33</v>
      </c>
      <c r="D941" s="37"/>
    </row>
    <row r="942" spans="1:4" s="25" customFormat="1" hidden="1" x14ac:dyDescent="0.25">
      <c r="A942" s="4">
        <v>42608</v>
      </c>
      <c r="B942" s="3" t="s">
        <v>440</v>
      </c>
      <c r="C942" s="34">
        <v>760</v>
      </c>
      <c r="D942" s="37"/>
    </row>
    <row r="943" spans="1:4" s="25" customFormat="1" hidden="1" x14ac:dyDescent="0.25">
      <c r="A943" s="4">
        <v>42613</v>
      </c>
      <c r="B943" s="3" t="s">
        <v>672</v>
      </c>
      <c r="C943" s="34">
        <v>345.37</v>
      </c>
      <c r="D943" s="37"/>
    </row>
    <row r="944" spans="1:4" s="25" customFormat="1" hidden="1" x14ac:dyDescent="0.25">
      <c r="A944" s="4">
        <v>42613</v>
      </c>
      <c r="B944" s="3" t="s">
        <v>673</v>
      </c>
      <c r="C944" s="34">
        <v>243.89</v>
      </c>
      <c r="D944" s="37"/>
    </row>
    <row r="945" spans="1:4" s="25" customFormat="1" hidden="1" x14ac:dyDescent="0.25">
      <c r="A945" s="4">
        <v>42613</v>
      </c>
      <c r="B945" s="3" t="s">
        <v>372</v>
      </c>
      <c r="C945" s="34">
        <v>225.44</v>
      </c>
      <c r="D945" s="37"/>
    </row>
    <row r="946" spans="1:4" s="25" customFormat="1" hidden="1" x14ac:dyDescent="0.25">
      <c r="A946" s="4">
        <v>42619</v>
      </c>
      <c r="B946" s="3" t="s">
        <v>674</v>
      </c>
      <c r="C946" s="34">
        <v>80</v>
      </c>
      <c r="D946" s="37"/>
    </row>
    <row r="947" spans="1:4" s="25" customFormat="1" hidden="1" x14ac:dyDescent="0.25">
      <c r="A947" s="4">
        <v>42627</v>
      </c>
      <c r="B947" s="3" t="s">
        <v>675</v>
      </c>
      <c r="C947" s="34">
        <v>420</v>
      </c>
      <c r="D947" s="37"/>
    </row>
    <row r="948" spans="1:4" s="25" customFormat="1" hidden="1" x14ac:dyDescent="0.25">
      <c r="A948" s="4">
        <v>42633</v>
      </c>
      <c r="B948" s="3" t="s">
        <v>676</v>
      </c>
      <c r="C948" s="34">
        <v>92.6</v>
      </c>
      <c r="D948" s="37"/>
    </row>
    <row r="949" spans="1:4" s="25" customFormat="1" hidden="1" x14ac:dyDescent="0.25">
      <c r="A949" s="4">
        <v>42635</v>
      </c>
      <c r="B949" s="3" t="s">
        <v>677</v>
      </c>
      <c r="C949" s="34">
        <v>524.88</v>
      </c>
      <c r="D949" s="37"/>
    </row>
    <row r="950" spans="1:4" s="25" customFormat="1" hidden="1" x14ac:dyDescent="0.25">
      <c r="A950" s="4">
        <v>42636</v>
      </c>
      <c r="B950" s="3" t="s">
        <v>678</v>
      </c>
      <c r="C950" s="34">
        <v>793.6</v>
      </c>
      <c r="D950" s="37"/>
    </row>
    <row r="951" spans="1:4" s="25" customFormat="1" hidden="1" x14ac:dyDescent="0.25">
      <c r="A951" s="4">
        <v>42636</v>
      </c>
      <c r="B951" s="3" t="s">
        <v>679</v>
      </c>
      <c r="C951" s="34">
        <v>21.23</v>
      </c>
      <c r="D951" s="37"/>
    </row>
    <row r="952" spans="1:4" s="25" customFormat="1" hidden="1" x14ac:dyDescent="0.25">
      <c r="A952" s="4">
        <v>42641</v>
      </c>
      <c r="B952" s="3" t="s">
        <v>680</v>
      </c>
      <c r="C952" s="34">
        <v>133.35</v>
      </c>
      <c r="D952" s="37"/>
    </row>
    <row r="953" spans="1:4" s="25" customFormat="1" hidden="1" x14ac:dyDescent="0.25">
      <c r="A953" s="4">
        <v>42642</v>
      </c>
      <c r="B953" s="3" t="s">
        <v>681</v>
      </c>
      <c r="C953" s="34">
        <v>1158.8399999999999</v>
      </c>
      <c r="D953" s="37"/>
    </row>
    <row r="954" spans="1:4" s="25" customFormat="1" hidden="1" x14ac:dyDescent="0.25">
      <c r="A954" s="4">
        <v>42643</v>
      </c>
      <c r="B954" s="3" t="s">
        <v>372</v>
      </c>
      <c r="C954" s="34">
        <v>218.97</v>
      </c>
      <c r="D954" s="37"/>
    </row>
    <row r="955" spans="1:4" s="25" customFormat="1" hidden="1" x14ac:dyDescent="0.25">
      <c r="A955" s="4">
        <v>42643</v>
      </c>
      <c r="B955" s="3" t="s">
        <v>682</v>
      </c>
      <c r="C955" s="34">
        <v>286.14999999999998</v>
      </c>
      <c r="D955" s="37"/>
    </row>
    <row r="956" spans="1:4" s="25" customFormat="1" hidden="1" x14ac:dyDescent="0.25">
      <c r="A956" s="4">
        <v>42643</v>
      </c>
      <c r="B956" s="3" t="s">
        <v>683</v>
      </c>
      <c r="C956" s="34">
        <v>125.73</v>
      </c>
      <c r="D956" s="37"/>
    </row>
    <row r="957" spans="1:4" s="25" customFormat="1" hidden="1" x14ac:dyDescent="0.25">
      <c r="A957" s="4">
        <v>42649</v>
      </c>
      <c r="B957" s="3" t="s">
        <v>684</v>
      </c>
      <c r="C957" s="34">
        <v>6.6</v>
      </c>
      <c r="D957" s="37"/>
    </row>
    <row r="958" spans="1:4" s="25" customFormat="1" hidden="1" x14ac:dyDescent="0.25">
      <c r="A958" s="4">
        <v>42656</v>
      </c>
      <c r="B958" s="3" t="s">
        <v>685</v>
      </c>
      <c r="C958" s="34">
        <v>246.5</v>
      </c>
      <c r="D958" s="37"/>
    </row>
    <row r="959" spans="1:4" s="25" customFormat="1" hidden="1" x14ac:dyDescent="0.25">
      <c r="A959" s="4">
        <v>42662</v>
      </c>
      <c r="B959" s="3" t="s">
        <v>686</v>
      </c>
      <c r="C959" s="34"/>
      <c r="D959" s="37">
        <v>337</v>
      </c>
    </row>
    <row r="960" spans="1:4" s="25" customFormat="1" hidden="1" x14ac:dyDescent="0.25">
      <c r="A960" s="4">
        <v>42667</v>
      </c>
      <c r="B960" s="3" t="s">
        <v>687</v>
      </c>
      <c r="C960" s="34">
        <v>2441.33</v>
      </c>
      <c r="D960" s="37"/>
    </row>
    <row r="961" spans="1:4" s="25" customFormat="1" hidden="1" x14ac:dyDescent="0.25">
      <c r="A961" s="4">
        <v>42674</v>
      </c>
      <c r="B961" s="3" t="s">
        <v>372</v>
      </c>
      <c r="C961" s="34">
        <v>230.53</v>
      </c>
      <c r="D961" s="37"/>
    </row>
    <row r="962" spans="1:4" s="25" customFormat="1" hidden="1" x14ac:dyDescent="0.25">
      <c r="A962" s="4">
        <v>42699</v>
      </c>
      <c r="B962" s="3" t="s">
        <v>688</v>
      </c>
      <c r="C962" s="34">
        <v>2441.33</v>
      </c>
      <c r="D962" s="37"/>
    </row>
    <row r="963" spans="1:4" s="25" customFormat="1" hidden="1" x14ac:dyDescent="0.25">
      <c r="A963" s="4">
        <v>42704</v>
      </c>
      <c r="B963" s="3" t="s">
        <v>372</v>
      </c>
      <c r="C963" s="34">
        <v>225.92</v>
      </c>
      <c r="D963" s="37"/>
    </row>
    <row r="964" spans="1:4" s="25" customFormat="1" hidden="1" x14ac:dyDescent="0.25">
      <c r="A964" s="4">
        <v>42717</v>
      </c>
      <c r="B964" s="3" t="s">
        <v>689</v>
      </c>
      <c r="C964" s="34">
        <v>534.6</v>
      </c>
      <c r="D964" s="37"/>
    </row>
    <row r="965" spans="1:4" s="25" customFormat="1" hidden="1" x14ac:dyDescent="0.25">
      <c r="A965" s="4">
        <v>42720</v>
      </c>
      <c r="B965" s="3" t="s">
        <v>690</v>
      </c>
      <c r="C965" s="34">
        <v>400</v>
      </c>
      <c r="D965" s="37"/>
    </row>
    <row r="966" spans="1:4" s="25" customFormat="1" hidden="1" x14ac:dyDescent="0.25">
      <c r="A966" s="4">
        <v>42724</v>
      </c>
      <c r="B966" s="3" t="s">
        <v>691</v>
      </c>
      <c r="C966" s="34">
        <v>21.23</v>
      </c>
      <c r="D966" s="37"/>
    </row>
    <row r="967" spans="1:4" s="25" customFormat="1" hidden="1" x14ac:dyDescent="0.25">
      <c r="A967" s="4">
        <v>42725</v>
      </c>
      <c r="B967" s="3" t="s">
        <v>692</v>
      </c>
      <c r="C967" s="34"/>
      <c r="D967" s="37">
        <v>337</v>
      </c>
    </row>
    <row r="968" spans="1:4" s="25" customFormat="1" hidden="1" x14ac:dyDescent="0.25">
      <c r="A968" s="4">
        <v>42725</v>
      </c>
      <c r="B968" s="3" t="s">
        <v>693</v>
      </c>
      <c r="C968" s="34">
        <v>490.68</v>
      </c>
      <c r="D968" s="37"/>
    </row>
    <row r="969" spans="1:4" s="25" customFormat="1" hidden="1" x14ac:dyDescent="0.25">
      <c r="A969" s="4">
        <v>42734</v>
      </c>
      <c r="B969" s="3" t="s">
        <v>372</v>
      </c>
      <c r="C969" s="34">
        <v>236.84</v>
      </c>
      <c r="D969" s="37"/>
    </row>
    <row r="970" spans="1:4" s="25" customFormat="1" hidden="1" x14ac:dyDescent="0.25">
      <c r="A970" s="4">
        <v>42759</v>
      </c>
      <c r="B970" s="3" t="s">
        <v>694</v>
      </c>
      <c r="C970" s="34">
        <v>2441.33</v>
      </c>
      <c r="D970" s="37"/>
    </row>
    <row r="971" spans="1:4" s="25" customFormat="1" hidden="1" x14ac:dyDescent="0.25">
      <c r="A971" s="4">
        <v>42766</v>
      </c>
      <c r="B971" s="3" t="s">
        <v>372</v>
      </c>
      <c r="C971" s="34">
        <v>239.08</v>
      </c>
      <c r="D971" s="37"/>
    </row>
    <row r="972" spans="1:4" s="25" customFormat="1" hidden="1" x14ac:dyDescent="0.25">
      <c r="A972" s="4">
        <v>42790</v>
      </c>
      <c r="B972" s="3" t="s">
        <v>695</v>
      </c>
      <c r="C972" s="34">
        <v>2441.33</v>
      </c>
      <c r="D972" s="37"/>
    </row>
    <row r="973" spans="1:4" s="25" customFormat="1" hidden="1" x14ac:dyDescent="0.25">
      <c r="A973" s="4">
        <v>42794</v>
      </c>
      <c r="B973" s="3" t="s">
        <v>696</v>
      </c>
      <c r="C973" s="34">
        <v>246.06</v>
      </c>
      <c r="D973" s="37"/>
    </row>
    <row r="974" spans="1:4" s="25" customFormat="1" hidden="1" x14ac:dyDescent="0.25">
      <c r="A974" s="4">
        <v>42794</v>
      </c>
      <c r="B974" s="3" t="s">
        <v>697</v>
      </c>
      <c r="C974" s="34">
        <v>345.37</v>
      </c>
      <c r="D974" s="37"/>
    </row>
    <row r="975" spans="1:4" s="25" customFormat="1" hidden="1" x14ac:dyDescent="0.25">
      <c r="A975" s="4">
        <v>42794</v>
      </c>
      <c r="B975" s="3" t="s">
        <v>372</v>
      </c>
      <c r="C975" s="34">
        <v>218.61</v>
      </c>
      <c r="D975" s="37"/>
    </row>
    <row r="976" spans="1:4" s="25" customFormat="1" hidden="1" x14ac:dyDescent="0.25">
      <c r="A976" s="4">
        <v>42796</v>
      </c>
      <c r="B976" s="3" t="s">
        <v>440</v>
      </c>
      <c r="C976" s="34">
        <v>768</v>
      </c>
      <c r="D976" s="37"/>
    </row>
    <row r="977" spans="1:4" s="25" customFormat="1" hidden="1" x14ac:dyDescent="0.25">
      <c r="A977" s="4">
        <v>42816</v>
      </c>
      <c r="B977" s="3" t="s">
        <v>698</v>
      </c>
      <c r="C977" s="34">
        <v>80</v>
      </c>
      <c r="D977" s="37"/>
    </row>
    <row r="978" spans="1:4" s="25" customFormat="1" hidden="1" x14ac:dyDescent="0.25">
      <c r="A978" s="4">
        <v>42817</v>
      </c>
      <c r="B978" s="3" t="s">
        <v>699</v>
      </c>
      <c r="C978" s="34">
        <v>21.23</v>
      </c>
      <c r="D978" s="37"/>
    </row>
    <row r="979" spans="1:4" s="25" customFormat="1" hidden="1" x14ac:dyDescent="0.25">
      <c r="A979" s="4">
        <v>42818</v>
      </c>
      <c r="B979" s="3" t="s">
        <v>700</v>
      </c>
      <c r="C979" s="34">
        <v>462</v>
      </c>
      <c r="D979" s="37"/>
    </row>
    <row r="980" spans="1:4" s="25" customFormat="1" hidden="1" x14ac:dyDescent="0.25">
      <c r="A980" s="4">
        <v>42821</v>
      </c>
      <c r="B980" s="3" t="s">
        <v>701</v>
      </c>
      <c r="C980" s="34">
        <v>597.78</v>
      </c>
      <c r="D980" s="37"/>
    </row>
    <row r="981" spans="1:4" s="25" customFormat="1" hidden="1" x14ac:dyDescent="0.25">
      <c r="A981" s="4">
        <v>42822</v>
      </c>
      <c r="B981" s="3" t="s">
        <v>702</v>
      </c>
      <c r="C981" s="34">
        <v>265.89</v>
      </c>
      <c r="D981" s="37"/>
    </row>
    <row r="982" spans="1:4" s="25" customFormat="1" hidden="1" x14ac:dyDescent="0.25">
      <c r="A982" s="4">
        <v>42823</v>
      </c>
      <c r="B982" s="3" t="s">
        <v>703</v>
      </c>
      <c r="C982" s="34">
        <v>412.33</v>
      </c>
      <c r="D982" s="37"/>
    </row>
    <row r="983" spans="1:4" s="25" customFormat="1" hidden="1" x14ac:dyDescent="0.25">
      <c r="A983" s="4">
        <v>42825</v>
      </c>
      <c r="B983" s="3" t="s">
        <v>704</v>
      </c>
      <c r="C983" s="34">
        <v>793.6</v>
      </c>
      <c r="D983" s="37"/>
    </row>
    <row r="984" spans="1:4" s="25" customFormat="1" hidden="1" x14ac:dyDescent="0.25">
      <c r="A984" s="4">
        <v>42825</v>
      </c>
      <c r="B984" s="3" t="s">
        <v>372</v>
      </c>
      <c r="C984" s="34">
        <v>246.63</v>
      </c>
      <c r="D984" s="37"/>
    </row>
    <row r="985" spans="1:4" s="25" customFormat="1" hidden="1" x14ac:dyDescent="0.25">
      <c r="A985" s="4">
        <v>42829</v>
      </c>
      <c r="B985" s="3" t="s">
        <v>705</v>
      </c>
      <c r="C985" s="34">
        <v>1038.78</v>
      </c>
      <c r="D985" s="37"/>
    </row>
    <row r="986" spans="1:4" s="25" customFormat="1" hidden="1" x14ac:dyDescent="0.25">
      <c r="A986" s="4">
        <v>42831</v>
      </c>
      <c r="B986" s="3" t="s">
        <v>706</v>
      </c>
      <c r="C986" s="34">
        <v>23.82</v>
      </c>
      <c r="D986" s="37"/>
    </row>
    <row r="987" spans="1:4" s="25" customFormat="1" hidden="1" x14ac:dyDescent="0.25">
      <c r="A987" s="4">
        <v>42832</v>
      </c>
      <c r="B987" s="3" t="s">
        <v>707</v>
      </c>
      <c r="C987" s="34">
        <v>139.69999999999999</v>
      </c>
      <c r="D987" s="37"/>
    </row>
    <row r="988" spans="1:4" s="25" customFormat="1" hidden="1" x14ac:dyDescent="0.25">
      <c r="A988" s="4">
        <v>42835</v>
      </c>
      <c r="B988" s="3" t="s">
        <v>708</v>
      </c>
      <c r="C988" s="34"/>
      <c r="D988" s="37">
        <v>337</v>
      </c>
    </row>
    <row r="989" spans="1:4" s="25" customFormat="1" hidden="1" x14ac:dyDescent="0.25">
      <c r="A989" s="4">
        <v>42838</v>
      </c>
      <c r="B989" s="3" t="s">
        <v>709</v>
      </c>
      <c r="C989" s="34">
        <v>246.5</v>
      </c>
      <c r="D989" s="37"/>
    </row>
    <row r="990" spans="1:4" s="25" customFormat="1" hidden="1" x14ac:dyDescent="0.25">
      <c r="A990" s="4">
        <v>42838</v>
      </c>
      <c r="B990" s="3" t="s">
        <v>710</v>
      </c>
      <c r="C990" s="34">
        <v>209.55</v>
      </c>
      <c r="D990" s="37"/>
    </row>
    <row r="991" spans="1:4" s="25" customFormat="1" hidden="1" x14ac:dyDescent="0.25">
      <c r="A991" s="4">
        <v>42851</v>
      </c>
      <c r="B991" s="3" t="s">
        <v>711</v>
      </c>
      <c r="C991" s="34">
        <v>2441.33</v>
      </c>
      <c r="D991" s="37"/>
    </row>
    <row r="992" spans="1:4" s="25" customFormat="1" hidden="1" x14ac:dyDescent="0.25">
      <c r="A992" s="4">
        <v>42853</v>
      </c>
      <c r="B992" s="3" t="s">
        <v>372</v>
      </c>
      <c r="C992" s="34">
        <v>243.4</v>
      </c>
      <c r="D992" s="37"/>
    </row>
    <row r="993" spans="1:4" s="25" customFormat="1" hidden="1" x14ac:dyDescent="0.25">
      <c r="A993" s="4">
        <v>42878</v>
      </c>
      <c r="B993" s="3" t="s">
        <v>712</v>
      </c>
      <c r="C993" s="34"/>
      <c r="D993" s="37">
        <v>2805</v>
      </c>
    </row>
    <row r="994" spans="1:4" s="25" customFormat="1" hidden="1" x14ac:dyDescent="0.25">
      <c r="A994" s="4">
        <v>42878</v>
      </c>
      <c r="B994" s="3" t="s">
        <v>713</v>
      </c>
      <c r="C994" s="34"/>
      <c r="D994" s="37">
        <v>6542.46</v>
      </c>
    </row>
    <row r="995" spans="1:4" s="25" customFormat="1" hidden="1" x14ac:dyDescent="0.25">
      <c r="A995" s="4">
        <v>42878</v>
      </c>
      <c r="B995" s="3" t="s">
        <v>714</v>
      </c>
      <c r="C995" s="34"/>
      <c r="D995" s="37">
        <v>4406.62</v>
      </c>
    </row>
    <row r="996" spans="1:4" s="25" customFormat="1" hidden="1" x14ac:dyDescent="0.25">
      <c r="A996" s="4">
        <v>42880</v>
      </c>
      <c r="B996" s="3" t="s">
        <v>715</v>
      </c>
      <c r="C996" s="34">
        <v>2441.33</v>
      </c>
      <c r="D996" s="37"/>
    </row>
    <row r="997" spans="1:4" s="25" customFormat="1" hidden="1" x14ac:dyDescent="0.25">
      <c r="A997" s="4">
        <v>42886</v>
      </c>
      <c r="B997" s="3" t="s">
        <v>716</v>
      </c>
      <c r="C997" s="34">
        <v>126.38</v>
      </c>
      <c r="D997" s="37"/>
    </row>
    <row r="998" spans="1:4" s="25" customFormat="1" hidden="1" x14ac:dyDescent="0.25">
      <c r="A998" s="4">
        <v>42886</v>
      </c>
      <c r="B998" s="3" t="s">
        <v>717</v>
      </c>
      <c r="C998" s="34">
        <v>2115.4899999999998</v>
      </c>
      <c r="D998" s="37"/>
    </row>
    <row r="999" spans="1:4" s="25" customFormat="1" hidden="1" x14ac:dyDescent="0.25">
      <c r="A999" s="4">
        <v>42891</v>
      </c>
      <c r="B999" s="3" t="s">
        <v>718</v>
      </c>
      <c r="C999" s="34">
        <v>21.23</v>
      </c>
      <c r="D999" s="37"/>
    </row>
    <row r="1000" spans="1:4" s="25" customFormat="1" hidden="1" x14ac:dyDescent="0.25">
      <c r="A1000" s="4">
        <v>42905</v>
      </c>
      <c r="B1000" s="3" t="s">
        <v>719</v>
      </c>
      <c r="C1000" s="34"/>
      <c r="D1000" s="37">
        <v>1448.1</v>
      </c>
    </row>
    <row r="1001" spans="1:4" s="25" customFormat="1" hidden="1" x14ac:dyDescent="0.25">
      <c r="A1001" s="4">
        <v>42907</v>
      </c>
      <c r="B1001" s="3" t="s">
        <v>720</v>
      </c>
      <c r="C1001" s="34">
        <v>1501.58</v>
      </c>
      <c r="D1001" s="37"/>
    </row>
    <row r="1002" spans="1:4" s="25" customFormat="1" hidden="1" x14ac:dyDescent="0.25">
      <c r="A1002" s="4">
        <v>42916</v>
      </c>
      <c r="B1002" s="3" t="s">
        <v>716</v>
      </c>
      <c r="C1002" s="34">
        <v>84.23</v>
      </c>
      <c r="D1002" s="37"/>
    </row>
    <row r="1003" spans="1:4" s="25" customFormat="1" hidden="1" x14ac:dyDescent="0.25">
      <c r="A1003" s="4">
        <v>42916</v>
      </c>
      <c r="B1003" t="s">
        <v>14</v>
      </c>
      <c r="C1003" s="36">
        <f>SUM(C933:C1002)</f>
        <v>223595.88999999984</v>
      </c>
      <c r="D1003" s="36">
        <f>SUM(D933:D1002)</f>
        <v>18496.98</v>
      </c>
    </row>
    <row r="1004" spans="1:4" s="25" customFormat="1" hidden="1" x14ac:dyDescent="0.25">
      <c r="A1004" s="4"/>
      <c r="B1004" s="4" t="s">
        <v>15</v>
      </c>
      <c r="C1004" s="34">
        <f>IF(C1003&gt;D1003,C1003-D1003," ")</f>
        <v>205098.90999999983</v>
      </c>
      <c r="D1004" s="34" t="str">
        <f>IF(D1003&gt;C1003,D1003-C1003," ")</f>
        <v xml:space="preserve"> </v>
      </c>
    </row>
    <row r="1005" spans="1:4" s="25" customFormat="1" hidden="1" x14ac:dyDescent="0.25">
      <c r="A1005" s="4">
        <v>42919</v>
      </c>
      <c r="B1005" s="4" t="s">
        <v>723</v>
      </c>
      <c r="C1005" s="34">
        <v>400</v>
      </c>
      <c r="D1005" s="34"/>
    </row>
    <row r="1006" spans="1:4" s="25" customFormat="1" hidden="1" x14ac:dyDescent="0.25">
      <c r="A1006" s="4">
        <v>42920</v>
      </c>
      <c r="B1006" s="4" t="s">
        <v>724</v>
      </c>
      <c r="C1006" s="34">
        <v>490.68</v>
      </c>
      <c r="D1006" s="34"/>
    </row>
    <row r="1007" spans="1:4" s="25" customFormat="1" hidden="1" x14ac:dyDescent="0.25">
      <c r="A1007" s="4">
        <v>42921</v>
      </c>
      <c r="B1007" s="4" t="s">
        <v>725</v>
      </c>
      <c r="C1007" s="34">
        <v>534.6</v>
      </c>
      <c r="D1007" s="34"/>
    </row>
    <row r="1008" spans="1:4" s="25" customFormat="1" hidden="1" x14ac:dyDescent="0.25">
      <c r="A1008" s="4">
        <v>42947</v>
      </c>
      <c r="B1008" s="4" t="s">
        <v>716</v>
      </c>
      <c r="C1008" s="34">
        <v>87.67</v>
      </c>
      <c r="D1008" s="34"/>
    </row>
    <row r="1009" spans="1:4" s="25" customFormat="1" hidden="1" x14ac:dyDescent="0.25">
      <c r="A1009" s="4">
        <v>42975</v>
      </c>
      <c r="B1009" s="4" t="s">
        <v>440</v>
      </c>
      <c r="C1009" s="34">
        <v>830</v>
      </c>
      <c r="D1009" s="34"/>
    </row>
    <row r="1010" spans="1:4" s="25" customFormat="1" hidden="1" x14ac:dyDescent="0.25">
      <c r="A1010" s="4">
        <v>42975</v>
      </c>
      <c r="B1010" s="4" t="s">
        <v>440</v>
      </c>
      <c r="C1010" s="34">
        <v>114</v>
      </c>
      <c r="D1010" s="34"/>
    </row>
    <row r="1011" spans="1:4" s="25" customFormat="1" hidden="1" x14ac:dyDescent="0.25">
      <c r="A1011" s="4">
        <v>42978</v>
      </c>
      <c r="B1011" s="4" t="s">
        <v>726</v>
      </c>
      <c r="C1011" s="34">
        <v>352.18</v>
      </c>
      <c r="D1011" s="34"/>
    </row>
    <row r="1012" spans="1:4" s="25" customFormat="1" hidden="1" x14ac:dyDescent="0.25">
      <c r="A1012" s="4">
        <v>42978</v>
      </c>
      <c r="B1012" s="4" t="s">
        <v>727</v>
      </c>
      <c r="C1012" s="34">
        <v>241.99</v>
      </c>
      <c r="D1012" s="34"/>
    </row>
    <row r="1013" spans="1:4" s="25" customFormat="1" hidden="1" x14ac:dyDescent="0.25">
      <c r="A1013" s="4">
        <v>42978</v>
      </c>
      <c r="B1013" s="4" t="s">
        <v>716</v>
      </c>
      <c r="C1013" s="34">
        <v>87.78</v>
      </c>
      <c r="D1013" s="34"/>
    </row>
    <row r="1014" spans="1:4" s="25" customFormat="1" hidden="1" x14ac:dyDescent="0.25">
      <c r="A1014" s="4">
        <v>42989</v>
      </c>
      <c r="B1014" s="4" t="s">
        <v>728</v>
      </c>
      <c r="C1014" s="34"/>
      <c r="D1014" s="34">
        <v>30000</v>
      </c>
    </row>
    <row r="1015" spans="1:4" s="25" customFormat="1" hidden="1" x14ac:dyDescent="0.25">
      <c r="A1015" s="4">
        <v>42990</v>
      </c>
      <c r="B1015" s="4" t="s">
        <v>729</v>
      </c>
      <c r="C1015" s="34">
        <v>80</v>
      </c>
      <c r="D1015" s="34"/>
    </row>
    <row r="1016" spans="1:4" s="25" customFormat="1" hidden="1" x14ac:dyDescent="0.25">
      <c r="A1016" s="4">
        <v>42998</v>
      </c>
      <c r="B1016" s="4" t="s">
        <v>730</v>
      </c>
      <c r="C1016" s="34">
        <v>462</v>
      </c>
      <c r="D1016" s="34"/>
    </row>
    <row r="1017" spans="1:4" s="25" customFormat="1" hidden="1" x14ac:dyDescent="0.25">
      <c r="A1017" s="4">
        <v>42999</v>
      </c>
      <c r="B1017" s="4" t="s">
        <v>731</v>
      </c>
      <c r="C1017" s="34">
        <v>394.03</v>
      </c>
      <c r="D1017" s="34"/>
    </row>
    <row r="1018" spans="1:4" s="25" customFormat="1" hidden="1" x14ac:dyDescent="0.25">
      <c r="A1018" s="4">
        <v>42999</v>
      </c>
      <c r="B1018" s="4" t="s">
        <v>732</v>
      </c>
      <c r="C1018" s="34">
        <v>1514</v>
      </c>
      <c r="D1018" s="34"/>
    </row>
    <row r="1019" spans="1:4" s="25" customFormat="1" hidden="1" x14ac:dyDescent="0.25">
      <c r="A1019" s="4">
        <v>42999</v>
      </c>
      <c r="B1019" s="4" t="s">
        <v>733</v>
      </c>
      <c r="C1019" s="34">
        <v>2734</v>
      </c>
      <c r="D1019" s="34"/>
    </row>
    <row r="1020" spans="1:4" s="25" customFormat="1" hidden="1" x14ac:dyDescent="0.25">
      <c r="A1020" s="4">
        <v>42999</v>
      </c>
      <c r="B1020" s="4" t="s">
        <v>734</v>
      </c>
      <c r="C1020" s="34">
        <v>609</v>
      </c>
      <c r="D1020" s="34"/>
    </row>
    <row r="1021" spans="1:4" s="25" customFormat="1" hidden="1" x14ac:dyDescent="0.25">
      <c r="A1021" s="4">
        <v>42999</v>
      </c>
      <c r="B1021" s="4" t="s">
        <v>735</v>
      </c>
      <c r="C1021" s="34">
        <v>34126.76</v>
      </c>
      <c r="D1021" s="34"/>
    </row>
    <row r="1022" spans="1:4" s="25" customFormat="1" hidden="1" x14ac:dyDescent="0.25">
      <c r="A1022" s="4">
        <v>42999</v>
      </c>
      <c r="B1022" s="4" t="s">
        <v>736</v>
      </c>
      <c r="C1022" s="34">
        <v>19960.400000000001</v>
      </c>
      <c r="D1022" s="34"/>
    </row>
    <row r="1023" spans="1:4" s="25" customFormat="1" hidden="1" x14ac:dyDescent="0.25">
      <c r="A1023" s="4">
        <v>42999</v>
      </c>
      <c r="B1023" s="4" t="s">
        <v>737</v>
      </c>
      <c r="C1023" s="34">
        <v>19922.5</v>
      </c>
      <c r="D1023" s="34"/>
    </row>
    <row r="1024" spans="1:4" s="25" customFormat="1" hidden="1" x14ac:dyDescent="0.25">
      <c r="A1024" s="4">
        <v>42999</v>
      </c>
      <c r="B1024" s="4" t="s">
        <v>738</v>
      </c>
      <c r="C1024" s="34">
        <v>18396.900000000001</v>
      </c>
      <c r="D1024" s="34"/>
    </row>
    <row r="1025" spans="1:4" s="25" customFormat="1" hidden="1" x14ac:dyDescent="0.25">
      <c r="A1025" s="4">
        <v>42999</v>
      </c>
      <c r="B1025" s="4" t="s">
        <v>739</v>
      </c>
      <c r="C1025" s="34">
        <v>15249.6</v>
      </c>
      <c r="D1025" s="34"/>
    </row>
    <row r="1026" spans="1:4" s="25" customFormat="1" hidden="1" x14ac:dyDescent="0.25">
      <c r="A1026" s="4">
        <v>42999</v>
      </c>
      <c r="B1026" s="4" t="s">
        <v>740</v>
      </c>
      <c r="C1026" s="34">
        <v>3774</v>
      </c>
      <c r="D1026" s="34"/>
    </row>
    <row r="1027" spans="1:4" s="25" customFormat="1" hidden="1" x14ac:dyDescent="0.25">
      <c r="A1027" s="4">
        <v>42999</v>
      </c>
      <c r="B1027" s="4" t="s">
        <v>741</v>
      </c>
      <c r="C1027" s="34">
        <v>4974</v>
      </c>
      <c r="D1027" s="34"/>
    </row>
    <row r="1028" spans="1:4" s="25" customFormat="1" hidden="1" x14ac:dyDescent="0.25">
      <c r="A1028" s="4">
        <v>42999</v>
      </c>
      <c r="B1028" s="4" t="s">
        <v>742</v>
      </c>
      <c r="C1028" s="34">
        <v>7785.14</v>
      </c>
      <c r="D1028" s="34"/>
    </row>
    <row r="1029" spans="1:4" s="25" customFormat="1" hidden="1" x14ac:dyDescent="0.25">
      <c r="A1029" s="4">
        <v>42999</v>
      </c>
      <c r="B1029" s="4" t="s">
        <v>743</v>
      </c>
      <c r="C1029" s="34">
        <v>11984.6</v>
      </c>
      <c r="D1029" s="34"/>
    </row>
    <row r="1030" spans="1:4" s="25" customFormat="1" hidden="1" x14ac:dyDescent="0.25">
      <c r="A1030" s="4">
        <v>42999</v>
      </c>
      <c r="B1030" s="4" t="s">
        <v>744</v>
      </c>
      <c r="C1030" s="34">
        <v>12185.2</v>
      </c>
      <c r="D1030" s="34"/>
    </row>
    <row r="1031" spans="1:4" s="25" customFormat="1" hidden="1" x14ac:dyDescent="0.25">
      <c r="A1031" s="4">
        <v>42999</v>
      </c>
      <c r="B1031" s="4" t="s">
        <v>745</v>
      </c>
      <c r="C1031" s="34">
        <v>12906</v>
      </c>
      <c r="D1031" s="34"/>
    </row>
    <row r="1032" spans="1:4" s="25" customFormat="1" hidden="1" x14ac:dyDescent="0.25">
      <c r="A1032" s="4">
        <v>42999</v>
      </c>
      <c r="B1032" s="4" t="s">
        <v>746</v>
      </c>
      <c r="C1032" s="34">
        <v>14993.74</v>
      </c>
      <c r="D1032" s="34"/>
    </row>
    <row r="1033" spans="1:4" s="25" customFormat="1" hidden="1" x14ac:dyDescent="0.25">
      <c r="A1033" s="4">
        <v>42999</v>
      </c>
      <c r="B1033" s="4" t="s">
        <v>747</v>
      </c>
      <c r="C1033" s="34">
        <v>15068.41</v>
      </c>
      <c r="D1033" s="34"/>
    </row>
    <row r="1034" spans="1:4" s="25" customFormat="1" hidden="1" x14ac:dyDescent="0.25">
      <c r="A1034" s="4">
        <v>43000</v>
      </c>
      <c r="B1034" s="4" t="s">
        <v>748</v>
      </c>
      <c r="C1034" s="34">
        <v>729</v>
      </c>
      <c r="D1034" s="34"/>
    </row>
    <row r="1035" spans="1:4" s="25" customFormat="1" hidden="1" x14ac:dyDescent="0.25">
      <c r="A1035" s="4">
        <v>43004</v>
      </c>
      <c r="B1035" s="4" t="s">
        <v>749</v>
      </c>
      <c r="C1035" s="34">
        <v>264.75</v>
      </c>
      <c r="D1035" s="34"/>
    </row>
    <row r="1036" spans="1:4" s="25" customFormat="1" hidden="1" x14ac:dyDescent="0.25">
      <c r="A1036" s="4">
        <v>43006</v>
      </c>
      <c r="B1036" s="4" t="s">
        <v>750</v>
      </c>
      <c r="C1036" s="34">
        <v>793.6</v>
      </c>
      <c r="D1036" s="34"/>
    </row>
    <row r="1037" spans="1:4" s="25" customFormat="1" hidden="1" x14ac:dyDescent="0.25">
      <c r="A1037" s="4">
        <v>43007</v>
      </c>
      <c r="B1037" s="4" t="s">
        <v>751</v>
      </c>
      <c r="C1037" s="34">
        <v>139.69999999999999</v>
      </c>
      <c r="D1037" s="34"/>
    </row>
    <row r="1038" spans="1:4" s="25" customFormat="1" hidden="1" x14ac:dyDescent="0.25">
      <c r="A1038" s="4">
        <v>43007</v>
      </c>
      <c r="B1038" s="4" t="s">
        <v>752</v>
      </c>
      <c r="C1038" s="34">
        <v>1200.5999999999999</v>
      </c>
      <c r="D1038" s="34"/>
    </row>
    <row r="1039" spans="1:4" s="25" customFormat="1" hidden="1" x14ac:dyDescent="0.25">
      <c r="A1039" s="4">
        <v>43007</v>
      </c>
      <c r="B1039" s="4" t="s">
        <v>716</v>
      </c>
      <c r="C1039" s="34">
        <v>104.55</v>
      </c>
      <c r="D1039" s="34"/>
    </row>
    <row r="1040" spans="1:4" s="25" customFormat="1" hidden="1" x14ac:dyDescent="0.25">
      <c r="A1040" s="4">
        <v>43020</v>
      </c>
      <c r="B1040" s="4" t="s">
        <v>753</v>
      </c>
      <c r="C1040" s="34">
        <v>246.5</v>
      </c>
      <c r="D1040" s="34"/>
    </row>
    <row r="1041" spans="1:4" s="25" customFormat="1" hidden="1" x14ac:dyDescent="0.25">
      <c r="A1041" s="4">
        <v>43020</v>
      </c>
      <c r="B1041" s="4" t="s">
        <v>754</v>
      </c>
      <c r="C1041" s="34">
        <v>39.92</v>
      </c>
      <c r="D1041" s="34"/>
    </row>
    <row r="1042" spans="1:4" s="25" customFormat="1" hidden="1" x14ac:dyDescent="0.25">
      <c r="A1042" s="4">
        <v>43031</v>
      </c>
      <c r="B1042" s="4" t="s">
        <v>755</v>
      </c>
      <c r="C1042" s="34">
        <v>5005.2700000000004</v>
      </c>
      <c r="D1042" s="34"/>
    </row>
    <row r="1043" spans="1:4" s="25" customFormat="1" hidden="1" x14ac:dyDescent="0.25">
      <c r="A1043" s="4">
        <v>43031</v>
      </c>
      <c r="B1043" s="4" t="s">
        <v>756</v>
      </c>
      <c r="C1043" s="34"/>
      <c r="D1043" s="34">
        <v>315000</v>
      </c>
    </row>
    <row r="1044" spans="1:4" s="25" customFormat="1" hidden="1" x14ac:dyDescent="0.25">
      <c r="A1044" s="4">
        <v>43039</v>
      </c>
      <c r="B1044" s="4" t="s">
        <v>372</v>
      </c>
      <c r="C1044" s="34">
        <v>165.97</v>
      </c>
      <c r="D1044" s="34"/>
    </row>
    <row r="1045" spans="1:4" s="25" customFormat="1" hidden="1" x14ac:dyDescent="0.25">
      <c r="A1045" s="4">
        <v>43041</v>
      </c>
      <c r="B1045" s="4" t="s">
        <v>757</v>
      </c>
      <c r="C1045" s="34">
        <v>61.31</v>
      </c>
      <c r="D1045" s="34"/>
    </row>
    <row r="1046" spans="1:4" s="25" customFormat="1" hidden="1" x14ac:dyDescent="0.25">
      <c r="A1046" s="4">
        <v>43069</v>
      </c>
      <c r="B1046" s="4" t="s">
        <v>372</v>
      </c>
      <c r="C1046" s="34">
        <v>79.5</v>
      </c>
      <c r="D1046" s="34"/>
    </row>
    <row r="1047" spans="1:4" s="25" customFormat="1" hidden="1" x14ac:dyDescent="0.25">
      <c r="A1047" s="4">
        <v>43073</v>
      </c>
      <c r="B1047" s="4" t="s">
        <v>757</v>
      </c>
      <c r="C1047" s="34">
        <v>14.2</v>
      </c>
      <c r="D1047" s="34"/>
    </row>
    <row r="1048" spans="1:4" s="25" customFormat="1" hidden="1" x14ac:dyDescent="0.25">
      <c r="A1048" s="4">
        <v>43098</v>
      </c>
      <c r="B1048" s="4" t="s">
        <v>372</v>
      </c>
      <c r="C1048" s="34">
        <v>82.22</v>
      </c>
      <c r="D1048" s="34"/>
    </row>
    <row r="1049" spans="1:4" s="25" customFormat="1" hidden="1" x14ac:dyDescent="0.25">
      <c r="A1049" s="4">
        <v>43103</v>
      </c>
      <c r="B1049" s="4" t="s">
        <v>757</v>
      </c>
      <c r="C1049" s="34">
        <v>14.69</v>
      </c>
      <c r="D1049" s="34"/>
    </row>
    <row r="1050" spans="1:4" s="25" customFormat="1" hidden="1" x14ac:dyDescent="0.25">
      <c r="A1050" s="4">
        <v>43123</v>
      </c>
      <c r="B1050" s="4" t="s">
        <v>758</v>
      </c>
      <c r="C1050" s="34">
        <v>5012.2</v>
      </c>
      <c r="D1050" s="34"/>
    </row>
    <row r="1051" spans="1:4" s="25" customFormat="1" hidden="1" x14ac:dyDescent="0.25">
      <c r="A1051" s="4">
        <v>43131</v>
      </c>
      <c r="B1051" s="4" t="s">
        <v>372</v>
      </c>
      <c r="C1051" s="34">
        <v>72.599999999999994</v>
      </c>
      <c r="D1051" s="34"/>
    </row>
    <row r="1052" spans="1:4" s="25" customFormat="1" hidden="1" x14ac:dyDescent="0.25">
      <c r="A1052" s="4">
        <v>43133</v>
      </c>
      <c r="B1052" s="4" t="s">
        <v>757</v>
      </c>
      <c r="C1052" s="34">
        <v>15.02</v>
      </c>
      <c r="D1052" s="34"/>
    </row>
    <row r="1053" spans="1:4" s="25" customFormat="1" hidden="1" x14ac:dyDescent="0.25">
      <c r="A1053" s="4">
        <v>43159</v>
      </c>
      <c r="B1053" s="4" t="s">
        <v>372</v>
      </c>
      <c r="C1053" s="34">
        <v>69.2</v>
      </c>
      <c r="D1053" s="34"/>
    </row>
    <row r="1054" spans="1:4" s="25" customFormat="1" hidden="1" x14ac:dyDescent="0.25">
      <c r="A1054" s="4">
        <v>43161</v>
      </c>
      <c r="B1054" s="4" t="s">
        <v>757</v>
      </c>
      <c r="C1054" s="34">
        <v>14.26</v>
      </c>
      <c r="D1054" s="34"/>
    </row>
    <row r="1055" spans="1:4" s="25" customFormat="1" hidden="1" x14ac:dyDescent="0.25">
      <c r="A1055" s="4">
        <v>43181</v>
      </c>
      <c r="B1055" s="4" t="s">
        <v>759</v>
      </c>
      <c r="C1055" s="34">
        <v>22.03</v>
      </c>
      <c r="D1055" s="34"/>
    </row>
    <row r="1056" spans="1:4" s="25" customFormat="1" hidden="1" x14ac:dyDescent="0.25">
      <c r="A1056" s="4">
        <v>43188</v>
      </c>
      <c r="B1056" s="4" t="s">
        <v>372</v>
      </c>
      <c r="C1056" s="34">
        <v>76.680000000000007</v>
      </c>
      <c r="D1056" s="34"/>
    </row>
    <row r="1057" spans="1:4" s="25" customFormat="1" hidden="1" x14ac:dyDescent="0.25">
      <c r="A1057" s="4">
        <v>43194</v>
      </c>
      <c r="B1057" s="4" t="s">
        <v>757</v>
      </c>
      <c r="C1057" s="34">
        <v>15.81</v>
      </c>
      <c r="D1057" s="34"/>
    </row>
    <row r="1058" spans="1:4" s="25" customFormat="1" hidden="1" x14ac:dyDescent="0.25">
      <c r="A1058" s="4">
        <v>43213</v>
      </c>
      <c r="B1058" s="4" t="s">
        <v>760</v>
      </c>
      <c r="C1058" s="34">
        <v>5012.2</v>
      </c>
      <c r="D1058" s="34"/>
    </row>
    <row r="1059" spans="1:4" s="25" customFormat="1" hidden="1" x14ac:dyDescent="0.25">
      <c r="A1059" s="4">
        <v>43213</v>
      </c>
      <c r="B1059" s="4" t="s">
        <v>761</v>
      </c>
      <c r="C1059" s="34"/>
      <c r="D1059" s="34">
        <v>2860</v>
      </c>
    </row>
    <row r="1060" spans="1:4" s="25" customFormat="1" hidden="1" x14ac:dyDescent="0.25">
      <c r="A1060" s="4">
        <v>43220</v>
      </c>
      <c r="B1060" s="4" t="s">
        <v>372</v>
      </c>
      <c r="C1060" s="34">
        <v>75.02</v>
      </c>
      <c r="D1060" s="34"/>
    </row>
    <row r="1061" spans="1:4" s="25" customFormat="1" hidden="1" x14ac:dyDescent="0.25">
      <c r="A1061" s="4">
        <v>43222</v>
      </c>
      <c r="B1061" s="4" t="s">
        <v>757</v>
      </c>
      <c r="C1061" s="34">
        <v>15.44</v>
      </c>
      <c r="D1061" s="34"/>
    </row>
    <row r="1062" spans="1:4" s="25" customFormat="1" hidden="1" x14ac:dyDescent="0.25">
      <c r="A1062" s="4">
        <v>43241</v>
      </c>
      <c r="B1062" s="4" t="s">
        <v>762</v>
      </c>
      <c r="C1062" s="34"/>
      <c r="D1062" s="34">
        <v>5177.87</v>
      </c>
    </row>
    <row r="1063" spans="1:4" s="25" customFormat="1" hidden="1" x14ac:dyDescent="0.25">
      <c r="A1063" s="4">
        <v>43241</v>
      </c>
      <c r="B1063" s="4" t="s">
        <v>762</v>
      </c>
      <c r="C1063" s="34"/>
      <c r="D1063" s="34">
        <v>7690.16</v>
      </c>
    </row>
    <row r="1064" spans="1:4" s="25" customFormat="1" hidden="1" x14ac:dyDescent="0.25">
      <c r="A1064" s="4">
        <v>43249</v>
      </c>
      <c r="B1064" s="4" t="s">
        <v>763</v>
      </c>
      <c r="C1064" s="34">
        <v>1736.32</v>
      </c>
      <c r="D1064" s="34"/>
    </row>
    <row r="1065" spans="1:4" s="25" customFormat="1" hidden="1" x14ac:dyDescent="0.25">
      <c r="A1065" s="4">
        <v>43251</v>
      </c>
      <c r="B1065" s="4" t="s">
        <v>372</v>
      </c>
      <c r="C1065" s="34">
        <v>74.48</v>
      </c>
      <c r="D1065" s="34"/>
    </row>
    <row r="1066" spans="1:4" s="25" customFormat="1" hidden="1" x14ac:dyDescent="0.25">
      <c r="A1066" s="4">
        <v>43255</v>
      </c>
      <c r="B1066" s="4" t="s">
        <v>757</v>
      </c>
      <c r="C1066" s="34">
        <v>15.38</v>
      </c>
      <c r="D1066" s="34"/>
    </row>
    <row r="1067" spans="1:4" s="25" customFormat="1" hidden="1" x14ac:dyDescent="0.25">
      <c r="A1067" s="4">
        <v>43273</v>
      </c>
      <c r="B1067" s="4" t="s">
        <v>764</v>
      </c>
      <c r="C1067" s="34">
        <v>5012.2</v>
      </c>
      <c r="D1067" s="34"/>
    </row>
    <row r="1068" spans="1:4" s="25" customFormat="1" hidden="1" x14ac:dyDescent="0.25">
      <c r="A1068" s="4">
        <v>43276</v>
      </c>
      <c r="B1068" s="4" t="s">
        <v>765</v>
      </c>
      <c r="C1068" s="34"/>
      <c r="D1068" s="34">
        <v>1583.85</v>
      </c>
    </row>
    <row r="1069" spans="1:4" s="25" customFormat="1" hidden="1" x14ac:dyDescent="0.25">
      <c r="A1069" s="4">
        <v>43280</v>
      </c>
      <c r="B1069" s="4" t="s">
        <v>372</v>
      </c>
      <c r="C1069" s="34">
        <v>66.290000000000006</v>
      </c>
      <c r="D1069" s="34"/>
    </row>
    <row r="1070" spans="1:4" s="25" customFormat="1" hidden="1" x14ac:dyDescent="0.25">
      <c r="A1070" s="4"/>
      <c r="B1070" s="4"/>
      <c r="C1070" s="34"/>
      <c r="D1070" s="34"/>
    </row>
    <row r="1071" spans="1:4" s="25" customFormat="1" hidden="1" x14ac:dyDescent="0.25">
      <c r="A1071" s="4">
        <v>43281</v>
      </c>
      <c r="B1071" t="s">
        <v>14</v>
      </c>
      <c r="C1071" s="36">
        <f>SUM(C1004:C1070)</f>
        <v>431604.99999999977</v>
      </c>
      <c r="D1071" s="36">
        <f>SUM(D1004:D1070)</f>
        <v>362311.87999999995</v>
      </c>
    </row>
    <row r="1072" spans="1:4" s="25" customFormat="1" hidden="1" x14ac:dyDescent="0.25">
      <c r="A1072" s="4"/>
      <c r="B1072" s="4" t="s">
        <v>15</v>
      </c>
      <c r="C1072" s="34">
        <f>IF(C1071&gt;D1071,C1071-D1071," ")</f>
        <v>69293.119999999821</v>
      </c>
      <c r="D1072" s="34" t="str">
        <f>IF(D1071&gt;C1071,D1071-C1071," ")</f>
        <v xml:space="preserve"> </v>
      </c>
    </row>
    <row r="1073" spans="1:4" s="25" customFormat="1" hidden="1" x14ac:dyDescent="0.25">
      <c r="A1073" s="4">
        <v>43284</v>
      </c>
      <c r="B1073" s="4" t="s">
        <v>757</v>
      </c>
      <c r="C1073" s="34">
        <v>13.76</v>
      </c>
      <c r="D1073" s="34"/>
    </row>
    <row r="1074" spans="1:4" s="25" customFormat="1" hidden="1" x14ac:dyDescent="0.25">
      <c r="A1074" s="4">
        <v>43312</v>
      </c>
      <c r="B1074" s="4" t="s">
        <v>372</v>
      </c>
      <c r="C1074" s="34">
        <v>70.989999999999995</v>
      </c>
      <c r="D1074" s="34"/>
    </row>
    <row r="1075" spans="1:4" s="25" customFormat="1" hidden="1" x14ac:dyDescent="0.25">
      <c r="A1075" s="4">
        <v>43314</v>
      </c>
      <c r="B1075" s="4" t="s">
        <v>757</v>
      </c>
      <c r="C1075" s="34">
        <v>14.71</v>
      </c>
      <c r="D1075" s="34"/>
    </row>
    <row r="1076" spans="1:4" s="25" customFormat="1" hidden="1" x14ac:dyDescent="0.25">
      <c r="A1076" s="4">
        <v>43343</v>
      </c>
      <c r="B1076" s="4" t="s">
        <v>372</v>
      </c>
      <c r="C1076" s="34">
        <v>71.03</v>
      </c>
      <c r="D1076" s="34"/>
    </row>
    <row r="1077" spans="1:4" s="25" customFormat="1" hidden="1" x14ac:dyDescent="0.25">
      <c r="A1077" s="4">
        <v>43347</v>
      </c>
      <c r="B1077" s="4" t="s">
        <v>757</v>
      </c>
      <c r="C1077" s="34">
        <v>14.73</v>
      </c>
      <c r="D1077" s="34"/>
    </row>
    <row r="1078" spans="1:4" s="25" customFormat="1" hidden="1" x14ac:dyDescent="0.25">
      <c r="A1078" s="4">
        <v>43371</v>
      </c>
      <c r="B1078" s="4" t="s">
        <v>372</v>
      </c>
      <c r="C1078" s="34">
        <v>68.95</v>
      </c>
      <c r="D1078" s="34"/>
    </row>
    <row r="1079" spans="1:4" s="25" customFormat="1" hidden="1" x14ac:dyDescent="0.25">
      <c r="A1079" s="4">
        <v>43375</v>
      </c>
      <c r="B1079" s="4" t="s">
        <v>757</v>
      </c>
      <c r="C1079" s="34">
        <v>14.27</v>
      </c>
      <c r="D1079" s="34"/>
    </row>
    <row r="1080" spans="1:4" s="25" customFormat="1" hidden="1" x14ac:dyDescent="0.25">
      <c r="A1080" s="4">
        <v>43396</v>
      </c>
      <c r="B1080" s="4" t="s">
        <v>813</v>
      </c>
      <c r="C1080" s="34">
        <v>5132.8500000000004</v>
      </c>
      <c r="D1080" s="34"/>
    </row>
    <row r="1081" spans="1:4" s="25" customFormat="1" hidden="1" x14ac:dyDescent="0.25">
      <c r="A1081" s="4">
        <v>43403</v>
      </c>
      <c r="B1081" s="4" t="s">
        <v>814</v>
      </c>
      <c r="C1081" s="34"/>
      <c r="D1081" s="34">
        <v>30000</v>
      </c>
    </row>
    <row r="1082" spans="1:4" s="25" customFormat="1" hidden="1" x14ac:dyDescent="0.25">
      <c r="A1082" s="4">
        <v>43404</v>
      </c>
      <c r="B1082" s="4" t="s">
        <v>372</v>
      </c>
      <c r="C1082" s="34">
        <v>70.790000000000006</v>
      </c>
      <c r="D1082" s="34"/>
    </row>
    <row r="1083" spans="1:4" s="25" customFormat="1" hidden="1" x14ac:dyDescent="0.25">
      <c r="A1083" s="4">
        <v>43406</v>
      </c>
      <c r="B1083" s="4" t="s">
        <v>757</v>
      </c>
      <c r="C1083" s="34">
        <v>14.67</v>
      </c>
      <c r="D1083" s="34"/>
    </row>
    <row r="1084" spans="1:4" s="25" customFormat="1" hidden="1" x14ac:dyDescent="0.25">
      <c r="A1084" s="4">
        <v>43434</v>
      </c>
      <c r="B1084" s="4" t="s">
        <v>372</v>
      </c>
      <c r="C1084" s="34">
        <v>42.56</v>
      </c>
      <c r="D1084" s="34"/>
    </row>
    <row r="1085" spans="1:4" s="25" customFormat="1" hidden="1" x14ac:dyDescent="0.25">
      <c r="A1085" s="4">
        <v>43438</v>
      </c>
      <c r="B1085" s="4" t="s">
        <v>757</v>
      </c>
      <c r="C1085" s="34">
        <v>9.1999999999999993</v>
      </c>
      <c r="D1085" s="34"/>
    </row>
    <row r="1086" spans="1:4" s="25" customFormat="1" hidden="1" x14ac:dyDescent="0.25">
      <c r="A1086" s="4">
        <v>43447</v>
      </c>
      <c r="B1086" s="4" t="s">
        <v>815</v>
      </c>
      <c r="C1086" s="34"/>
      <c r="D1086" s="34">
        <v>20547.5</v>
      </c>
    </row>
    <row r="1087" spans="1:4" s="25" customFormat="1" hidden="1" x14ac:dyDescent="0.25">
      <c r="A1087" s="4">
        <v>43465</v>
      </c>
      <c r="B1087" s="4" t="s">
        <v>372</v>
      </c>
      <c r="C1087" s="34">
        <v>30.1</v>
      </c>
      <c r="D1087" s="34"/>
    </row>
    <row r="1088" spans="1:4" s="25" customFormat="1" hidden="1" x14ac:dyDescent="0.25">
      <c r="A1088" s="4">
        <v>43468</v>
      </c>
      <c r="B1088" s="4" t="s">
        <v>757</v>
      </c>
      <c r="C1088" s="34">
        <v>6.84</v>
      </c>
      <c r="D1088" s="34"/>
    </row>
    <row r="1089" spans="1:4" s="25" customFormat="1" hidden="1" x14ac:dyDescent="0.25">
      <c r="A1089" s="4">
        <v>43487</v>
      </c>
      <c r="B1089" s="4" t="s">
        <v>816</v>
      </c>
      <c r="C1089" s="34">
        <v>5132.8500000000004</v>
      </c>
      <c r="D1089" s="34"/>
    </row>
    <row r="1090" spans="1:4" s="25" customFormat="1" hidden="1" x14ac:dyDescent="0.25">
      <c r="A1090" s="4">
        <v>43496</v>
      </c>
      <c r="B1090" s="4" t="s">
        <v>372</v>
      </c>
      <c r="C1090" s="34">
        <v>23.16</v>
      </c>
      <c r="D1090" s="34"/>
    </row>
    <row r="1091" spans="1:4" s="25" customFormat="1" hidden="1" x14ac:dyDescent="0.25">
      <c r="A1091" s="4">
        <v>43500</v>
      </c>
      <c r="B1091" s="4" t="s">
        <v>757</v>
      </c>
      <c r="C1091" s="34">
        <v>5.51</v>
      </c>
      <c r="D1091" s="34"/>
    </row>
    <row r="1092" spans="1:4" s="25" customFormat="1" hidden="1" x14ac:dyDescent="0.25">
      <c r="A1092" s="4">
        <v>43516</v>
      </c>
      <c r="B1092" s="4" t="s">
        <v>817</v>
      </c>
      <c r="C1092" s="34"/>
      <c r="D1092" s="34">
        <v>10000</v>
      </c>
    </row>
    <row r="1093" spans="1:4" s="25" customFormat="1" hidden="1" x14ac:dyDescent="0.25">
      <c r="A1093" s="4">
        <v>43524</v>
      </c>
      <c r="B1093" s="4" t="s">
        <v>372</v>
      </c>
      <c r="C1093" s="34">
        <v>21.23</v>
      </c>
      <c r="D1093" s="34"/>
    </row>
    <row r="1094" spans="1:4" s="25" customFormat="1" hidden="1" x14ac:dyDescent="0.25">
      <c r="A1094" s="4">
        <v>43528</v>
      </c>
      <c r="B1094" s="4" t="s">
        <v>757</v>
      </c>
      <c r="C1094" s="34">
        <v>5.03</v>
      </c>
      <c r="D1094" s="34"/>
    </row>
    <row r="1095" spans="1:4" s="25" customFormat="1" hidden="1" x14ac:dyDescent="0.25">
      <c r="A1095" s="4">
        <v>43553</v>
      </c>
      <c r="B1095" s="4" t="s">
        <v>372</v>
      </c>
      <c r="C1095" s="34">
        <v>16.07</v>
      </c>
      <c r="D1095" s="34"/>
    </row>
    <row r="1096" spans="1:4" s="25" customFormat="1" hidden="1" x14ac:dyDescent="0.25">
      <c r="A1096" s="4">
        <v>43556</v>
      </c>
      <c r="B1096" s="4" t="s">
        <v>818</v>
      </c>
      <c r="C1096" s="34"/>
      <c r="D1096" s="34">
        <v>3080</v>
      </c>
    </row>
    <row r="1097" spans="1:4" s="25" customFormat="1" hidden="1" x14ac:dyDescent="0.25">
      <c r="A1097" s="4">
        <v>43557</v>
      </c>
      <c r="B1097" s="4" t="s">
        <v>757</v>
      </c>
      <c r="C1097" s="34">
        <v>4.1399999999999997</v>
      </c>
      <c r="D1097" s="34"/>
    </row>
    <row r="1098" spans="1:4" s="25" customFormat="1" hidden="1" x14ac:dyDescent="0.25">
      <c r="A1098" s="4">
        <v>43578</v>
      </c>
      <c r="B1098" s="4" t="s">
        <v>819</v>
      </c>
      <c r="C1098" s="34">
        <v>5132.8500000000004</v>
      </c>
      <c r="D1098" s="34"/>
    </row>
    <row r="1099" spans="1:4" s="25" customFormat="1" hidden="1" x14ac:dyDescent="0.25">
      <c r="A1099" s="4">
        <v>43585</v>
      </c>
      <c r="B1099" s="4" t="s">
        <v>372</v>
      </c>
      <c r="C1099" s="34">
        <v>13.71</v>
      </c>
      <c r="D1099" s="34"/>
    </row>
    <row r="1100" spans="1:4" s="25" customFormat="1" hidden="1" x14ac:dyDescent="0.25">
      <c r="A1100" s="4">
        <v>43587</v>
      </c>
      <c r="B1100" s="4" t="s">
        <v>757</v>
      </c>
      <c r="C1100" s="34">
        <v>3.66</v>
      </c>
      <c r="D1100" s="34"/>
    </row>
    <row r="1101" spans="1:4" s="25" customFormat="1" hidden="1" x14ac:dyDescent="0.25">
      <c r="A1101" s="4">
        <v>43599</v>
      </c>
      <c r="B1101" s="4" t="s">
        <v>820</v>
      </c>
      <c r="C1101" s="34"/>
      <c r="D1101" s="34">
        <v>20000</v>
      </c>
    </row>
    <row r="1102" spans="1:4" s="25" customFormat="1" hidden="1" x14ac:dyDescent="0.25">
      <c r="A1102" s="4">
        <v>43616</v>
      </c>
      <c r="B1102" s="4" t="s">
        <v>372</v>
      </c>
      <c r="C1102" s="34">
        <v>7.67</v>
      </c>
      <c r="D1102" s="34"/>
    </row>
    <row r="1103" spans="1:4" s="25" customFormat="1" hidden="1" x14ac:dyDescent="0.25">
      <c r="A1103" s="4">
        <v>43620</v>
      </c>
      <c r="B1103" s="4" t="s">
        <v>757</v>
      </c>
      <c r="C1103" s="34">
        <v>2.12</v>
      </c>
      <c r="D1103" s="34"/>
    </row>
    <row r="1104" spans="1:4" s="25" customFormat="1" hidden="1" x14ac:dyDescent="0.25">
      <c r="A1104" s="4">
        <v>43620</v>
      </c>
      <c r="B1104" s="4" t="s">
        <v>821</v>
      </c>
      <c r="C1104" s="34"/>
      <c r="D1104" s="34">
        <v>1503.15</v>
      </c>
    </row>
    <row r="1105" spans="1:4" s="25" customFormat="1" hidden="1" x14ac:dyDescent="0.25">
      <c r="A1105" s="4">
        <v>43640</v>
      </c>
      <c r="B1105" s="4" t="s">
        <v>822</v>
      </c>
      <c r="C1105" s="34">
        <v>5132.8500000000004</v>
      </c>
      <c r="D1105" s="34"/>
    </row>
    <row r="1106" spans="1:4" s="25" customFormat="1" hidden="1" x14ac:dyDescent="0.25">
      <c r="A1106" s="4">
        <v>43644</v>
      </c>
      <c r="B1106" s="4" t="s">
        <v>372</v>
      </c>
      <c r="C1106" s="34">
        <v>0.06</v>
      </c>
      <c r="D1106" s="34"/>
    </row>
    <row r="1107" spans="1:4" s="25" customFormat="1" hidden="1" x14ac:dyDescent="0.25">
      <c r="A1107" s="4"/>
      <c r="B1107" s="4"/>
      <c r="C1107" s="34"/>
      <c r="D1107" s="34"/>
    </row>
    <row r="1108" spans="1:4" s="25" customFormat="1" hidden="1" x14ac:dyDescent="0.25">
      <c r="A1108" s="4"/>
      <c r="B1108" s="4"/>
      <c r="C1108" s="34"/>
      <c r="D1108" s="34"/>
    </row>
    <row r="1109" spans="1:4" s="25" customFormat="1" hidden="1" x14ac:dyDescent="0.25">
      <c r="A1109" s="4"/>
      <c r="B1109" s="4"/>
      <c r="C1109" s="34"/>
      <c r="D1109" s="34"/>
    </row>
    <row r="1110" spans="1:4" s="25" customFormat="1" hidden="1" x14ac:dyDescent="0.25">
      <c r="A1110" s="4">
        <v>43646</v>
      </c>
      <c r="B1110" t="s">
        <v>14</v>
      </c>
      <c r="C1110" s="36">
        <f>SUM(C1072:C1109)</f>
        <v>90369.479999999836</v>
      </c>
      <c r="D1110" s="36">
        <f>SUM(D1072:D1109)</f>
        <v>85130.65</v>
      </c>
    </row>
    <row r="1111" spans="1:4" s="25" customFormat="1" hidden="1" x14ac:dyDescent="0.25">
      <c r="A1111" s="4"/>
      <c r="B1111" s="4" t="s">
        <v>15</v>
      </c>
      <c r="C1111" s="34">
        <f>IF(C1110&gt;D1110,C1110-D1110," ")</f>
        <v>5238.8299999998417</v>
      </c>
      <c r="D1111" s="34" t="str">
        <f>IF(D1110&gt;C1110,D1110-C1110," ")</f>
        <v xml:space="preserve"> </v>
      </c>
    </row>
    <row r="1112" spans="1:4" s="25" customFormat="1" hidden="1" x14ac:dyDescent="0.25">
      <c r="A1112" s="4">
        <v>43648</v>
      </c>
      <c r="B1112" s="4" t="s">
        <v>757</v>
      </c>
      <c r="C1112" s="34">
        <v>0.28999999999999998</v>
      </c>
      <c r="D1112" s="34"/>
    </row>
    <row r="1113" spans="1:4" s="25" customFormat="1" hidden="1" x14ac:dyDescent="0.25">
      <c r="A1113" s="4">
        <v>43677</v>
      </c>
      <c r="B1113" s="4" t="s">
        <v>372</v>
      </c>
      <c r="C1113" s="34">
        <v>0.27</v>
      </c>
      <c r="D1113" s="34"/>
    </row>
    <row r="1114" spans="1:4" s="25" customFormat="1" hidden="1" x14ac:dyDescent="0.25">
      <c r="A1114" s="4">
        <v>43679</v>
      </c>
      <c r="B1114" s="4" t="s">
        <v>757</v>
      </c>
      <c r="C1114" s="34">
        <v>1.1100000000000001</v>
      </c>
      <c r="D1114" s="34"/>
    </row>
    <row r="1115" spans="1:4" s="25" customFormat="1" hidden="1" x14ac:dyDescent="0.25">
      <c r="A1115" s="4">
        <v>43707</v>
      </c>
      <c r="B1115" s="4" t="s">
        <v>372</v>
      </c>
      <c r="C1115" s="34">
        <v>0.26</v>
      </c>
      <c r="D1115" s="34"/>
    </row>
    <row r="1116" spans="1:4" s="25" customFormat="1" hidden="1" x14ac:dyDescent="0.25">
      <c r="A1116" s="4">
        <v>43711</v>
      </c>
      <c r="B1116" s="4" t="s">
        <v>757</v>
      </c>
      <c r="C1116" s="34">
        <v>1.1100000000000001</v>
      </c>
      <c r="D1116" s="34"/>
    </row>
    <row r="1117" spans="1:4" s="25" customFormat="1" hidden="1" x14ac:dyDescent="0.25">
      <c r="A1117" s="4">
        <v>43738</v>
      </c>
      <c r="B1117" s="4" t="s">
        <v>372</v>
      </c>
      <c r="C1117" s="34">
        <v>0.26</v>
      </c>
      <c r="D1117" s="34"/>
    </row>
    <row r="1118" spans="1:4" s="25" customFormat="1" hidden="1" x14ac:dyDescent="0.25">
      <c r="A1118" s="4">
        <v>43740</v>
      </c>
      <c r="B1118" s="4" t="s">
        <v>757</v>
      </c>
      <c r="C1118" s="34">
        <v>1.07</v>
      </c>
      <c r="D1118" s="34"/>
    </row>
    <row r="1119" spans="1:4" s="25" customFormat="1" hidden="1" x14ac:dyDescent="0.25">
      <c r="A1119" s="4">
        <v>43747</v>
      </c>
      <c r="B1119" s="4" t="s">
        <v>914</v>
      </c>
      <c r="C1119" s="34">
        <v>10356.620000000001</v>
      </c>
      <c r="D1119" s="34"/>
    </row>
    <row r="1120" spans="1:4" s="25" customFormat="1" hidden="1" x14ac:dyDescent="0.25">
      <c r="A1120" s="4">
        <v>43761</v>
      </c>
      <c r="B1120" s="4" t="s">
        <v>915</v>
      </c>
      <c r="C1120" s="34">
        <v>5132.8500000000004</v>
      </c>
      <c r="D1120" s="34"/>
    </row>
    <row r="1121" spans="1:4" s="25" customFormat="1" hidden="1" x14ac:dyDescent="0.25">
      <c r="A1121" s="4">
        <v>43769</v>
      </c>
      <c r="B1121" s="4" t="s">
        <v>372</v>
      </c>
      <c r="C1121" s="34">
        <v>4.43</v>
      </c>
      <c r="D1121" s="34"/>
    </row>
    <row r="1122" spans="1:4" s="25" customFormat="1" hidden="1" x14ac:dyDescent="0.25">
      <c r="A1122" s="4">
        <v>43773</v>
      </c>
      <c r="B1122" s="4" t="s">
        <v>757</v>
      </c>
      <c r="C1122" s="34">
        <v>3.06</v>
      </c>
      <c r="D1122" s="34"/>
    </row>
    <row r="1123" spans="1:4" s="25" customFormat="1" hidden="1" x14ac:dyDescent="0.25">
      <c r="A1123" s="4">
        <v>43798</v>
      </c>
      <c r="B1123" s="4" t="s">
        <v>372</v>
      </c>
      <c r="C1123" s="34">
        <v>7.15</v>
      </c>
      <c r="D1123" s="34"/>
    </row>
    <row r="1124" spans="1:4" s="25" customFormat="1" hidden="1" x14ac:dyDescent="0.25">
      <c r="A1124" s="4">
        <v>43802</v>
      </c>
      <c r="B1124" s="4" t="s">
        <v>757</v>
      </c>
      <c r="C1124" s="34">
        <v>4.26</v>
      </c>
      <c r="D1124" s="34"/>
    </row>
    <row r="1125" spans="1:4" s="25" customFormat="1" hidden="1" x14ac:dyDescent="0.25">
      <c r="A1125" s="4">
        <v>43830</v>
      </c>
      <c r="B1125" s="4" t="s">
        <v>372</v>
      </c>
      <c r="C1125" s="34">
        <v>7.38</v>
      </c>
      <c r="D1125" s="34"/>
    </row>
    <row r="1126" spans="1:4" s="25" customFormat="1" hidden="1" x14ac:dyDescent="0.25">
      <c r="A1126" s="4">
        <v>43833</v>
      </c>
      <c r="B1126" s="4" t="s">
        <v>757</v>
      </c>
      <c r="C1126" s="34">
        <v>4.4000000000000004</v>
      </c>
      <c r="D1126" s="34"/>
    </row>
    <row r="1127" spans="1:4" s="25" customFormat="1" hidden="1" x14ac:dyDescent="0.25">
      <c r="A1127" s="4">
        <v>43859</v>
      </c>
      <c r="B1127" s="4" t="s">
        <v>916</v>
      </c>
      <c r="C1127" s="34">
        <v>5368.51</v>
      </c>
      <c r="D1127" s="34"/>
    </row>
    <row r="1128" spans="1:4" s="25" customFormat="1" hidden="1" x14ac:dyDescent="0.25">
      <c r="A1128" s="4">
        <v>43861</v>
      </c>
      <c r="B1128" s="4" t="s">
        <v>372</v>
      </c>
      <c r="C1128" s="34">
        <v>7.63</v>
      </c>
      <c r="D1128" s="34"/>
    </row>
    <row r="1129" spans="1:4" s="25" customFormat="1" hidden="1" x14ac:dyDescent="0.25">
      <c r="A1129" s="4">
        <v>43865</v>
      </c>
      <c r="B1129" s="4" t="s">
        <v>757</v>
      </c>
      <c r="C1129" s="34">
        <v>4.51</v>
      </c>
      <c r="D1129" s="34"/>
    </row>
    <row r="1130" spans="1:4" s="25" customFormat="1" hidden="1" x14ac:dyDescent="0.25">
      <c r="A1130" s="4">
        <v>43889</v>
      </c>
      <c r="B1130" s="4" t="s">
        <v>372</v>
      </c>
      <c r="C1130" s="34">
        <v>9.24</v>
      </c>
      <c r="D1130" s="34"/>
    </row>
    <row r="1131" spans="1:4" s="25" customFormat="1" hidden="1" x14ac:dyDescent="0.25">
      <c r="A1131" s="4">
        <v>43893</v>
      </c>
      <c r="B1131" s="4" t="s">
        <v>757</v>
      </c>
      <c r="C1131" s="34">
        <v>5.19</v>
      </c>
      <c r="D1131" s="34"/>
    </row>
    <row r="1132" spans="1:4" s="25" customFormat="1" hidden="1" x14ac:dyDescent="0.25">
      <c r="A1132" s="4">
        <v>43921</v>
      </c>
      <c r="B1132" s="4" t="s">
        <v>372</v>
      </c>
      <c r="C1132" s="34">
        <v>5</v>
      </c>
      <c r="D1132" s="34"/>
    </row>
    <row r="1133" spans="1:4" s="25" customFormat="1" hidden="1" x14ac:dyDescent="0.25">
      <c r="A1133" s="4">
        <v>43923</v>
      </c>
      <c r="B1133" s="4" t="s">
        <v>757</v>
      </c>
      <c r="C1133" s="34">
        <v>5.55</v>
      </c>
      <c r="D1133" s="34"/>
    </row>
    <row r="1134" spans="1:4" s="25" customFormat="1" hidden="1" x14ac:dyDescent="0.25">
      <c r="A1134" s="4">
        <v>43951</v>
      </c>
      <c r="B1134" s="4" t="s">
        <v>372</v>
      </c>
      <c r="C1134" s="34">
        <v>1.1499999999999999</v>
      </c>
      <c r="D1134" s="34"/>
    </row>
    <row r="1135" spans="1:4" s="25" customFormat="1" hidden="1" x14ac:dyDescent="0.25">
      <c r="A1135" s="4">
        <v>43952</v>
      </c>
      <c r="B1135" s="4" t="s">
        <v>917</v>
      </c>
      <c r="C1135" s="34">
        <v>5250.66</v>
      </c>
      <c r="D1135" s="34"/>
    </row>
    <row r="1136" spans="1:4" s="25" customFormat="1" hidden="1" x14ac:dyDescent="0.25">
      <c r="A1136" s="4">
        <v>43955</v>
      </c>
      <c r="B1136" s="4" t="s">
        <v>757</v>
      </c>
      <c r="C1136" s="34">
        <v>5.37</v>
      </c>
      <c r="D1136" s="34"/>
    </row>
    <row r="1137" spans="1:4" s="25" customFormat="1" hidden="1" x14ac:dyDescent="0.25">
      <c r="A1137" s="4">
        <v>43980</v>
      </c>
      <c r="B1137" s="4" t="s">
        <v>372</v>
      </c>
      <c r="C1137" s="34">
        <v>1.29</v>
      </c>
      <c r="D1137" s="34"/>
    </row>
    <row r="1138" spans="1:4" s="25" customFormat="1" hidden="1" x14ac:dyDescent="0.25">
      <c r="A1138" s="4">
        <v>43984</v>
      </c>
      <c r="B1138" s="4" t="s">
        <v>757</v>
      </c>
      <c r="C1138" s="34">
        <v>6.67</v>
      </c>
      <c r="D1138" s="34"/>
    </row>
    <row r="1139" spans="1:4" s="25" customFormat="1" hidden="1" x14ac:dyDescent="0.25">
      <c r="A1139" s="4">
        <v>43991</v>
      </c>
      <c r="B1139" s="4" t="s">
        <v>765</v>
      </c>
      <c r="C1139" s="34"/>
      <c r="D1139" s="34">
        <v>1162.76</v>
      </c>
    </row>
    <row r="1140" spans="1:4" s="25" customFormat="1" hidden="1" x14ac:dyDescent="0.25">
      <c r="A1140" s="4">
        <v>44007</v>
      </c>
      <c r="B1140" s="4" t="s">
        <v>918</v>
      </c>
      <c r="C1140" s="34">
        <v>5250.66</v>
      </c>
      <c r="D1140" s="34"/>
    </row>
    <row r="1141" spans="1:4" s="25" customFormat="1" hidden="1" x14ac:dyDescent="0.25">
      <c r="A1141" s="4">
        <v>44012</v>
      </c>
      <c r="B1141" s="4" t="s">
        <v>372</v>
      </c>
      <c r="C1141" s="34">
        <v>1.27</v>
      </c>
      <c r="D1141" s="34"/>
    </row>
    <row r="1142" spans="1:4" s="25" customFormat="1" hidden="1" x14ac:dyDescent="0.25">
      <c r="A1142" s="4"/>
      <c r="B1142" s="4"/>
      <c r="C1142" s="34"/>
      <c r="D1142" s="34"/>
    </row>
    <row r="1143" spans="1:4" s="25" customFormat="1" hidden="1" x14ac:dyDescent="0.25">
      <c r="A1143" s="4"/>
      <c r="B1143" s="4"/>
      <c r="C1143" s="34"/>
      <c r="D1143" s="34"/>
    </row>
    <row r="1144" spans="1:4" s="25" customFormat="1" hidden="1" x14ac:dyDescent="0.25">
      <c r="A1144" s="4">
        <v>44012</v>
      </c>
      <c r="B1144" t="s">
        <v>14</v>
      </c>
      <c r="C1144" s="36">
        <f>SUM(C1111:C1143)</f>
        <v>36686.049999999843</v>
      </c>
      <c r="D1144" s="36">
        <f>SUM(D1111:D1143)</f>
        <v>1162.76</v>
      </c>
    </row>
    <row r="1145" spans="1:4" s="25" customFormat="1" hidden="1" x14ac:dyDescent="0.25">
      <c r="A1145" s="4"/>
      <c r="B1145" s="4" t="s">
        <v>15</v>
      </c>
      <c r="C1145" s="34">
        <f>IF(C1144&gt;D1144,C1144-D1144," ")</f>
        <v>35523.289999999841</v>
      </c>
      <c r="D1145" s="34" t="str">
        <f>IF(D1144&gt;C1144,D1144-C1144," ")</f>
        <v xml:space="preserve"> </v>
      </c>
    </row>
    <row r="1146" spans="1:4" s="25" customFormat="1" hidden="1" x14ac:dyDescent="0.25">
      <c r="A1146" s="4">
        <v>44014</v>
      </c>
      <c r="B1146" s="4" t="s">
        <v>757</v>
      </c>
      <c r="C1146" s="34">
        <v>6.49</v>
      </c>
      <c r="D1146" s="34"/>
    </row>
    <row r="1147" spans="1:4" s="25" customFormat="1" hidden="1" x14ac:dyDescent="0.25">
      <c r="A1147" s="4">
        <v>44043</v>
      </c>
      <c r="B1147" s="4" t="s">
        <v>372</v>
      </c>
      <c r="C1147" s="34">
        <v>1.55</v>
      </c>
      <c r="D1147" s="34"/>
    </row>
    <row r="1148" spans="1:4" s="25" customFormat="1" hidden="1" x14ac:dyDescent="0.25">
      <c r="A1148" s="4">
        <v>44047</v>
      </c>
      <c r="B1148" s="4" t="s">
        <v>757</v>
      </c>
      <c r="C1148" s="34">
        <v>7.54</v>
      </c>
      <c r="D1148" s="34"/>
    </row>
    <row r="1149" spans="1:4" s="25" customFormat="1" hidden="1" x14ac:dyDescent="0.25">
      <c r="A1149" s="4">
        <v>44067</v>
      </c>
      <c r="B1149" s="4" t="s">
        <v>765</v>
      </c>
      <c r="C1149" s="34"/>
      <c r="D1149" s="34">
        <v>1539.9</v>
      </c>
    </row>
    <row r="1150" spans="1:4" s="25" customFormat="1" hidden="1" x14ac:dyDescent="0.25">
      <c r="A1150" s="4">
        <v>44074</v>
      </c>
      <c r="B1150" s="4" t="s">
        <v>372</v>
      </c>
      <c r="C1150" s="34">
        <v>1.54</v>
      </c>
      <c r="D1150" s="34"/>
    </row>
    <row r="1151" spans="1:4" s="25" customFormat="1" hidden="1" x14ac:dyDescent="0.25">
      <c r="A1151" s="4">
        <v>44076</v>
      </c>
      <c r="B1151" s="4" t="s">
        <v>757</v>
      </c>
      <c r="C1151" s="34">
        <v>7.46</v>
      </c>
      <c r="D1151" s="34"/>
    </row>
    <row r="1152" spans="1:4" s="25" customFormat="1" hidden="1" x14ac:dyDescent="0.25">
      <c r="A1152" s="4">
        <v>44089</v>
      </c>
      <c r="B1152" s="4" t="s">
        <v>1005</v>
      </c>
      <c r="C1152" s="34"/>
      <c r="D1152" s="34">
        <v>5668.96</v>
      </c>
    </row>
    <row r="1153" spans="1:5" s="25" customFormat="1" hidden="1" x14ac:dyDescent="0.25">
      <c r="A1153" s="4">
        <v>44089</v>
      </c>
      <c r="B1153" s="4" t="s">
        <v>1005</v>
      </c>
      <c r="C1153" s="34"/>
      <c r="D1153" s="34">
        <v>6031.3</v>
      </c>
    </row>
    <row r="1154" spans="1:5" s="25" customFormat="1" hidden="1" x14ac:dyDescent="0.25">
      <c r="A1154" s="4">
        <v>44104</v>
      </c>
      <c r="B1154" s="4" t="s">
        <v>372</v>
      </c>
      <c r="C1154" s="34">
        <v>1.1599999999999999</v>
      </c>
      <c r="D1154" s="34"/>
    </row>
    <row r="1155" spans="1:5" s="25" customFormat="1" hidden="1" x14ac:dyDescent="0.25">
      <c r="A1155" s="4">
        <v>44106</v>
      </c>
      <c r="B1155" s="4" t="s">
        <v>757</v>
      </c>
      <c r="C1155" s="34">
        <v>5.7</v>
      </c>
      <c r="D1155" s="34"/>
    </row>
    <row r="1156" spans="1:5" s="25" customFormat="1" hidden="1" x14ac:dyDescent="0.25">
      <c r="A1156" s="4">
        <v>44125</v>
      </c>
      <c r="B1156" s="4" t="s">
        <v>1006</v>
      </c>
      <c r="C1156" s="34">
        <v>5423.55</v>
      </c>
      <c r="D1156" s="34"/>
    </row>
    <row r="1157" spans="1:5" s="25" customFormat="1" hidden="1" x14ac:dyDescent="0.25">
      <c r="A1157" s="4">
        <v>44137</v>
      </c>
      <c r="B1157" s="4" t="s">
        <v>1007</v>
      </c>
      <c r="C1157" s="34"/>
      <c r="D1157" s="34">
        <v>27738.12</v>
      </c>
      <c r="E1157" s="16" t="s">
        <v>1081</v>
      </c>
    </row>
    <row r="1158" spans="1:5" s="25" customFormat="1" hidden="1" x14ac:dyDescent="0.25">
      <c r="A1158" s="4"/>
      <c r="B1158" s="4"/>
      <c r="C1158" s="34"/>
      <c r="D1158" s="34"/>
    </row>
    <row r="1159" spans="1:5" s="25" customFormat="1" hidden="1" x14ac:dyDescent="0.25">
      <c r="A1159" s="4">
        <v>44377</v>
      </c>
      <c r="B1159" t="s">
        <v>14</v>
      </c>
      <c r="C1159" s="36">
        <f>SUM(C1145:C1158)</f>
        <v>40978.279999999846</v>
      </c>
      <c r="D1159" s="36">
        <f>SUM(D1145:D1158)</f>
        <v>40978.28</v>
      </c>
    </row>
    <row r="1160" spans="1:5" s="25" customFormat="1" x14ac:dyDescent="0.25">
      <c r="A1160" s="4"/>
      <c r="B1160" s="4" t="s">
        <v>15</v>
      </c>
      <c r="C1160" s="34" t="str">
        <f>IF(C1159&gt;D1159,C1159-D1159," ")</f>
        <v xml:space="preserve"> </v>
      </c>
      <c r="D1160" s="34">
        <f>IF(D1159&gt;C1159,D1159-C1159," ")</f>
        <v>1.5279510989785194E-10</v>
      </c>
    </row>
    <row r="1161" spans="1:5" s="25" customFormat="1" x14ac:dyDescent="0.25">
      <c r="A1161" s="4"/>
      <c r="B1161" s="4"/>
      <c r="C1161" s="34"/>
      <c r="D1161" s="34"/>
    </row>
    <row r="1162" spans="1:5" s="25" customFormat="1" x14ac:dyDescent="0.25">
      <c r="A1162" s="30" t="s">
        <v>767</v>
      </c>
      <c r="B1162"/>
      <c r="C1162" s="34"/>
      <c r="D1162" s="34"/>
    </row>
    <row r="1163" spans="1:5" s="25" customFormat="1" x14ac:dyDescent="0.25">
      <c r="A1163" s="30" t="s">
        <v>2</v>
      </c>
      <c r="B1163" s="1" t="s">
        <v>3</v>
      </c>
      <c r="C1163" s="35" t="s">
        <v>4</v>
      </c>
      <c r="D1163" s="35" t="s">
        <v>5</v>
      </c>
    </row>
    <row r="1164" spans="1:5" s="25" customFormat="1" hidden="1" x14ac:dyDescent="0.25">
      <c r="A1164" s="4"/>
      <c r="B1164" s="4" t="s">
        <v>15</v>
      </c>
      <c r="C1164" s="34">
        <v>0</v>
      </c>
      <c r="D1164" s="34"/>
    </row>
    <row r="1165" spans="1:5" s="25" customFormat="1" hidden="1" x14ac:dyDescent="0.25">
      <c r="A1165" s="4">
        <v>43031</v>
      </c>
      <c r="B1165" s="4" t="s">
        <v>768</v>
      </c>
      <c r="C1165" s="34">
        <v>315000</v>
      </c>
      <c r="D1165" s="34"/>
    </row>
    <row r="1166" spans="1:5" s="25" customFormat="1" hidden="1" x14ac:dyDescent="0.25">
      <c r="A1166" s="4">
        <v>43033</v>
      </c>
      <c r="B1166" s="4" t="s">
        <v>769</v>
      </c>
      <c r="C1166" s="34"/>
      <c r="D1166" s="34">
        <v>40000</v>
      </c>
    </row>
    <row r="1167" spans="1:5" s="25" customFormat="1" hidden="1" x14ac:dyDescent="0.25">
      <c r="A1167" s="4">
        <v>43033</v>
      </c>
      <c r="B1167" s="4" t="s">
        <v>770</v>
      </c>
      <c r="C1167" s="34"/>
      <c r="D1167" s="34">
        <v>80000</v>
      </c>
    </row>
    <row r="1168" spans="1:5" s="25" customFormat="1" hidden="1" x14ac:dyDescent="0.25">
      <c r="A1168" s="4">
        <v>43033</v>
      </c>
      <c r="B1168" s="4" t="s">
        <v>771</v>
      </c>
      <c r="C1168" s="34"/>
      <c r="D1168" s="34">
        <v>30000</v>
      </c>
    </row>
    <row r="1169" spans="1:4" s="25" customFormat="1" hidden="1" x14ac:dyDescent="0.25">
      <c r="A1169" s="4">
        <v>43033</v>
      </c>
      <c r="B1169" s="4" t="s">
        <v>772</v>
      </c>
      <c r="C1169" s="34"/>
      <c r="D1169" s="34">
        <v>60000</v>
      </c>
    </row>
    <row r="1170" spans="1:4" s="25" customFormat="1" hidden="1" x14ac:dyDescent="0.25">
      <c r="A1170" s="4">
        <v>43033</v>
      </c>
      <c r="B1170" s="4" t="s">
        <v>773</v>
      </c>
      <c r="C1170" s="34"/>
      <c r="D1170" s="34">
        <v>70000</v>
      </c>
    </row>
    <row r="1171" spans="1:4" s="25" customFormat="1" hidden="1" x14ac:dyDescent="0.25">
      <c r="A1171" s="4">
        <v>43034</v>
      </c>
      <c r="B1171" s="4" t="s">
        <v>774</v>
      </c>
      <c r="C1171" s="34"/>
      <c r="D1171" s="34">
        <v>24971.5</v>
      </c>
    </row>
    <row r="1172" spans="1:4" s="25" customFormat="1" hidden="1" x14ac:dyDescent="0.25">
      <c r="A1172" s="4">
        <v>43039</v>
      </c>
      <c r="B1172" s="4" t="s">
        <v>716</v>
      </c>
      <c r="C1172" s="34">
        <v>9.9499999999999993</v>
      </c>
      <c r="D1172" s="34"/>
    </row>
    <row r="1173" spans="1:4" s="25" customFormat="1" hidden="1" x14ac:dyDescent="0.25">
      <c r="A1173" s="4">
        <v>43041</v>
      </c>
      <c r="B1173" s="4" t="s">
        <v>757</v>
      </c>
      <c r="C1173" s="34">
        <v>4.96</v>
      </c>
      <c r="D1173" s="34"/>
    </row>
    <row r="1174" spans="1:4" s="25" customFormat="1" hidden="1" x14ac:dyDescent="0.25">
      <c r="A1174" s="4">
        <v>43042</v>
      </c>
      <c r="B1174" s="4" t="s">
        <v>775</v>
      </c>
      <c r="C1174" s="34"/>
      <c r="D1174" s="34">
        <v>108.48</v>
      </c>
    </row>
    <row r="1175" spans="1:4" s="25" customFormat="1" hidden="1" x14ac:dyDescent="0.25">
      <c r="A1175" s="4">
        <v>43042</v>
      </c>
      <c r="B1175" s="4" t="s">
        <v>776</v>
      </c>
      <c r="C1175" s="34"/>
      <c r="D1175" s="34">
        <v>62.16</v>
      </c>
    </row>
    <row r="1176" spans="1:4" s="25" customFormat="1" hidden="1" x14ac:dyDescent="0.25">
      <c r="A1176" s="4">
        <v>43069</v>
      </c>
      <c r="B1176" s="4" t="s">
        <v>716</v>
      </c>
      <c r="C1176" s="34">
        <v>4.16</v>
      </c>
      <c r="D1176" s="34"/>
    </row>
    <row r="1177" spans="1:4" s="25" customFormat="1" hidden="1" x14ac:dyDescent="0.25">
      <c r="A1177" s="4">
        <v>43073</v>
      </c>
      <c r="B1177" s="4" t="s">
        <v>757</v>
      </c>
      <c r="C1177" s="34">
        <v>2.0299999999999998</v>
      </c>
      <c r="D1177" s="34"/>
    </row>
    <row r="1178" spans="1:4" s="25" customFormat="1" hidden="1" x14ac:dyDescent="0.25">
      <c r="A1178" s="4">
        <v>43074</v>
      </c>
      <c r="B1178" s="4" t="s">
        <v>775</v>
      </c>
      <c r="C1178" s="34"/>
      <c r="D1178" s="34">
        <v>238.79</v>
      </c>
    </row>
    <row r="1179" spans="1:4" s="25" customFormat="1" hidden="1" x14ac:dyDescent="0.25">
      <c r="A1179" s="4">
        <v>43074</v>
      </c>
      <c r="B1179" s="4" t="s">
        <v>776</v>
      </c>
      <c r="C1179" s="34"/>
      <c r="D1179" s="34">
        <v>81.75</v>
      </c>
    </row>
    <row r="1180" spans="1:4" s="25" customFormat="1" hidden="1" x14ac:dyDescent="0.25">
      <c r="A1180" s="4">
        <v>43082</v>
      </c>
      <c r="B1180" s="4" t="s">
        <v>777</v>
      </c>
      <c r="C1180" s="34">
        <v>534.6</v>
      </c>
      <c r="D1180" s="34"/>
    </row>
    <row r="1181" spans="1:4" s="25" customFormat="1" hidden="1" x14ac:dyDescent="0.25">
      <c r="A1181" s="4">
        <v>43091</v>
      </c>
      <c r="B1181" s="4" t="s">
        <v>778</v>
      </c>
      <c r="C1181" s="34">
        <v>490.68</v>
      </c>
      <c r="D1181" s="34"/>
    </row>
    <row r="1182" spans="1:4" s="25" customFormat="1" hidden="1" x14ac:dyDescent="0.25">
      <c r="A1182" s="4">
        <v>43097</v>
      </c>
      <c r="B1182" s="4" t="s">
        <v>779</v>
      </c>
      <c r="C1182" s="34"/>
      <c r="D1182" s="34">
        <v>1698.6</v>
      </c>
    </row>
    <row r="1183" spans="1:4" s="25" customFormat="1" hidden="1" x14ac:dyDescent="0.25">
      <c r="A1183" s="4">
        <v>43098</v>
      </c>
      <c r="B1183" s="4" t="s">
        <v>716</v>
      </c>
      <c r="C1183" s="34">
        <v>4.1900000000000004</v>
      </c>
      <c r="D1183" s="34"/>
    </row>
    <row r="1184" spans="1:4" s="25" customFormat="1" hidden="1" x14ac:dyDescent="0.25">
      <c r="A1184" s="4">
        <v>43103</v>
      </c>
      <c r="B1184" s="4" t="s">
        <v>757</v>
      </c>
      <c r="C1184" s="34">
        <v>2.09</v>
      </c>
      <c r="D1184" s="34"/>
    </row>
    <row r="1185" spans="1:4" s="25" customFormat="1" hidden="1" x14ac:dyDescent="0.25">
      <c r="A1185" s="4">
        <v>43104</v>
      </c>
      <c r="B1185" s="4" t="s">
        <v>775</v>
      </c>
      <c r="C1185" s="34"/>
      <c r="D1185" s="34">
        <v>249.35</v>
      </c>
    </row>
    <row r="1186" spans="1:4" s="25" customFormat="1" hidden="1" x14ac:dyDescent="0.25">
      <c r="A1186" s="4">
        <v>43104</v>
      </c>
      <c r="B1186" s="4" t="s">
        <v>776</v>
      </c>
      <c r="C1186" s="34"/>
      <c r="D1186" s="34">
        <v>85.09</v>
      </c>
    </row>
    <row r="1187" spans="1:4" s="25" customFormat="1" hidden="1" x14ac:dyDescent="0.25">
      <c r="A1187" s="4">
        <v>43108</v>
      </c>
      <c r="B1187" s="4" t="s">
        <v>780</v>
      </c>
      <c r="C1187" s="34">
        <v>151.04</v>
      </c>
      <c r="D1187" s="34"/>
    </row>
    <row r="1188" spans="1:4" s="25" customFormat="1" hidden="1" x14ac:dyDescent="0.25">
      <c r="A1188" s="4">
        <v>43116</v>
      </c>
      <c r="B1188" s="4" t="s">
        <v>781</v>
      </c>
      <c r="C1188" s="34">
        <v>600</v>
      </c>
      <c r="D1188" s="34"/>
    </row>
    <row r="1189" spans="1:4" s="25" customFormat="1" hidden="1" x14ac:dyDescent="0.25">
      <c r="A1189" s="4">
        <v>43118</v>
      </c>
      <c r="B1189" s="4" t="s">
        <v>782</v>
      </c>
      <c r="C1189" s="34">
        <v>264.73</v>
      </c>
      <c r="D1189" s="34"/>
    </row>
    <row r="1190" spans="1:4" s="25" customFormat="1" hidden="1" x14ac:dyDescent="0.25">
      <c r="A1190" s="4">
        <v>43124</v>
      </c>
      <c r="B1190" s="4" t="s">
        <v>783</v>
      </c>
      <c r="C1190" s="34">
        <v>489.21</v>
      </c>
      <c r="D1190" s="34"/>
    </row>
    <row r="1191" spans="1:4" s="25" customFormat="1" hidden="1" x14ac:dyDescent="0.25">
      <c r="A1191" s="4">
        <v>43124</v>
      </c>
      <c r="B1191" s="4" t="s">
        <v>784</v>
      </c>
      <c r="C1191" s="34">
        <v>80000</v>
      </c>
      <c r="D1191" s="34"/>
    </row>
    <row r="1192" spans="1:4" s="25" customFormat="1" hidden="1" x14ac:dyDescent="0.25">
      <c r="A1192" s="4">
        <v>43125</v>
      </c>
      <c r="B1192" s="4" t="s">
        <v>785</v>
      </c>
      <c r="C1192" s="34"/>
      <c r="D1192" s="34">
        <v>80000</v>
      </c>
    </row>
    <row r="1193" spans="1:4" s="25" customFormat="1" hidden="1" x14ac:dyDescent="0.25">
      <c r="A1193" s="4">
        <v>43131</v>
      </c>
      <c r="B1193" s="4" t="s">
        <v>716</v>
      </c>
      <c r="C1193" s="34">
        <v>5.03</v>
      </c>
      <c r="D1193" s="34"/>
    </row>
    <row r="1194" spans="1:4" s="25" customFormat="1" hidden="1" x14ac:dyDescent="0.25">
      <c r="A1194" s="4">
        <v>43133</v>
      </c>
      <c r="B1194" s="4" t="s">
        <v>757</v>
      </c>
      <c r="C1194" s="34">
        <v>2.5099999999999998</v>
      </c>
      <c r="D1194" s="34"/>
    </row>
    <row r="1195" spans="1:4" s="25" customFormat="1" hidden="1" x14ac:dyDescent="0.25">
      <c r="A1195" s="4">
        <v>43136</v>
      </c>
      <c r="B1195" s="4" t="s">
        <v>776</v>
      </c>
      <c r="C1195" s="34"/>
      <c r="D1195" s="34">
        <v>85</v>
      </c>
    </row>
    <row r="1196" spans="1:4" s="25" customFormat="1" hidden="1" x14ac:dyDescent="0.25">
      <c r="A1196" s="4">
        <v>43136</v>
      </c>
      <c r="B1196" s="4" t="s">
        <v>775</v>
      </c>
      <c r="C1196" s="34"/>
      <c r="D1196" s="34">
        <v>249.02</v>
      </c>
    </row>
    <row r="1197" spans="1:4" s="25" customFormat="1" hidden="1" x14ac:dyDescent="0.25">
      <c r="A1197" s="4">
        <v>43147</v>
      </c>
      <c r="B1197" s="4" t="s">
        <v>786</v>
      </c>
      <c r="C1197" s="34">
        <v>512.4</v>
      </c>
      <c r="D1197" s="34"/>
    </row>
    <row r="1198" spans="1:4" s="25" customFormat="1" hidden="1" x14ac:dyDescent="0.25">
      <c r="A1198" s="4">
        <v>43151</v>
      </c>
      <c r="B1198" s="4" t="s">
        <v>787</v>
      </c>
      <c r="C1198" s="34">
        <v>511.75</v>
      </c>
      <c r="D1198" s="34"/>
    </row>
    <row r="1199" spans="1:4" s="25" customFormat="1" hidden="1" x14ac:dyDescent="0.25">
      <c r="A1199" s="4">
        <v>43159</v>
      </c>
      <c r="B1199" s="4" t="s">
        <v>788</v>
      </c>
      <c r="C1199" s="34">
        <v>243.47</v>
      </c>
      <c r="D1199" s="34"/>
    </row>
    <row r="1200" spans="1:4" s="25" customFormat="1" hidden="1" x14ac:dyDescent="0.25">
      <c r="A1200" s="4">
        <v>43159</v>
      </c>
      <c r="B1200" s="4" t="s">
        <v>716</v>
      </c>
      <c r="C1200" s="34">
        <v>3.89</v>
      </c>
      <c r="D1200" s="34"/>
    </row>
    <row r="1201" spans="1:4" s="25" customFormat="1" hidden="1" x14ac:dyDescent="0.25">
      <c r="A1201" s="4">
        <v>43160</v>
      </c>
      <c r="B1201" s="4" t="s">
        <v>789</v>
      </c>
      <c r="C1201" s="34"/>
      <c r="D1201" s="34">
        <v>1917</v>
      </c>
    </row>
    <row r="1202" spans="1:4" s="25" customFormat="1" hidden="1" x14ac:dyDescent="0.25">
      <c r="A1202" s="4">
        <v>43161</v>
      </c>
      <c r="B1202" s="4" t="s">
        <v>757</v>
      </c>
      <c r="C1202" s="34">
        <v>1.95</v>
      </c>
      <c r="D1202" s="34"/>
    </row>
    <row r="1203" spans="1:4" s="25" customFormat="1" hidden="1" x14ac:dyDescent="0.25">
      <c r="A1203" s="4">
        <v>43164</v>
      </c>
      <c r="B1203" s="4" t="s">
        <v>775</v>
      </c>
      <c r="C1203" s="34"/>
      <c r="D1203" s="34">
        <v>221.71</v>
      </c>
    </row>
    <row r="1204" spans="1:4" s="25" customFormat="1" hidden="1" x14ac:dyDescent="0.25">
      <c r="A1204" s="4">
        <v>43164</v>
      </c>
      <c r="B1204" s="4" t="s">
        <v>776</v>
      </c>
      <c r="C1204" s="34"/>
      <c r="D1204" s="34">
        <v>65.989999999999995</v>
      </c>
    </row>
    <row r="1205" spans="1:4" s="25" customFormat="1" hidden="1" x14ac:dyDescent="0.25">
      <c r="A1205" s="4">
        <v>43181</v>
      </c>
      <c r="B1205" s="4" t="s">
        <v>790</v>
      </c>
      <c r="C1205" s="34">
        <v>245.82</v>
      </c>
      <c r="D1205" s="34"/>
    </row>
    <row r="1206" spans="1:4" s="25" customFormat="1" hidden="1" x14ac:dyDescent="0.25">
      <c r="A1206" s="4">
        <v>43181</v>
      </c>
      <c r="B1206" s="4" t="s">
        <v>791</v>
      </c>
      <c r="C1206" s="34">
        <v>398.21</v>
      </c>
      <c r="D1206" s="34"/>
    </row>
    <row r="1207" spans="1:4" s="25" customFormat="1" hidden="1" x14ac:dyDescent="0.25">
      <c r="A1207" s="4">
        <v>43186</v>
      </c>
      <c r="B1207" s="4" t="s">
        <v>792</v>
      </c>
      <c r="C1207" s="34">
        <v>352.93</v>
      </c>
      <c r="D1207" s="34"/>
    </row>
    <row r="1208" spans="1:4" s="25" customFormat="1" hidden="1" x14ac:dyDescent="0.25">
      <c r="A1208" s="4">
        <v>43187</v>
      </c>
      <c r="B1208" s="4" t="s">
        <v>793</v>
      </c>
      <c r="C1208" s="34">
        <v>724</v>
      </c>
      <c r="D1208" s="34"/>
    </row>
    <row r="1209" spans="1:4" s="25" customFormat="1" hidden="1" x14ac:dyDescent="0.25">
      <c r="A1209" s="4">
        <v>43188</v>
      </c>
      <c r="B1209" s="4" t="s">
        <v>716</v>
      </c>
      <c r="C1209" s="34">
        <v>3.88</v>
      </c>
      <c r="D1209" s="34"/>
    </row>
    <row r="1210" spans="1:4" s="25" customFormat="1" hidden="1" x14ac:dyDescent="0.25">
      <c r="A1210" s="4">
        <v>43194</v>
      </c>
      <c r="B1210" s="4" t="s">
        <v>757</v>
      </c>
      <c r="C1210" s="34">
        <v>1.95</v>
      </c>
      <c r="D1210" s="34"/>
    </row>
    <row r="1211" spans="1:4" s="25" customFormat="1" hidden="1" x14ac:dyDescent="0.25">
      <c r="A1211" s="4">
        <v>43195</v>
      </c>
      <c r="B1211" s="4" t="s">
        <v>794</v>
      </c>
      <c r="C1211" s="34">
        <v>869.32</v>
      </c>
      <c r="D1211" s="34"/>
    </row>
    <row r="1212" spans="1:4" s="25" customFormat="1" hidden="1" x14ac:dyDescent="0.25">
      <c r="A1212" s="4">
        <v>43196</v>
      </c>
      <c r="B1212" s="4" t="s">
        <v>775</v>
      </c>
      <c r="C1212" s="34"/>
      <c r="D1212" s="34">
        <v>244.52</v>
      </c>
    </row>
    <row r="1213" spans="1:4" s="25" customFormat="1" hidden="1" x14ac:dyDescent="0.25">
      <c r="A1213" s="4">
        <v>43196</v>
      </c>
      <c r="B1213" s="4" t="s">
        <v>776</v>
      </c>
      <c r="C1213" s="34"/>
      <c r="D1213" s="34">
        <v>72.61</v>
      </c>
    </row>
    <row r="1214" spans="1:4" s="25" customFormat="1" hidden="1" x14ac:dyDescent="0.25">
      <c r="A1214" s="4">
        <v>43199</v>
      </c>
      <c r="B1214" s="4" t="s">
        <v>795</v>
      </c>
      <c r="C1214" s="34">
        <v>30.07</v>
      </c>
      <c r="D1214" s="34"/>
    </row>
    <row r="1215" spans="1:4" s="25" customFormat="1" hidden="1" x14ac:dyDescent="0.25">
      <c r="A1215" s="4">
        <v>43202</v>
      </c>
      <c r="B1215" s="4" t="s">
        <v>782</v>
      </c>
      <c r="C1215" s="34">
        <v>268.05</v>
      </c>
      <c r="D1215" s="34"/>
    </row>
    <row r="1216" spans="1:4" s="25" customFormat="1" hidden="1" x14ac:dyDescent="0.25">
      <c r="A1216" s="4">
        <v>43210</v>
      </c>
      <c r="B1216" s="4" t="s">
        <v>796</v>
      </c>
      <c r="C1216" s="34">
        <v>25.4</v>
      </c>
      <c r="D1216" s="34"/>
    </row>
    <row r="1217" spans="1:4" s="25" customFormat="1" hidden="1" x14ac:dyDescent="0.25">
      <c r="A1217" s="4">
        <v>43220</v>
      </c>
      <c r="B1217" s="4" t="s">
        <v>716</v>
      </c>
      <c r="C1217" s="34">
        <v>4.6399999999999997</v>
      </c>
      <c r="D1217" s="34"/>
    </row>
    <row r="1218" spans="1:4" s="25" customFormat="1" hidden="1" x14ac:dyDescent="0.25">
      <c r="A1218" s="4">
        <v>43222</v>
      </c>
      <c r="B1218" s="4" t="s">
        <v>757</v>
      </c>
      <c r="C1218" s="34">
        <v>2.2999999999999998</v>
      </c>
      <c r="D1218" s="34"/>
    </row>
    <row r="1219" spans="1:4" s="25" customFormat="1" hidden="1" x14ac:dyDescent="0.25">
      <c r="A1219" s="4">
        <v>43223</v>
      </c>
      <c r="B1219" s="4" t="s">
        <v>775</v>
      </c>
      <c r="C1219" s="34"/>
      <c r="D1219" s="34">
        <v>236.33</v>
      </c>
    </row>
    <row r="1220" spans="1:4" s="25" customFormat="1" hidden="1" x14ac:dyDescent="0.25">
      <c r="A1220" s="4">
        <v>43223</v>
      </c>
      <c r="B1220" s="4" t="s">
        <v>776</v>
      </c>
      <c r="C1220" s="34"/>
      <c r="D1220" s="34">
        <v>70.319999999999993</v>
      </c>
    </row>
    <row r="1221" spans="1:4" s="25" customFormat="1" hidden="1" x14ac:dyDescent="0.25">
      <c r="A1221" s="4">
        <v>43251</v>
      </c>
      <c r="B1221" s="4" t="s">
        <v>716</v>
      </c>
      <c r="C1221" s="34">
        <v>4.71</v>
      </c>
      <c r="D1221" s="34"/>
    </row>
    <row r="1222" spans="1:4" s="25" customFormat="1" hidden="1" x14ac:dyDescent="0.25">
      <c r="A1222" s="4">
        <v>43255</v>
      </c>
      <c r="B1222" s="4" t="s">
        <v>757</v>
      </c>
      <c r="C1222" s="34">
        <v>2.36</v>
      </c>
      <c r="D1222" s="34"/>
    </row>
    <row r="1223" spans="1:4" s="25" customFormat="1" hidden="1" x14ac:dyDescent="0.25">
      <c r="A1223" s="4">
        <v>43256</v>
      </c>
      <c r="B1223" s="4" t="s">
        <v>776</v>
      </c>
      <c r="C1223" s="34"/>
      <c r="D1223" s="34">
        <v>73.94</v>
      </c>
    </row>
    <row r="1224" spans="1:4" s="25" customFormat="1" hidden="1" x14ac:dyDescent="0.25">
      <c r="A1224" s="4">
        <v>43256</v>
      </c>
      <c r="B1224" s="4" t="s">
        <v>775</v>
      </c>
      <c r="C1224" s="34"/>
      <c r="D1224" s="34">
        <v>249.95</v>
      </c>
    </row>
    <row r="1225" spans="1:4" s="25" customFormat="1" hidden="1" x14ac:dyDescent="0.25">
      <c r="A1225" s="4">
        <v>43258</v>
      </c>
      <c r="B1225" s="4" t="s">
        <v>797</v>
      </c>
      <c r="C1225" s="34">
        <v>5266.02</v>
      </c>
      <c r="D1225" s="34"/>
    </row>
    <row r="1226" spans="1:4" s="25" customFormat="1" hidden="1" x14ac:dyDescent="0.25">
      <c r="A1226" s="4">
        <v>43273</v>
      </c>
      <c r="B1226" s="4" t="s">
        <v>798</v>
      </c>
      <c r="C1226" s="34">
        <v>113.34</v>
      </c>
      <c r="D1226" s="34"/>
    </row>
    <row r="1227" spans="1:4" s="25" customFormat="1" hidden="1" x14ac:dyDescent="0.25">
      <c r="A1227" s="4">
        <v>43280</v>
      </c>
      <c r="B1227" s="4" t="s">
        <v>716</v>
      </c>
      <c r="C1227" s="34">
        <v>6.19</v>
      </c>
      <c r="D1227" s="34"/>
    </row>
    <row r="1228" spans="1:4" s="25" customFormat="1" hidden="1" x14ac:dyDescent="0.25">
      <c r="A1228" s="4"/>
      <c r="B1228" s="4"/>
      <c r="C1228" s="34"/>
      <c r="D1228" s="34"/>
    </row>
    <row r="1229" spans="1:4" s="25" customFormat="1" hidden="1" x14ac:dyDescent="0.25">
      <c r="A1229" s="4">
        <v>43281</v>
      </c>
      <c r="B1229" t="s">
        <v>14</v>
      </c>
      <c r="C1229" s="36">
        <f>SUM(C1164:C1228)</f>
        <v>407157.83000000019</v>
      </c>
      <c r="D1229" s="36">
        <f>SUM(D1164:D1228)</f>
        <v>390982.11</v>
      </c>
    </row>
    <row r="1230" spans="1:4" s="25" customFormat="1" hidden="1" x14ac:dyDescent="0.25">
      <c r="A1230" s="4"/>
      <c r="B1230" s="4" t="s">
        <v>15</v>
      </c>
      <c r="C1230" s="34">
        <f>IF(C1229&gt;D1229,C1229-D1229," ")</f>
        <v>16175.720000000205</v>
      </c>
      <c r="D1230" s="34" t="str">
        <f>IF(D1229&gt;C1229,D1229-C1229," ")</f>
        <v xml:space="preserve"> </v>
      </c>
    </row>
    <row r="1231" spans="1:4" s="25" customFormat="1" hidden="1" x14ac:dyDescent="0.25">
      <c r="A1231" s="4">
        <v>43284</v>
      </c>
      <c r="B1231" s="4" t="s">
        <v>757</v>
      </c>
      <c r="C1231" s="34">
        <v>3.09</v>
      </c>
      <c r="D1231" s="34"/>
    </row>
    <row r="1232" spans="1:4" s="25" customFormat="1" hidden="1" x14ac:dyDescent="0.25">
      <c r="A1232" s="4">
        <v>43285</v>
      </c>
      <c r="B1232" s="4" t="s">
        <v>823</v>
      </c>
      <c r="C1232" s="34">
        <v>490.68</v>
      </c>
      <c r="D1232" s="34"/>
    </row>
    <row r="1233" spans="1:4" s="25" customFormat="1" hidden="1" x14ac:dyDescent="0.25">
      <c r="A1233" s="4">
        <v>43285</v>
      </c>
      <c r="B1233" s="4" t="s">
        <v>824</v>
      </c>
      <c r="C1233" s="34"/>
      <c r="D1233" s="34">
        <v>243.8</v>
      </c>
    </row>
    <row r="1234" spans="1:4" s="25" customFormat="1" hidden="1" x14ac:dyDescent="0.25">
      <c r="A1234" s="4">
        <v>43285</v>
      </c>
      <c r="B1234" s="4" t="s">
        <v>825</v>
      </c>
      <c r="C1234" s="34"/>
      <c r="D1234" s="34">
        <v>72.09</v>
      </c>
    </row>
    <row r="1235" spans="1:4" s="25" customFormat="1" hidden="1" x14ac:dyDescent="0.25">
      <c r="A1235" s="4">
        <v>43286</v>
      </c>
      <c r="B1235" s="4" t="s">
        <v>826</v>
      </c>
      <c r="C1235" s="34">
        <v>534.6</v>
      </c>
      <c r="D1235" s="34"/>
    </row>
    <row r="1236" spans="1:4" s="25" customFormat="1" hidden="1" x14ac:dyDescent="0.25">
      <c r="A1236" s="4">
        <v>43292</v>
      </c>
      <c r="B1236" s="4" t="s">
        <v>795</v>
      </c>
      <c r="C1236" s="34">
        <v>239.71</v>
      </c>
      <c r="D1236" s="34"/>
    </row>
    <row r="1237" spans="1:4" s="25" customFormat="1" hidden="1" x14ac:dyDescent="0.25">
      <c r="A1237" s="4">
        <v>43297</v>
      </c>
      <c r="B1237" s="4" t="s">
        <v>827</v>
      </c>
      <c r="C1237" s="34">
        <v>5591.98</v>
      </c>
      <c r="D1237" s="34"/>
    </row>
    <row r="1238" spans="1:4" s="25" customFormat="1" hidden="1" x14ac:dyDescent="0.25">
      <c r="A1238" s="4">
        <v>43297</v>
      </c>
      <c r="B1238" s="4" t="s">
        <v>828</v>
      </c>
      <c r="C1238" s="34">
        <v>5848.28</v>
      </c>
      <c r="D1238" s="34"/>
    </row>
    <row r="1239" spans="1:4" s="25" customFormat="1" hidden="1" x14ac:dyDescent="0.25">
      <c r="A1239" s="4">
        <v>43300</v>
      </c>
      <c r="B1239" s="4" t="s">
        <v>829</v>
      </c>
      <c r="C1239" s="34">
        <v>7835.26</v>
      </c>
      <c r="D1239" s="34"/>
    </row>
    <row r="1240" spans="1:4" s="25" customFormat="1" hidden="1" x14ac:dyDescent="0.25">
      <c r="A1240" s="4">
        <v>43300</v>
      </c>
      <c r="B1240" s="4" t="s">
        <v>782</v>
      </c>
      <c r="C1240" s="34">
        <v>343</v>
      </c>
      <c r="D1240" s="34"/>
    </row>
    <row r="1241" spans="1:4" s="25" customFormat="1" hidden="1" x14ac:dyDescent="0.25">
      <c r="A1241" s="4">
        <v>43301</v>
      </c>
      <c r="B1241" s="4" t="s">
        <v>830</v>
      </c>
      <c r="C1241" s="34">
        <v>181.17</v>
      </c>
      <c r="D1241" s="34"/>
    </row>
    <row r="1242" spans="1:4" s="25" customFormat="1" hidden="1" x14ac:dyDescent="0.25">
      <c r="A1242" s="4">
        <v>43306</v>
      </c>
      <c r="B1242" s="4" t="s">
        <v>831</v>
      </c>
      <c r="C1242" s="34">
        <v>986.3</v>
      </c>
      <c r="D1242" s="34"/>
    </row>
    <row r="1243" spans="1:4" s="25" customFormat="1" hidden="1" x14ac:dyDescent="0.25">
      <c r="A1243" s="4">
        <v>43306</v>
      </c>
      <c r="B1243" s="4" t="s">
        <v>832</v>
      </c>
      <c r="C1243" s="34">
        <v>80000</v>
      </c>
      <c r="D1243" s="34"/>
    </row>
    <row r="1244" spans="1:4" s="25" customFormat="1" hidden="1" x14ac:dyDescent="0.25">
      <c r="A1244" s="4">
        <v>43311</v>
      </c>
      <c r="B1244" s="4" t="s">
        <v>833</v>
      </c>
      <c r="C1244" s="34"/>
      <c r="D1244" s="34">
        <v>80000</v>
      </c>
    </row>
    <row r="1245" spans="1:4" s="25" customFormat="1" hidden="1" x14ac:dyDescent="0.25">
      <c r="A1245" s="4">
        <v>43312</v>
      </c>
      <c r="B1245" s="4" t="s">
        <v>781</v>
      </c>
      <c r="C1245" s="34">
        <v>600</v>
      </c>
      <c r="D1245" s="34"/>
    </row>
    <row r="1246" spans="1:4" s="25" customFormat="1" hidden="1" x14ac:dyDescent="0.25">
      <c r="A1246" s="4">
        <v>43312</v>
      </c>
      <c r="B1246" s="4" t="s">
        <v>716</v>
      </c>
      <c r="C1246" s="34">
        <v>16.77</v>
      </c>
      <c r="D1246" s="34"/>
    </row>
    <row r="1247" spans="1:4" s="25" customFormat="1" hidden="1" x14ac:dyDescent="0.25">
      <c r="A1247" s="4">
        <v>43314</v>
      </c>
      <c r="B1247" s="4" t="s">
        <v>757</v>
      </c>
      <c r="C1247" s="34">
        <v>8.39</v>
      </c>
      <c r="D1247" s="34"/>
    </row>
    <row r="1248" spans="1:4" s="25" customFormat="1" hidden="1" x14ac:dyDescent="0.25">
      <c r="A1248" s="4">
        <v>43315</v>
      </c>
      <c r="B1248" s="4" t="s">
        <v>834</v>
      </c>
      <c r="C1248" s="34"/>
      <c r="D1248" s="34">
        <v>253.35</v>
      </c>
    </row>
    <row r="1249" spans="1:4" s="25" customFormat="1" hidden="1" x14ac:dyDescent="0.25">
      <c r="A1249" s="4">
        <v>43315</v>
      </c>
      <c r="B1249" s="4" t="s">
        <v>835</v>
      </c>
      <c r="C1249" s="34"/>
      <c r="D1249" s="34">
        <v>74.64</v>
      </c>
    </row>
    <row r="1250" spans="1:4" s="25" customFormat="1" hidden="1" x14ac:dyDescent="0.25">
      <c r="A1250" s="4">
        <v>43322</v>
      </c>
      <c r="B1250" s="4" t="s">
        <v>836</v>
      </c>
      <c r="C1250" s="34">
        <v>554.13</v>
      </c>
      <c r="D1250" s="34"/>
    </row>
    <row r="1251" spans="1:4" s="25" customFormat="1" hidden="1" x14ac:dyDescent="0.25">
      <c r="A1251" s="4">
        <v>43339</v>
      </c>
      <c r="B1251" s="4" t="s">
        <v>787</v>
      </c>
      <c r="C1251" s="34">
        <v>171.35</v>
      </c>
      <c r="D1251" s="34"/>
    </row>
    <row r="1252" spans="1:4" s="25" customFormat="1" hidden="1" x14ac:dyDescent="0.25">
      <c r="A1252" s="4">
        <v>43339</v>
      </c>
      <c r="B1252" s="4" t="s">
        <v>787</v>
      </c>
      <c r="C1252" s="34">
        <v>863.65</v>
      </c>
      <c r="D1252" s="34"/>
    </row>
    <row r="1253" spans="1:4" s="25" customFormat="1" hidden="1" x14ac:dyDescent="0.25">
      <c r="A1253" s="4">
        <v>43343</v>
      </c>
      <c r="B1253" s="4" t="s">
        <v>716</v>
      </c>
      <c r="C1253" s="34">
        <v>16.47</v>
      </c>
      <c r="D1253" s="34"/>
    </row>
    <row r="1254" spans="1:4" s="25" customFormat="1" hidden="1" x14ac:dyDescent="0.25">
      <c r="A1254" s="4">
        <v>43347</v>
      </c>
      <c r="B1254" s="4" t="s">
        <v>757</v>
      </c>
      <c r="C1254" s="34">
        <v>8.23</v>
      </c>
      <c r="D1254" s="34"/>
    </row>
    <row r="1255" spans="1:4" s="25" customFormat="1" hidden="1" x14ac:dyDescent="0.25">
      <c r="A1255" s="4">
        <v>43348</v>
      </c>
      <c r="B1255" s="4" t="s">
        <v>837</v>
      </c>
      <c r="C1255" s="34"/>
      <c r="D1255" s="34">
        <v>261.7</v>
      </c>
    </row>
    <row r="1256" spans="1:4" s="25" customFormat="1" hidden="1" x14ac:dyDescent="0.25">
      <c r="A1256" s="4">
        <v>43348</v>
      </c>
      <c r="B1256" s="4" t="s">
        <v>838</v>
      </c>
      <c r="C1256" s="34"/>
      <c r="D1256" s="34">
        <v>75.930000000000007</v>
      </c>
    </row>
    <row r="1257" spans="1:4" s="25" customFormat="1" hidden="1" x14ac:dyDescent="0.25">
      <c r="A1257" s="4">
        <v>43355</v>
      </c>
      <c r="B1257" s="4" t="s">
        <v>839</v>
      </c>
      <c r="C1257" s="34"/>
      <c r="D1257" s="34">
        <v>3758.4</v>
      </c>
    </row>
    <row r="1258" spans="1:4" s="25" customFormat="1" hidden="1" x14ac:dyDescent="0.25">
      <c r="A1258" s="4">
        <v>43363</v>
      </c>
      <c r="B1258" s="4" t="s">
        <v>840</v>
      </c>
      <c r="C1258" s="34">
        <v>514.71</v>
      </c>
      <c r="D1258" s="34"/>
    </row>
    <row r="1259" spans="1:4" s="25" customFormat="1" hidden="1" x14ac:dyDescent="0.25">
      <c r="A1259" s="4">
        <v>43364</v>
      </c>
      <c r="B1259" s="4" t="s">
        <v>841</v>
      </c>
      <c r="C1259" s="34">
        <v>253.05</v>
      </c>
      <c r="D1259" s="34"/>
    </row>
    <row r="1260" spans="1:4" s="25" customFormat="1" hidden="1" x14ac:dyDescent="0.25">
      <c r="A1260" s="4">
        <v>43368</v>
      </c>
      <c r="B1260" s="4" t="s">
        <v>842</v>
      </c>
      <c r="C1260" s="34">
        <v>442.73</v>
      </c>
      <c r="D1260" s="34"/>
    </row>
    <row r="1261" spans="1:4" s="25" customFormat="1" hidden="1" x14ac:dyDescent="0.25">
      <c r="A1261" s="4">
        <v>43370</v>
      </c>
      <c r="B1261" s="4" t="s">
        <v>843</v>
      </c>
      <c r="C1261" s="34">
        <v>1012.8</v>
      </c>
      <c r="D1261" s="34"/>
    </row>
    <row r="1262" spans="1:4" s="25" customFormat="1" hidden="1" x14ac:dyDescent="0.25">
      <c r="A1262" s="4">
        <v>43371</v>
      </c>
      <c r="B1262" s="4" t="s">
        <v>844</v>
      </c>
      <c r="C1262" s="34">
        <v>836.22</v>
      </c>
      <c r="D1262" s="34"/>
    </row>
    <row r="1263" spans="1:4" s="25" customFormat="1" hidden="1" x14ac:dyDescent="0.25">
      <c r="A1263" s="4">
        <v>43371</v>
      </c>
      <c r="B1263" s="4" t="s">
        <v>716</v>
      </c>
      <c r="C1263" s="34">
        <v>15.52</v>
      </c>
      <c r="D1263" s="34"/>
    </row>
    <row r="1264" spans="1:4" s="25" customFormat="1" hidden="1" x14ac:dyDescent="0.25">
      <c r="A1264" s="4">
        <v>43375</v>
      </c>
      <c r="B1264" s="4" t="s">
        <v>757</v>
      </c>
      <c r="C1264" s="34">
        <v>7.75</v>
      </c>
      <c r="D1264" s="34"/>
    </row>
    <row r="1265" spans="1:4" s="25" customFormat="1" hidden="1" x14ac:dyDescent="0.25">
      <c r="A1265" s="4">
        <v>43378</v>
      </c>
      <c r="B1265" s="4" t="s">
        <v>845</v>
      </c>
      <c r="C1265" s="34">
        <v>139.69999999999999</v>
      </c>
      <c r="D1265" s="34"/>
    </row>
    <row r="1266" spans="1:4" s="25" customFormat="1" hidden="1" x14ac:dyDescent="0.25">
      <c r="A1266" s="4">
        <v>43378</v>
      </c>
      <c r="B1266" s="4" t="s">
        <v>795</v>
      </c>
      <c r="C1266" s="34">
        <v>14.93</v>
      </c>
      <c r="D1266" s="34"/>
    </row>
    <row r="1267" spans="1:4" s="25" customFormat="1" hidden="1" x14ac:dyDescent="0.25">
      <c r="A1267" s="4">
        <v>43378</v>
      </c>
      <c r="B1267" s="4" t="s">
        <v>846</v>
      </c>
      <c r="C1267" s="34"/>
      <c r="D1267" s="34">
        <v>255.29</v>
      </c>
    </row>
    <row r="1268" spans="1:4" s="25" customFormat="1" hidden="1" x14ac:dyDescent="0.25">
      <c r="A1268" s="4">
        <v>43378</v>
      </c>
      <c r="B1268" s="4" t="s">
        <v>847</v>
      </c>
      <c r="C1268" s="34"/>
      <c r="D1268" s="34">
        <v>73.81</v>
      </c>
    </row>
    <row r="1269" spans="1:4" s="25" customFormat="1" hidden="1" x14ac:dyDescent="0.25">
      <c r="A1269" s="4">
        <v>43384</v>
      </c>
      <c r="B1269" s="4" t="s">
        <v>782</v>
      </c>
      <c r="C1269" s="34">
        <v>263.77</v>
      </c>
      <c r="D1269" s="34"/>
    </row>
    <row r="1270" spans="1:4" s="25" customFormat="1" hidden="1" x14ac:dyDescent="0.25">
      <c r="A1270" s="4">
        <v>43388</v>
      </c>
      <c r="B1270" s="4" t="s">
        <v>848</v>
      </c>
      <c r="C1270" s="34">
        <v>3.22</v>
      </c>
      <c r="D1270" s="34"/>
    </row>
    <row r="1271" spans="1:4" s="25" customFormat="1" hidden="1" x14ac:dyDescent="0.25">
      <c r="A1271" s="4">
        <v>43403</v>
      </c>
      <c r="B1271" s="4" t="s">
        <v>768</v>
      </c>
      <c r="C1271" s="34">
        <v>30000</v>
      </c>
      <c r="D1271" s="34"/>
    </row>
    <row r="1272" spans="1:4" s="25" customFormat="1" hidden="1" x14ac:dyDescent="0.25">
      <c r="A1272" s="4">
        <v>43403</v>
      </c>
      <c r="B1272" s="4" t="s">
        <v>783</v>
      </c>
      <c r="C1272" s="34">
        <v>518.58000000000004</v>
      </c>
      <c r="D1272" s="34"/>
    </row>
    <row r="1273" spans="1:4" s="25" customFormat="1" hidden="1" x14ac:dyDescent="0.25">
      <c r="A1273" s="4">
        <v>43403</v>
      </c>
      <c r="B1273" s="4" t="s">
        <v>849</v>
      </c>
      <c r="C1273" s="34">
        <v>80000</v>
      </c>
      <c r="D1273" s="34"/>
    </row>
    <row r="1274" spans="1:4" s="25" customFormat="1" hidden="1" x14ac:dyDescent="0.25">
      <c r="A1274" s="4">
        <v>43404</v>
      </c>
      <c r="B1274" s="4" t="s">
        <v>716</v>
      </c>
      <c r="C1274" s="34">
        <v>18.399999999999999</v>
      </c>
      <c r="D1274" s="34"/>
    </row>
    <row r="1275" spans="1:4" s="25" customFormat="1" hidden="1" x14ac:dyDescent="0.25">
      <c r="A1275" s="4">
        <v>43404</v>
      </c>
      <c r="B1275" s="4" t="s">
        <v>850</v>
      </c>
      <c r="C1275" s="34"/>
      <c r="D1275" s="34">
        <v>80000</v>
      </c>
    </row>
    <row r="1276" spans="1:4" s="25" customFormat="1" hidden="1" x14ac:dyDescent="0.25">
      <c r="A1276" s="4">
        <v>43405</v>
      </c>
      <c r="B1276" s="4" t="s">
        <v>851</v>
      </c>
      <c r="C1276" s="34"/>
      <c r="D1276" s="34">
        <v>20015.07</v>
      </c>
    </row>
    <row r="1277" spans="1:4" s="25" customFormat="1" hidden="1" x14ac:dyDescent="0.25">
      <c r="A1277" s="4">
        <v>43405</v>
      </c>
      <c r="B1277" s="4" t="s">
        <v>852</v>
      </c>
      <c r="C1277" s="34"/>
      <c r="D1277" s="34">
        <v>19930.82</v>
      </c>
    </row>
    <row r="1278" spans="1:4" s="25" customFormat="1" hidden="1" x14ac:dyDescent="0.25">
      <c r="A1278" s="4">
        <v>43405</v>
      </c>
      <c r="B1278" s="4" t="s">
        <v>853</v>
      </c>
      <c r="C1278" s="34"/>
      <c r="D1278" s="34">
        <v>19819.12</v>
      </c>
    </row>
    <row r="1279" spans="1:4" s="25" customFormat="1" hidden="1" x14ac:dyDescent="0.25">
      <c r="A1279" s="4">
        <v>43405</v>
      </c>
      <c r="B1279" s="4" t="s">
        <v>854</v>
      </c>
      <c r="C1279" s="34">
        <v>25717.439999999999</v>
      </c>
      <c r="D1279" s="34"/>
    </row>
    <row r="1280" spans="1:4" s="25" customFormat="1" hidden="1" x14ac:dyDescent="0.25">
      <c r="A1280" s="4">
        <v>43406</v>
      </c>
      <c r="B1280" s="4" t="s">
        <v>757</v>
      </c>
      <c r="C1280" s="34">
        <v>9.2100000000000009</v>
      </c>
      <c r="D1280" s="34"/>
    </row>
    <row r="1281" spans="1:4" s="25" customFormat="1" hidden="1" x14ac:dyDescent="0.25">
      <c r="A1281" s="4">
        <v>43409</v>
      </c>
      <c r="B1281" s="4" t="s">
        <v>855</v>
      </c>
      <c r="C1281" s="34"/>
      <c r="D1281" s="34">
        <v>76.36</v>
      </c>
    </row>
    <row r="1282" spans="1:4" s="25" customFormat="1" hidden="1" x14ac:dyDescent="0.25">
      <c r="A1282" s="4">
        <v>43409</v>
      </c>
      <c r="B1282" s="4" t="s">
        <v>856</v>
      </c>
      <c r="C1282" s="34"/>
      <c r="D1282" s="34">
        <v>259.56</v>
      </c>
    </row>
    <row r="1283" spans="1:4" s="25" customFormat="1" hidden="1" x14ac:dyDescent="0.25">
      <c r="A1283" s="4">
        <v>43417</v>
      </c>
      <c r="B1283" s="4" t="s">
        <v>857</v>
      </c>
      <c r="C1283" s="34"/>
      <c r="D1283" s="34">
        <v>25032.99</v>
      </c>
    </row>
    <row r="1284" spans="1:4" s="25" customFormat="1" hidden="1" x14ac:dyDescent="0.25">
      <c r="A1284" s="4">
        <v>43425</v>
      </c>
      <c r="B1284" s="4" t="s">
        <v>848</v>
      </c>
      <c r="C1284" s="34">
        <v>2.4900000000000002</v>
      </c>
      <c r="D1284" s="34"/>
    </row>
    <row r="1285" spans="1:4" s="25" customFormat="1" hidden="1" x14ac:dyDescent="0.25">
      <c r="A1285" s="4">
        <v>43434</v>
      </c>
      <c r="B1285" s="4" t="s">
        <v>716</v>
      </c>
      <c r="C1285" s="34">
        <v>8.27</v>
      </c>
      <c r="D1285" s="34"/>
    </row>
    <row r="1286" spans="1:4" s="25" customFormat="1" hidden="1" x14ac:dyDescent="0.25">
      <c r="A1286" s="4">
        <v>43438</v>
      </c>
      <c r="B1286" s="4" t="s">
        <v>757</v>
      </c>
      <c r="C1286" s="34">
        <v>4.12</v>
      </c>
      <c r="D1286" s="34"/>
    </row>
    <row r="1287" spans="1:4" s="25" customFormat="1" hidden="1" x14ac:dyDescent="0.25">
      <c r="A1287" s="4">
        <v>43439</v>
      </c>
      <c r="B1287" s="4" t="s">
        <v>858</v>
      </c>
      <c r="C1287" s="34"/>
      <c r="D1287" s="34">
        <v>260.27999999999997</v>
      </c>
    </row>
    <row r="1288" spans="1:4" s="25" customFormat="1" hidden="1" x14ac:dyDescent="0.25">
      <c r="A1288" s="4">
        <v>43439</v>
      </c>
      <c r="B1288" s="4" t="s">
        <v>859</v>
      </c>
      <c r="C1288" s="34"/>
      <c r="D1288" s="34">
        <v>75.95</v>
      </c>
    </row>
    <row r="1289" spans="1:4" s="25" customFormat="1" hidden="1" x14ac:dyDescent="0.25">
      <c r="A1289" s="4">
        <v>43447</v>
      </c>
      <c r="B1289" s="4" t="s">
        <v>768</v>
      </c>
      <c r="C1289" s="34">
        <v>20547.5</v>
      </c>
      <c r="D1289" s="34"/>
    </row>
    <row r="1290" spans="1:4" s="25" customFormat="1" hidden="1" x14ac:dyDescent="0.25">
      <c r="A1290" s="4">
        <v>43448</v>
      </c>
      <c r="B1290" s="4" t="s">
        <v>860</v>
      </c>
      <c r="C1290" s="34">
        <v>534.6</v>
      </c>
      <c r="D1290" s="34"/>
    </row>
    <row r="1291" spans="1:4" s="25" customFormat="1" hidden="1" x14ac:dyDescent="0.25">
      <c r="A1291" s="4">
        <v>43448</v>
      </c>
      <c r="B1291" s="4" t="s">
        <v>861</v>
      </c>
      <c r="C1291" s="34"/>
      <c r="D1291" s="34">
        <v>20547.5</v>
      </c>
    </row>
    <row r="1292" spans="1:4" s="25" customFormat="1" hidden="1" x14ac:dyDescent="0.25">
      <c r="A1292" s="4">
        <v>43454</v>
      </c>
      <c r="B1292" s="4" t="s">
        <v>862</v>
      </c>
      <c r="C1292" s="34">
        <v>885</v>
      </c>
      <c r="D1292" s="34"/>
    </row>
    <row r="1293" spans="1:4" s="25" customFormat="1" hidden="1" x14ac:dyDescent="0.25">
      <c r="A1293" s="4">
        <v>43454</v>
      </c>
      <c r="B1293" s="4" t="s">
        <v>863</v>
      </c>
      <c r="C1293" s="34">
        <v>490.68</v>
      </c>
      <c r="D1293" s="34"/>
    </row>
    <row r="1294" spans="1:4" s="25" customFormat="1" hidden="1" x14ac:dyDescent="0.25">
      <c r="A1294" s="4">
        <v>43455</v>
      </c>
      <c r="B1294" s="4" t="s">
        <v>848</v>
      </c>
      <c r="C1294" s="34">
        <v>3.18</v>
      </c>
      <c r="D1294" s="34"/>
    </row>
    <row r="1295" spans="1:4" s="25" customFormat="1" hidden="1" x14ac:dyDescent="0.25">
      <c r="A1295" s="4">
        <v>43455</v>
      </c>
      <c r="B1295" s="4" t="s">
        <v>848</v>
      </c>
      <c r="C1295" s="34">
        <v>3.11</v>
      </c>
      <c r="D1295" s="34"/>
    </row>
    <row r="1296" spans="1:4" s="25" customFormat="1" hidden="1" x14ac:dyDescent="0.25">
      <c r="A1296" s="4">
        <v>43465</v>
      </c>
      <c r="B1296" s="4" t="s">
        <v>716</v>
      </c>
      <c r="C1296" s="34">
        <v>4.78</v>
      </c>
      <c r="D1296" s="34"/>
    </row>
    <row r="1297" spans="1:4" s="25" customFormat="1" hidden="1" x14ac:dyDescent="0.25">
      <c r="A1297" s="4">
        <v>43468</v>
      </c>
      <c r="B1297" s="4" t="s">
        <v>757</v>
      </c>
      <c r="C1297" s="34">
        <v>2.39</v>
      </c>
      <c r="D1297" s="34"/>
    </row>
    <row r="1298" spans="1:4" s="25" customFormat="1" hidden="1" x14ac:dyDescent="0.25">
      <c r="A1298" s="4">
        <v>43469</v>
      </c>
      <c r="B1298" s="4" t="s">
        <v>864</v>
      </c>
      <c r="C1298" s="34"/>
      <c r="D1298" s="34">
        <v>267.02999999999997</v>
      </c>
    </row>
    <row r="1299" spans="1:4" s="25" customFormat="1" hidden="1" x14ac:dyDescent="0.25">
      <c r="A1299" s="4">
        <v>43469</v>
      </c>
      <c r="B1299" s="4" t="s">
        <v>865</v>
      </c>
      <c r="C1299" s="34"/>
      <c r="D1299" s="34">
        <v>78.37</v>
      </c>
    </row>
    <row r="1300" spans="1:4" s="25" customFormat="1" hidden="1" x14ac:dyDescent="0.25">
      <c r="A1300" s="4">
        <v>43473</v>
      </c>
      <c r="B1300" s="4" t="s">
        <v>795</v>
      </c>
      <c r="C1300" s="34">
        <v>45.01</v>
      </c>
      <c r="D1300" s="34"/>
    </row>
    <row r="1301" spans="1:4" s="25" customFormat="1" hidden="1" x14ac:dyDescent="0.25">
      <c r="A1301" s="4">
        <v>43480</v>
      </c>
      <c r="B1301" s="4" t="s">
        <v>781</v>
      </c>
      <c r="C1301" s="34">
        <v>600</v>
      </c>
      <c r="D1301" s="34"/>
    </row>
    <row r="1302" spans="1:4" s="25" customFormat="1" hidden="1" x14ac:dyDescent="0.25">
      <c r="A1302" s="4">
        <v>43481</v>
      </c>
      <c r="B1302" s="4" t="s">
        <v>866</v>
      </c>
      <c r="C1302" s="34">
        <v>110.03</v>
      </c>
      <c r="D1302" s="34"/>
    </row>
    <row r="1303" spans="1:4" s="25" customFormat="1" hidden="1" x14ac:dyDescent="0.25">
      <c r="A1303" s="4">
        <v>43481</v>
      </c>
      <c r="B1303" s="4" t="s">
        <v>782</v>
      </c>
      <c r="C1303" s="34">
        <v>301.07</v>
      </c>
      <c r="D1303" s="34"/>
    </row>
    <row r="1304" spans="1:4" s="25" customFormat="1" hidden="1" x14ac:dyDescent="0.25">
      <c r="A1304" s="4">
        <v>43482</v>
      </c>
      <c r="B1304" s="4" t="s">
        <v>867</v>
      </c>
      <c r="C1304" s="34">
        <v>39.24</v>
      </c>
      <c r="D1304" s="34"/>
    </row>
    <row r="1305" spans="1:4" s="25" customFormat="1" hidden="1" x14ac:dyDescent="0.25">
      <c r="A1305" s="4">
        <v>43482</v>
      </c>
      <c r="B1305" s="4" t="s">
        <v>868</v>
      </c>
      <c r="C1305" s="34">
        <v>343.53</v>
      </c>
      <c r="D1305" s="34"/>
    </row>
    <row r="1306" spans="1:4" s="25" customFormat="1" hidden="1" x14ac:dyDescent="0.25">
      <c r="A1306" s="4">
        <v>43495</v>
      </c>
      <c r="B1306" s="4" t="s">
        <v>869</v>
      </c>
      <c r="C1306" s="34">
        <v>706.37</v>
      </c>
      <c r="D1306" s="34"/>
    </row>
    <row r="1307" spans="1:4" s="25" customFormat="1" hidden="1" x14ac:dyDescent="0.25">
      <c r="A1307" s="4">
        <v>43495</v>
      </c>
      <c r="B1307" s="4" t="s">
        <v>870</v>
      </c>
      <c r="C1307" s="34">
        <v>80000</v>
      </c>
      <c r="D1307" s="34"/>
    </row>
    <row r="1308" spans="1:4" s="25" customFormat="1" hidden="1" x14ac:dyDescent="0.25">
      <c r="A1308" s="4">
        <v>43495</v>
      </c>
      <c r="B1308" s="4" t="s">
        <v>783</v>
      </c>
      <c r="C1308" s="34">
        <v>514.85</v>
      </c>
      <c r="D1308" s="34"/>
    </row>
    <row r="1309" spans="1:4" s="25" customFormat="1" hidden="1" x14ac:dyDescent="0.25">
      <c r="A1309" s="4">
        <v>43496</v>
      </c>
      <c r="B1309" s="4" t="s">
        <v>716</v>
      </c>
      <c r="C1309" s="34">
        <v>7.35</v>
      </c>
      <c r="D1309" s="34"/>
    </row>
    <row r="1310" spans="1:4" s="25" customFormat="1" hidden="1" x14ac:dyDescent="0.25">
      <c r="A1310" s="4">
        <v>43500</v>
      </c>
      <c r="B1310" s="4" t="s">
        <v>757</v>
      </c>
      <c r="C1310" s="34">
        <v>3.67</v>
      </c>
      <c r="D1310" s="34"/>
    </row>
    <row r="1311" spans="1:4" s="25" customFormat="1" hidden="1" x14ac:dyDescent="0.25">
      <c r="A1311" s="4">
        <v>43500</v>
      </c>
      <c r="B1311" s="4" t="s">
        <v>871</v>
      </c>
      <c r="C1311" s="34"/>
      <c r="D1311" s="34">
        <v>80000</v>
      </c>
    </row>
    <row r="1312" spans="1:4" s="25" customFormat="1" hidden="1" x14ac:dyDescent="0.25">
      <c r="A1312" s="4">
        <v>43502</v>
      </c>
      <c r="B1312" s="4" t="s">
        <v>872</v>
      </c>
      <c r="C1312" s="34"/>
      <c r="D1312" s="34">
        <v>273.74</v>
      </c>
    </row>
    <row r="1313" spans="1:4" s="25" customFormat="1" hidden="1" x14ac:dyDescent="0.25">
      <c r="A1313" s="4">
        <v>43502</v>
      </c>
      <c r="B1313" s="4" t="s">
        <v>873</v>
      </c>
      <c r="C1313" s="34"/>
      <c r="D1313" s="34">
        <v>79.25</v>
      </c>
    </row>
    <row r="1314" spans="1:4" s="25" customFormat="1" hidden="1" x14ac:dyDescent="0.25">
      <c r="A1314" s="4">
        <v>43511</v>
      </c>
      <c r="B1314" s="4" t="s">
        <v>874</v>
      </c>
      <c r="C1314" s="34">
        <v>674.83</v>
      </c>
      <c r="D1314" s="34"/>
    </row>
    <row r="1315" spans="1:4" s="25" customFormat="1" hidden="1" x14ac:dyDescent="0.25">
      <c r="A1315" s="4">
        <v>43516</v>
      </c>
      <c r="B1315" s="4" t="s">
        <v>875</v>
      </c>
      <c r="C1315" s="34">
        <v>10000</v>
      </c>
      <c r="D1315" s="34"/>
    </row>
    <row r="1316" spans="1:4" s="25" customFormat="1" hidden="1" x14ac:dyDescent="0.25">
      <c r="A1316" s="4">
        <v>43517</v>
      </c>
      <c r="B1316" s="4" t="s">
        <v>876</v>
      </c>
      <c r="C1316" s="34"/>
      <c r="D1316" s="34">
        <v>15000</v>
      </c>
    </row>
    <row r="1317" spans="1:4" s="25" customFormat="1" hidden="1" x14ac:dyDescent="0.25">
      <c r="A1317" s="4">
        <v>43524</v>
      </c>
      <c r="B1317" s="4" t="s">
        <v>787</v>
      </c>
      <c r="C1317" s="34">
        <v>848.7</v>
      </c>
      <c r="D1317" s="34"/>
    </row>
    <row r="1318" spans="1:4" s="25" customFormat="1" hidden="1" x14ac:dyDescent="0.25">
      <c r="A1318" s="4">
        <v>43524</v>
      </c>
      <c r="B1318" s="4" t="s">
        <v>716</v>
      </c>
      <c r="C1318" s="34">
        <v>8.3000000000000007</v>
      </c>
      <c r="D1318" s="34"/>
    </row>
    <row r="1319" spans="1:4" s="25" customFormat="1" hidden="1" x14ac:dyDescent="0.25">
      <c r="A1319" s="4">
        <v>43528</v>
      </c>
      <c r="B1319" s="4" t="s">
        <v>757</v>
      </c>
      <c r="C1319" s="34">
        <v>4.13</v>
      </c>
      <c r="D1319" s="34"/>
    </row>
    <row r="1320" spans="1:4" s="25" customFormat="1" hidden="1" x14ac:dyDescent="0.25">
      <c r="A1320" s="4">
        <v>43529</v>
      </c>
      <c r="B1320" s="4" t="s">
        <v>877</v>
      </c>
      <c r="C1320" s="34"/>
      <c r="D1320" s="34">
        <v>260.41000000000003</v>
      </c>
    </row>
    <row r="1321" spans="1:4" s="25" customFormat="1" hidden="1" x14ac:dyDescent="0.25">
      <c r="A1321" s="4">
        <v>43529</v>
      </c>
      <c r="B1321" s="4" t="s">
        <v>878</v>
      </c>
      <c r="C1321" s="34"/>
      <c r="D1321" s="34">
        <v>72.5</v>
      </c>
    </row>
    <row r="1322" spans="1:4" s="25" customFormat="1" hidden="1" x14ac:dyDescent="0.25">
      <c r="A1322" s="4">
        <v>43544</v>
      </c>
      <c r="B1322" s="4" t="s">
        <v>879</v>
      </c>
      <c r="C1322" s="34">
        <v>898.31</v>
      </c>
      <c r="D1322" s="34"/>
    </row>
    <row r="1323" spans="1:4" s="25" customFormat="1" hidden="1" x14ac:dyDescent="0.25">
      <c r="A1323" s="4">
        <v>43544</v>
      </c>
      <c r="B1323" s="4" t="s">
        <v>880</v>
      </c>
      <c r="C1323" s="34">
        <v>86.76</v>
      </c>
      <c r="D1323" s="34"/>
    </row>
    <row r="1324" spans="1:4" s="25" customFormat="1" hidden="1" x14ac:dyDescent="0.25">
      <c r="A1324" s="4">
        <v>43549</v>
      </c>
      <c r="B1324" s="4" t="s">
        <v>848</v>
      </c>
      <c r="C1324" s="34">
        <v>3.1</v>
      </c>
      <c r="D1324" s="34"/>
    </row>
    <row r="1325" spans="1:4" s="25" customFormat="1" hidden="1" x14ac:dyDescent="0.25">
      <c r="A1325" s="4">
        <v>43550</v>
      </c>
      <c r="B1325" s="4" t="s">
        <v>881</v>
      </c>
      <c r="C1325" s="34">
        <v>390.4</v>
      </c>
      <c r="D1325" s="34"/>
    </row>
    <row r="1326" spans="1:4" s="25" customFormat="1" hidden="1" x14ac:dyDescent="0.25">
      <c r="A1326" s="4">
        <v>43552</v>
      </c>
      <c r="B1326" s="4" t="s">
        <v>882</v>
      </c>
      <c r="C1326" s="34">
        <v>724</v>
      </c>
      <c r="D1326" s="34"/>
    </row>
    <row r="1327" spans="1:4" s="25" customFormat="1" hidden="1" x14ac:dyDescent="0.25">
      <c r="A1327" s="4">
        <v>43553</v>
      </c>
      <c r="B1327" s="4" t="s">
        <v>883</v>
      </c>
      <c r="C1327" s="34">
        <v>290</v>
      </c>
      <c r="D1327" s="34"/>
    </row>
    <row r="1328" spans="1:4" s="25" customFormat="1" hidden="1" x14ac:dyDescent="0.25">
      <c r="A1328" s="4">
        <v>43553</v>
      </c>
      <c r="B1328" s="4" t="s">
        <v>716</v>
      </c>
      <c r="C1328" s="34">
        <v>4.38</v>
      </c>
      <c r="D1328" s="34"/>
    </row>
    <row r="1329" spans="1:4" s="25" customFormat="1" hidden="1" x14ac:dyDescent="0.25">
      <c r="A1329" s="4">
        <v>43557</v>
      </c>
      <c r="B1329" s="4" t="s">
        <v>757</v>
      </c>
      <c r="C1329" s="34">
        <v>2.21</v>
      </c>
      <c r="D1329" s="34"/>
    </row>
    <row r="1330" spans="1:4" s="25" customFormat="1" hidden="1" x14ac:dyDescent="0.25">
      <c r="A1330" s="4">
        <v>43558</v>
      </c>
      <c r="B1330" s="4" t="s">
        <v>884</v>
      </c>
      <c r="C1330" s="34"/>
      <c r="D1330" s="34">
        <v>299.64999999999998</v>
      </c>
    </row>
    <row r="1331" spans="1:4" s="25" customFormat="1" hidden="1" x14ac:dyDescent="0.25">
      <c r="A1331" s="4">
        <v>43558</v>
      </c>
      <c r="B1331" s="4" t="s">
        <v>885</v>
      </c>
      <c r="C1331" s="34"/>
      <c r="D1331" s="34">
        <v>81.02</v>
      </c>
    </row>
    <row r="1332" spans="1:4" s="25" customFormat="1" hidden="1" x14ac:dyDescent="0.25">
      <c r="A1332" s="4">
        <v>43559</v>
      </c>
      <c r="B1332" s="4" t="s">
        <v>886</v>
      </c>
      <c r="C1332" s="34"/>
      <c r="D1332" s="34">
        <v>18626.490000000002</v>
      </c>
    </row>
    <row r="1333" spans="1:4" s="25" customFormat="1" hidden="1" x14ac:dyDescent="0.25">
      <c r="A1333" s="4">
        <v>43559</v>
      </c>
      <c r="B1333" s="4" t="s">
        <v>887</v>
      </c>
      <c r="C1333" s="34">
        <v>21604.26</v>
      </c>
      <c r="D1333" s="34"/>
    </row>
    <row r="1334" spans="1:4" s="25" customFormat="1" hidden="1" x14ac:dyDescent="0.25">
      <c r="A1334" s="4">
        <v>43560</v>
      </c>
      <c r="B1334" s="4" t="s">
        <v>795</v>
      </c>
      <c r="C1334" s="34">
        <v>478.09</v>
      </c>
      <c r="D1334" s="34"/>
    </row>
    <row r="1335" spans="1:4" s="25" customFormat="1" hidden="1" x14ac:dyDescent="0.25">
      <c r="A1335" s="4">
        <v>43564</v>
      </c>
      <c r="B1335" s="4" t="s">
        <v>888</v>
      </c>
      <c r="C1335" s="34">
        <v>70.239999999999995</v>
      </c>
      <c r="D1335" s="34"/>
    </row>
    <row r="1336" spans="1:4" s="25" customFormat="1" hidden="1" x14ac:dyDescent="0.25">
      <c r="A1336" s="4">
        <v>43565</v>
      </c>
      <c r="B1336" s="4" t="s">
        <v>889</v>
      </c>
      <c r="C1336" s="34">
        <v>1688</v>
      </c>
      <c r="D1336" s="34"/>
    </row>
    <row r="1337" spans="1:4" s="25" customFormat="1" hidden="1" x14ac:dyDescent="0.25">
      <c r="A1337" s="4">
        <v>43571</v>
      </c>
      <c r="B1337" s="4" t="s">
        <v>890</v>
      </c>
      <c r="C1337" s="34">
        <v>134.66999999999999</v>
      </c>
      <c r="D1337" s="34"/>
    </row>
    <row r="1338" spans="1:4" s="25" customFormat="1" hidden="1" x14ac:dyDescent="0.25">
      <c r="A1338" s="4">
        <v>43573</v>
      </c>
      <c r="B1338" s="4" t="s">
        <v>891</v>
      </c>
      <c r="C1338" s="34">
        <v>177.8</v>
      </c>
      <c r="D1338" s="34"/>
    </row>
    <row r="1339" spans="1:4" s="25" customFormat="1" hidden="1" x14ac:dyDescent="0.25">
      <c r="A1339" s="4">
        <v>43578</v>
      </c>
      <c r="B1339" s="4" t="s">
        <v>782</v>
      </c>
      <c r="C1339" s="34">
        <v>309.26</v>
      </c>
      <c r="D1339" s="34"/>
    </row>
    <row r="1340" spans="1:4" s="25" customFormat="1" hidden="1" x14ac:dyDescent="0.25">
      <c r="A1340" s="4">
        <v>43585</v>
      </c>
      <c r="B1340" s="4" t="s">
        <v>716</v>
      </c>
      <c r="C1340" s="34">
        <v>6.74</v>
      </c>
      <c r="D1340" s="34"/>
    </row>
    <row r="1341" spans="1:4" s="25" customFormat="1" hidden="1" x14ac:dyDescent="0.25">
      <c r="A1341" s="4">
        <v>43587</v>
      </c>
      <c r="B1341" s="4" t="s">
        <v>757</v>
      </c>
      <c r="C1341" s="34">
        <v>3.37</v>
      </c>
      <c r="D1341" s="34"/>
    </row>
    <row r="1342" spans="1:4" s="25" customFormat="1" hidden="1" x14ac:dyDescent="0.25">
      <c r="A1342" s="4">
        <v>43588</v>
      </c>
      <c r="B1342" s="4" t="s">
        <v>892</v>
      </c>
      <c r="C1342" s="34"/>
      <c r="D1342" s="34">
        <v>297.79000000000002</v>
      </c>
    </row>
    <row r="1343" spans="1:4" s="25" customFormat="1" hidden="1" x14ac:dyDescent="0.25">
      <c r="A1343" s="4">
        <v>43588</v>
      </c>
      <c r="B1343" s="4" t="s">
        <v>893</v>
      </c>
      <c r="C1343" s="34"/>
      <c r="D1343" s="34">
        <v>79.069999999999993</v>
      </c>
    </row>
    <row r="1344" spans="1:4" s="25" customFormat="1" hidden="1" x14ac:dyDescent="0.25">
      <c r="A1344" s="4">
        <v>43593</v>
      </c>
      <c r="B1344" s="4" t="s">
        <v>894</v>
      </c>
      <c r="C1344" s="34">
        <v>80000</v>
      </c>
      <c r="D1344" s="34"/>
    </row>
    <row r="1345" spans="1:4" s="25" customFormat="1" hidden="1" x14ac:dyDescent="0.25">
      <c r="A1345" s="4">
        <v>43593</v>
      </c>
      <c r="B1345" s="4" t="s">
        <v>895</v>
      </c>
      <c r="C1345" s="34">
        <v>534.36</v>
      </c>
      <c r="D1345" s="34"/>
    </row>
    <row r="1346" spans="1:4" s="25" customFormat="1" hidden="1" x14ac:dyDescent="0.25">
      <c r="A1346" s="4">
        <v>43599</v>
      </c>
      <c r="B1346" s="4" t="s">
        <v>768</v>
      </c>
      <c r="C1346" s="34">
        <v>20000</v>
      </c>
      <c r="D1346" s="34"/>
    </row>
    <row r="1347" spans="1:4" s="25" customFormat="1" hidden="1" x14ac:dyDescent="0.25">
      <c r="A1347" s="4">
        <v>43599</v>
      </c>
      <c r="B1347" s="4" t="s">
        <v>896</v>
      </c>
      <c r="C1347" s="34"/>
      <c r="D1347" s="34">
        <v>80000</v>
      </c>
    </row>
    <row r="1348" spans="1:4" s="25" customFormat="1" hidden="1" x14ac:dyDescent="0.25">
      <c r="A1348" s="4">
        <v>43601</v>
      </c>
      <c r="B1348" s="4" t="s">
        <v>897</v>
      </c>
      <c r="C1348" s="34"/>
      <c r="D1348" s="34">
        <v>4293.38</v>
      </c>
    </row>
    <row r="1349" spans="1:4" s="25" customFormat="1" hidden="1" x14ac:dyDescent="0.25">
      <c r="A1349" s="4">
        <v>43602</v>
      </c>
      <c r="B1349" s="4" t="s">
        <v>898</v>
      </c>
      <c r="C1349" s="34"/>
      <c r="D1349" s="34">
        <v>20619.2</v>
      </c>
    </row>
    <row r="1350" spans="1:4" s="25" customFormat="1" hidden="1" x14ac:dyDescent="0.25">
      <c r="A1350" s="4">
        <v>43614</v>
      </c>
      <c r="B1350" s="4" t="s">
        <v>899</v>
      </c>
      <c r="C1350" s="34"/>
      <c r="D1350" s="34">
        <v>9068.48</v>
      </c>
    </row>
    <row r="1351" spans="1:4" s="25" customFormat="1" hidden="1" x14ac:dyDescent="0.25">
      <c r="A1351" s="4">
        <v>43616</v>
      </c>
      <c r="B1351" s="4" t="s">
        <v>716</v>
      </c>
      <c r="C1351" s="34">
        <v>13.6</v>
      </c>
      <c r="D1351" s="34"/>
    </row>
    <row r="1352" spans="1:4" s="25" customFormat="1" hidden="1" x14ac:dyDescent="0.25">
      <c r="A1352" s="4">
        <v>43616</v>
      </c>
      <c r="B1352" s="4" t="s">
        <v>900</v>
      </c>
      <c r="C1352" s="34">
        <v>7333.59</v>
      </c>
      <c r="D1352" s="34"/>
    </row>
    <row r="1353" spans="1:4" s="25" customFormat="1" hidden="1" x14ac:dyDescent="0.25">
      <c r="A1353" s="4">
        <v>43619</v>
      </c>
      <c r="B1353" s="4" t="s">
        <v>901</v>
      </c>
      <c r="C1353" s="34"/>
      <c r="D1353" s="34">
        <v>6093.6</v>
      </c>
    </row>
    <row r="1354" spans="1:4" s="25" customFormat="1" hidden="1" x14ac:dyDescent="0.25">
      <c r="A1354" s="4">
        <v>43620</v>
      </c>
      <c r="B1354" s="4" t="s">
        <v>757</v>
      </c>
      <c r="C1354" s="34">
        <v>6.79</v>
      </c>
      <c r="D1354" s="34"/>
    </row>
    <row r="1355" spans="1:4" s="25" customFormat="1" hidden="1" x14ac:dyDescent="0.25">
      <c r="A1355" s="4">
        <v>43621</v>
      </c>
      <c r="B1355" s="4" t="s">
        <v>902</v>
      </c>
      <c r="C1355" s="34"/>
      <c r="D1355" s="34">
        <v>82.43</v>
      </c>
    </row>
    <row r="1356" spans="1:4" s="25" customFormat="1" hidden="1" x14ac:dyDescent="0.25">
      <c r="A1356" s="4">
        <v>43621</v>
      </c>
      <c r="B1356" s="4" t="s">
        <v>903</v>
      </c>
      <c r="C1356" s="34"/>
      <c r="D1356" s="34">
        <v>315.44</v>
      </c>
    </row>
    <row r="1357" spans="1:4" s="25" customFormat="1" hidden="1" x14ac:dyDescent="0.25">
      <c r="A1357" s="4">
        <v>43640</v>
      </c>
      <c r="B1357" s="4" t="s">
        <v>904</v>
      </c>
      <c r="C1357" s="34">
        <v>490.68</v>
      </c>
      <c r="D1357" s="34"/>
    </row>
    <row r="1358" spans="1:4" s="25" customFormat="1" hidden="1" x14ac:dyDescent="0.25">
      <c r="A1358" s="4">
        <v>43642</v>
      </c>
      <c r="B1358" s="4" t="s">
        <v>905</v>
      </c>
      <c r="C1358" s="34">
        <v>590</v>
      </c>
      <c r="D1358" s="34"/>
    </row>
    <row r="1359" spans="1:4" s="25" customFormat="1" hidden="1" x14ac:dyDescent="0.25">
      <c r="A1359" s="4">
        <v>43644</v>
      </c>
      <c r="B1359" s="4" t="s">
        <v>716</v>
      </c>
      <c r="C1359" s="34">
        <v>2.16</v>
      </c>
      <c r="D1359" s="34"/>
    </row>
    <row r="1360" spans="1:4" s="25" customFormat="1" hidden="1" x14ac:dyDescent="0.25">
      <c r="A1360" s="4"/>
      <c r="B1360" s="4"/>
      <c r="C1360" s="34"/>
      <c r="D1360" s="34"/>
    </row>
    <row r="1361" spans="1:5" s="25" customFormat="1" hidden="1" x14ac:dyDescent="0.25">
      <c r="A1361" s="4"/>
      <c r="B1361" s="4"/>
      <c r="C1361" s="34"/>
      <c r="D1361" s="34"/>
    </row>
    <row r="1362" spans="1:5" s="25" customFormat="1" hidden="1" x14ac:dyDescent="0.25">
      <c r="A1362" s="4"/>
      <c r="B1362" s="4"/>
      <c r="C1362" s="34"/>
      <c r="D1362" s="34"/>
    </row>
    <row r="1363" spans="1:5" s="25" customFormat="1" hidden="1" x14ac:dyDescent="0.25">
      <c r="A1363" s="4">
        <v>43646</v>
      </c>
      <c r="B1363" t="s">
        <v>14</v>
      </c>
      <c r="C1363" s="36">
        <f>SUM(C1230:C1362)</f>
        <v>512772.78000000014</v>
      </c>
      <c r="D1363" s="36">
        <f>SUM(D1230:D1362)</f>
        <v>506974.50999999995</v>
      </c>
    </row>
    <row r="1364" spans="1:5" s="25" customFormat="1" hidden="1" x14ac:dyDescent="0.25">
      <c r="A1364" s="4"/>
      <c r="B1364" s="4" t="s">
        <v>15</v>
      </c>
      <c r="C1364" s="34">
        <f>IF(C1363&gt;D1363,C1363-D1363," ")</f>
        <v>5798.2700000001932</v>
      </c>
      <c r="D1364" s="34" t="str">
        <f>IF(D1363&gt;C1363,D1363-C1363," ")</f>
        <v xml:space="preserve"> </v>
      </c>
    </row>
    <row r="1365" spans="1:5" s="25" customFormat="1" hidden="1" x14ac:dyDescent="0.25">
      <c r="A1365" s="4">
        <v>43648</v>
      </c>
      <c r="B1365" s="4" t="s">
        <v>757</v>
      </c>
      <c r="C1365" s="34">
        <v>1.1000000000000001</v>
      </c>
      <c r="D1365" s="34"/>
      <c r="E1365" s="34"/>
    </row>
    <row r="1366" spans="1:5" s="25" customFormat="1" hidden="1" x14ac:dyDescent="0.25">
      <c r="A1366" s="4">
        <v>43649</v>
      </c>
      <c r="B1366" s="4" t="s">
        <v>919</v>
      </c>
      <c r="C1366" s="34"/>
      <c r="D1366" s="34">
        <v>308.47000000000003</v>
      </c>
      <c r="E1366" s="34"/>
    </row>
    <row r="1367" spans="1:5" s="25" customFormat="1" hidden="1" x14ac:dyDescent="0.25">
      <c r="A1367" s="4">
        <v>43649</v>
      </c>
      <c r="B1367" s="4" t="s">
        <v>920</v>
      </c>
      <c r="C1367" s="34"/>
      <c r="D1367" s="34">
        <v>79.5</v>
      </c>
      <c r="E1367" s="34"/>
    </row>
    <row r="1368" spans="1:5" s="25" customFormat="1" hidden="1" x14ac:dyDescent="0.25">
      <c r="A1368" s="4">
        <v>43649</v>
      </c>
      <c r="B1368" s="4" t="s">
        <v>921</v>
      </c>
      <c r="C1368" s="34">
        <v>448.2</v>
      </c>
      <c r="D1368" s="34"/>
      <c r="E1368" s="34"/>
    </row>
    <row r="1369" spans="1:5" s="25" customFormat="1" hidden="1" x14ac:dyDescent="0.25">
      <c r="A1369" s="4">
        <v>43651</v>
      </c>
      <c r="B1369" s="4" t="s">
        <v>848</v>
      </c>
      <c r="C1369" s="34">
        <v>3.12</v>
      </c>
      <c r="D1369" s="34"/>
      <c r="E1369" s="34"/>
    </row>
    <row r="1370" spans="1:5" s="25" customFormat="1" hidden="1" x14ac:dyDescent="0.25">
      <c r="A1370" s="4">
        <v>43657</v>
      </c>
      <c r="B1370" s="4" t="s">
        <v>922</v>
      </c>
      <c r="C1370" s="34">
        <v>118.16</v>
      </c>
      <c r="D1370" s="34"/>
      <c r="E1370" s="34"/>
    </row>
    <row r="1371" spans="1:5" s="25" customFormat="1" hidden="1" x14ac:dyDescent="0.25">
      <c r="A1371" s="4">
        <v>43658</v>
      </c>
      <c r="B1371" s="4" t="s">
        <v>795</v>
      </c>
      <c r="C1371" s="34">
        <v>1372.74</v>
      </c>
      <c r="D1371" s="34"/>
      <c r="E1371" s="34"/>
    </row>
    <row r="1372" spans="1:5" s="25" customFormat="1" hidden="1" x14ac:dyDescent="0.25">
      <c r="A1372" s="4">
        <v>43662</v>
      </c>
      <c r="B1372" s="4" t="s">
        <v>923</v>
      </c>
      <c r="C1372" s="34"/>
      <c r="D1372" s="34">
        <v>14985.55</v>
      </c>
      <c r="E1372" s="34"/>
    </row>
    <row r="1373" spans="1:5" s="25" customFormat="1" hidden="1" x14ac:dyDescent="0.25">
      <c r="A1373" s="4">
        <v>43662</v>
      </c>
      <c r="B1373" s="4" t="s">
        <v>924</v>
      </c>
      <c r="C1373" s="34">
        <v>634.55999999999995</v>
      </c>
      <c r="D1373" s="34"/>
      <c r="E1373" s="34"/>
    </row>
    <row r="1374" spans="1:5" s="25" customFormat="1" hidden="1" x14ac:dyDescent="0.25">
      <c r="A1374" s="4">
        <v>43662</v>
      </c>
      <c r="B1374" s="4" t="s">
        <v>925</v>
      </c>
      <c r="C1374" s="34">
        <v>15143.17</v>
      </c>
      <c r="D1374" s="34"/>
      <c r="E1374" s="34"/>
    </row>
    <row r="1375" spans="1:5" s="25" customFormat="1" hidden="1" x14ac:dyDescent="0.25">
      <c r="A1375" s="4">
        <v>43662</v>
      </c>
      <c r="B1375" s="4" t="s">
        <v>828</v>
      </c>
      <c r="C1375" s="34">
        <v>6727.03</v>
      </c>
      <c r="D1375" s="34"/>
      <c r="E1375" s="34"/>
    </row>
    <row r="1376" spans="1:5" s="25" customFormat="1" hidden="1" x14ac:dyDescent="0.25">
      <c r="A1376" s="4">
        <v>43664</v>
      </c>
      <c r="B1376" s="4" t="s">
        <v>782</v>
      </c>
      <c r="C1376" s="34">
        <v>188.88</v>
      </c>
      <c r="D1376" s="34"/>
      <c r="E1376" s="34"/>
    </row>
    <row r="1377" spans="1:5" s="25" customFormat="1" hidden="1" x14ac:dyDescent="0.25">
      <c r="A1377" s="4">
        <v>43664</v>
      </c>
      <c r="B1377" s="4" t="s">
        <v>827</v>
      </c>
      <c r="C1377" s="34">
        <v>4083.84</v>
      </c>
      <c r="D1377" s="34"/>
      <c r="E1377" s="34"/>
    </row>
    <row r="1378" spans="1:5" s="25" customFormat="1" hidden="1" x14ac:dyDescent="0.25">
      <c r="A1378" s="4">
        <v>43675</v>
      </c>
      <c r="B1378" s="4" t="s">
        <v>781</v>
      </c>
      <c r="C1378" s="34">
        <v>893.58</v>
      </c>
      <c r="D1378" s="34"/>
      <c r="E1378" s="34"/>
    </row>
    <row r="1379" spans="1:5" s="25" customFormat="1" hidden="1" x14ac:dyDescent="0.25">
      <c r="A1379" s="4">
        <v>43677</v>
      </c>
      <c r="B1379" s="4" t="s">
        <v>716</v>
      </c>
      <c r="C1379" s="34">
        <v>5.68</v>
      </c>
      <c r="D1379" s="34"/>
      <c r="E1379" s="34"/>
    </row>
    <row r="1380" spans="1:5" s="25" customFormat="1" hidden="1" x14ac:dyDescent="0.25">
      <c r="A1380" s="4">
        <v>43677</v>
      </c>
      <c r="B1380" s="4" t="s">
        <v>926</v>
      </c>
      <c r="C1380" s="34">
        <v>22587.32</v>
      </c>
      <c r="D1380" s="34"/>
      <c r="E1380" s="34"/>
    </row>
    <row r="1381" spans="1:5" s="25" customFormat="1" hidden="1" x14ac:dyDescent="0.25">
      <c r="A1381" s="4">
        <v>43679</v>
      </c>
      <c r="B1381" s="4" t="s">
        <v>757</v>
      </c>
      <c r="C1381" s="34">
        <v>2.85</v>
      </c>
      <c r="D1381" s="34"/>
      <c r="E1381" s="34"/>
    </row>
    <row r="1382" spans="1:5" s="25" customFormat="1" hidden="1" x14ac:dyDescent="0.25">
      <c r="A1382" s="4">
        <v>43682</v>
      </c>
      <c r="B1382" s="4" t="s">
        <v>927</v>
      </c>
      <c r="C1382" s="34"/>
      <c r="D1382" s="34">
        <v>83.15</v>
      </c>
      <c r="E1382" s="34"/>
    </row>
    <row r="1383" spans="1:5" s="25" customFormat="1" hidden="1" x14ac:dyDescent="0.25">
      <c r="A1383" s="4">
        <v>43682</v>
      </c>
      <c r="B1383" s="4" t="s">
        <v>928</v>
      </c>
      <c r="C1383" s="34"/>
      <c r="D1383" s="34">
        <v>329.2</v>
      </c>
      <c r="E1383" s="34"/>
    </row>
    <row r="1384" spans="1:5" s="25" customFormat="1" hidden="1" x14ac:dyDescent="0.25">
      <c r="A1384" s="4">
        <v>43686</v>
      </c>
      <c r="B1384" s="4" t="s">
        <v>929</v>
      </c>
      <c r="C1384" s="34">
        <v>698.1</v>
      </c>
      <c r="D1384" s="34"/>
      <c r="E1384" s="34"/>
    </row>
    <row r="1385" spans="1:5" s="25" customFormat="1" hidden="1" x14ac:dyDescent="0.25">
      <c r="A1385" s="4">
        <v>43704</v>
      </c>
      <c r="B1385" s="4" t="s">
        <v>930</v>
      </c>
      <c r="C1385" s="34"/>
      <c r="D1385" s="34">
        <v>15000</v>
      </c>
      <c r="E1385" s="34"/>
    </row>
    <row r="1386" spans="1:5" s="25" customFormat="1" hidden="1" x14ac:dyDescent="0.25">
      <c r="A1386" s="4">
        <v>43704</v>
      </c>
      <c r="B1386" s="4" t="s">
        <v>931</v>
      </c>
      <c r="C1386" s="34">
        <v>650</v>
      </c>
      <c r="D1386" s="34"/>
      <c r="E1386" s="34"/>
    </row>
    <row r="1387" spans="1:5" s="25" customFormat="1" hidden="1" x14ac:dyDescent="0.25">
      <c r="A1387" s="4">
        <v>43706</v>
      </c>
      <c r="B1387" s="4" t="s">
        <v>787</v>
      </c>
      <c r="C1387" s="34">
        <v>384.1</v>
      </c>
      <c r="D1387" s="34"/>
      <c r="E1387" s="34"/>
    </row>
    <row r="1388" spans="1:5" s="25" customFormat="1" hidden="1" x14ac:dyDescent="0.25">
      <c r="A1388" s="4">
        <v>43706</v>
      </c>
      <c r="B1388" s="4" t="s">
        <v>787</v>
      </c>
      <c r="C1388" s="34">
        <v>897</v>
      </c>
      <c r="D1388" s="34"/>
      <c r="E1388" s="34"/>
    </row>
    <row r="1389" spans="1:5" s="25" customFormat="1" hidden="1" x14ac:dyDescent="0.25">
      <c r="A1389" s="4">
        <v>43707</v>
      </c>
      <c r="B1389" s="4" t="s">
        <v>716</v>
      </c>
      <c r="C1389" s="34">
        <v>17.25</v>
      </c>
      <c r="D1389" s="34"/>
      <c r="E1389" s="34"/>
    </row>
    <row r="1390" spans="1:5" s="25" customFormat="1" hidden="1" x14ac:dyDescent="0.25">
      <c r="A1390" s="4">
        <v>43711</v>
      </c>
      <c r="B1390" s="4" t="s">
        <v>757</v>
      </c>
      <c r="C1390" s="34">
        <v>8.6199999999999992</v>
      </c>
      <c r="D1390" s="34"/>
      <c r="E1390" s="34"/>
    </row>
    <row r="1391" spans="1:5" s="25" customFormat="1" hidden="1" x14ac:dyDescent="0.25">
      <c r="A1391" s="4">
        <v>43712</v>
      </c>
      <c r="B1391" s="4" t="s">
        <v>932</v>
      </c>
      <c r="C1391" s="34"/>
      <c r="D1391" s="34">
        <v>328.06</v>
      </c>
      <c r="E1391" s="34"/>
    </row>
    <row r="1392" spans="1:5" s="25" customFormat="1" hidden="1" x14ac:dyDescent="0.25">
      <c r="A1392" s="4">
        <v>43712</v>
      </c>
      <c r="B1392" s="4" t="s">
        <v>933</v>
      </c>
      <c r="C1392" s="34"/>
      <c r="D1392" s="34">
        <v>82.66</v>
      </c>
      <c r="E1392" s="34"/>
    </row>
    <row r="1393" spans="1:5" s="25" customFormat="1" hidden="1" x14ac:dyDescent="0.25">
      <c r="A1393" s="4">
        <v>43712</v>
      </c>
      <c r="B1393" s="4" t="s">
        <v>934</v>
      </c>
      <c r="C1393" s="34">
        <v>12125.67</v>
      </c>
      <c r="D1393" s="34"/>
      <c r="E1393" s="34"/>
    </row>
    <row r="1394" spans="1:5" s="25" customFormat="1" hidden="1" x14ac:dyDescent="0.25">
      <c r="A1394" s="4">
        <v>43714</v>
      </c>
      <c r="B1394" s="4" t="s">
        <v>935</v>
      </c>
      <c r="C1394" s="34">
        <v>27000</v>
      </c>
      <c r="D1394" s="34"/>
      <c r="E1394" s="34"/>
    </row>
    <row r="1395" spans="1:5" s="25" customFormat="1" hidden="1" x14ac:dyDescent="0.25">
      <c r="A1395" s="4">
        <v>43721</v>
      </c>
      <c r="B1395" s="4" t="s">
        <v>936</v>
      </c>
      <c r="C1395" s="34"/>
      <c r="D1395" s="34">
        <v>39975</v>
      </c>
      <c r="E1395" s="34"/>
    </row>
    <row r="1396" spans="1:5" s="25" customFormat="1" hidden="1" x14ac:dyDescent="0.25">
      <c r="A1396" s="4">
        <v>43724</v>
      </c>
      <c r="B1396" s="4" t="s">
        <v>937</v>
      </c>
      <c r="C1396" s="34"/>
      <c r="D1396" s="34">
        <v>4554.66</v>
      </c>
      <c r="E1396" s="34"/>
    </row>
    <row r="1397" spans="1:5" s="25" customFormat="1" hidden="1" x14ac:dyDescent="0.25">
      <c r="A1397" s="4">
        <v>43724</v>
      </c>
      <c r="B1397" s="4" t="s">
        <v>938</v>
      </c>
      <c r="C1397" s="34"/>
      <c r="D1397" s="34">
        <v>4940.32</v>
      </c>
      <c r="E1397" s="34"/>
    </row>
    <row r="1398" spans="1:5" s="25" customFormat="1" hidden="1" x14ac:dyDescent="0.25">
      <c r="A1398" s="4">
        <v>43724</v>
      </c>
      <c r="B1398" s="4" t="s">
        <v>939</v>
      </c>
      <c r="C1398" s="34">
        <v>216.9</v>
      </c>
      <c r="D1398" s="34"/>
      <c r="E1398" s="34"/>
    </row>
    <row r="1399" spans="1:5" s="25" customFormat="1" hidden="1" x14ac:dyDescent="0.25">
      <c r="A1399" s="4">
        <v>43728</v>
      </c>
      <c r="B1399" s="4" t="s">
        <v>940</v>
      </c>
      <c r="C1399" s="34">
        <v>376.4</v>
      </c>
      <c r="D1399" s="34"/>
      <c r="E1399" s="34"/>
    </row>
    <row r="1400" spans="1:5" s="25" customFormat="1" hidden="1" x14ac:dyDescent="0.25">
      <c r="A1400" s="4">
        <v>43733</v>
      </c>
      <c r="B1400" s="4" t="s">
        <v>941</v>
      </c>
      <c r="C1400" s="34">
        <v>568.51</v>
      </c>
      <c r="D1400" s="34"/>
      <c r="E1400" s="34"/>
    </row>
    <row r="1401" spans="1:5" s="25" customFormat="1" hidden="1" x14ac:dyDescent="0.25">
      <c r="A1401" s="4">
        <v>43733</v>
      </c>
      <c r="B1401" s="4" t="s">
        <v>942</v>
      </c>
      <c r="C1401" s="34">
        <v>391.5</v>
      </c>
      <c r="D1401" s="34"/>
      <c r="E1401" s="34"/>
    </row>
    <row r="1402" spans="1:5" s="25" customFormat="1" hidden="1" x14ac:dyDescent="0.25">
      <c r="A1402" s="4">
        <v>43733</v>
      </c>
      <c r="B1402" s="4" t="s">
        <v>943</v>
      </c>
      <c r="C1402" s="34">
        <v>187.5</v>
      </c>
      <c r="D1402" s="34"/>
      <c r="E1402" s="34"/>
    </row>
    <row r="1403" spans="1:5" s="25" customFormat="1" hidden="1" x14ac:dyDescent="0.25">
      <c r="A1403" s="4">
        <v>43734</v>
      </c>
      <c r="B1403" s="4" t="s">
        <v>944</v>
      </c>
      <c r="C1403" s="34">
        <v>299.62</v>
      </c>
      <c r="D1403" s="34"/>
      <c r="E1403" s="34"/>
    </row>
    <row r="1404" spans="1:5" s="25" customFormat="1" hidden="1" x14ac:dyDescent="0.25">
      <c r="A1404" s="4">
        <v>43734</v>
      </c>
      <c r="B1404" s="4" t="s">
        <v>945</v>
      </c>
      <c r="C1404" s="34">
        <v>836.22</v>
      </c>
      <c r="D1404" s="34"/>
      <c r="E1404" s="34"/>
    </row>
    <row r="1405" spans="1:5" s="25" customFormat="1" hidden="1" x14ac:dyDescent="0.25">
      <c r="A1405" s="4">
        <v>43734</v>
      </c>
      <c r="B1405" s="4" t="s">
        <v>946</v>
      </c>
      <c r="C1405" s="34">
        <v>16254.86</v>
      </c>
      <c r="D1405" s="34"/>
      <c r="E1405" s="34"/>
    </row>
    <row r="1406" spans="1:5" s="25" customFormat="1" hidden="1" x14ac:dyDescent="0.25">
      <c r="A1406" s="4">
        <v>43735</v>
      </c>
      <c r="B1406" s="4" t="s">
        <v>883</v>
      </c>
      <c r="C1406" s="34">
        <v>435</v>
      </c>
      <c r="D1406" s="34"/>
      <c r="E1406" s="34"/>
    </row>
    <row r="1407" spans="1:5" s="25" customFormat="1" hidden="1" x14ac:dyDescent="0.25">
      <c r="A1407" s="4">
        <v>43738</v>
      </c>
      <c r="B1407" s="4" t="s">
        <v>716</v>
      </c>
      <c r="C1407" s="34">
        <v>7.7</v>
      </c>
      <c r="D1407" s="34"/>
      <c r="E1407" s="34"/>
    </row>
    <row r="1408" spans="1:5" s="25" customFormat="1" hidden="1" x14ac:dyDescent="0.25">
      <c r="A1408" s="4">
        <v>43740</v>
      </c>
      <c r="B1408" s="4" t="s">
        <v>757</v>
      </c>
      <c r="C1408" s="34">
        <v>7.73</v>
      </c>
      <c r="D1408" s="34"/>
      <c r="E1408" s="34"/>
    </row>
    <row r="1409" spans="1:5" s="25" customFormat="1" hidden="1" x14ac:dyDescent="0.25">
      <c r="A1409" s="4">
        <v>43741</v>
      </c>
      <c r="B1409" s="4" t="s">
        <v>947</v>
      </c>
      <c r="C1409" s="34"/>
      <c r="D1409" s="34">
        <v>316.36</v>
      </c>
      <c r="E1409" s="34"/>
    </row>
    <row r="1410" spans="1:5" s="25" customFormat="1" hidden="1" x14ac:dyDescent="0.25">
      <c r="A1410" s="4">
        <v>43741</v>
      </c>
      <c r="B1410" s="4" t="s">
        <v>948</v>
      </c>
      <c r="C1410" s="34"/>
      <c r="D1410" s="34">
        <v>80.489999999999995</v>
      </c>
      <c r="E1410" s="34"/>
    </row>
    <row r="1411" spans="1:5" s="25" customFormat="1" hidden="1" x14ac:dyDescent="0.25">
      <c r="A1411" s="4">
        <v>43747</v>
      </c>
      <c r="B1411" s="4" t="s">
        <v>949</v>
      </c>
      <c r="C1411" s="34">
        <v>658.32</v>
      </c>
      <c r="D1411" s="34"/>
      <c r="E1411" s="34"/>
    </row>
    <row r="1412" spans="1:5" s="25" customFormat="1" hidden="1" x14ac:dyDescent="0.25">
      <c r="A1412" s="4">
        <v>43748</v>
      </c>
      <c r="B1412" s="4" t="s">
        <v>795</v>
      </c>
      <c r="C1412" s="34">
        <v>99.98</v>
      </c>
      <c r="D1412" s="34"/>
      <c r="E1412" s="34"/>
    </row>
    <row r="1413" spans="1:5" s="25" customFormat="1" hidden="1" x14ac:dyDescent="0.25">
      <c r="A1413" s="4">
        <v>43748</v>
      </c>
      <c r="B1413" s="4" t="s">
        <v>848</v>
      </c>
      <c r="C1413" s="34">
        <v>3.18</v>
      </c>
      <c r="D1413" s="34"/>
      <c r="E1413" s="34"/>
    </row>
    <row r="1414" spans="1:5" s="25" customFormat="1" hidden="1" x14ac:dyDescent="0.25">
      <c r="A1414" s="4">
        <v>43749</v>
      </c>
      <c r="B1414" s="4" t="s">
        <v>782</v>
      </c>
      <c r="C1414" s="34">
        <v>191.72</v>
      </c>
      <c r="D1414" s="34"/>
      <c r="E1414" s="34"/>
    </row>
    <row r="1415" spans="1:5" s="25" customFormat="1" hidden="1" x14ac:dyDescent="0.25">
      <c r="A1415" s="4">
        <v>43754</v>
      </c>
      <c r="B1415" s="4" t="s">
        <v>950</v>
      </c>
      <c r="C1415" s="34">
        <v>128.86000000000001</v>
      </c>
      <c r="D1415" s="34"/>
      <c r="E1415" s="34"/>
    </row>
    <row r="1416" spans="1:5" s="25" customFormat="1" hidden="1" x14ac:dyDescent="0.25">
      <c r="A1416" s="4">
        <v>43769</v>
      </c>
      <c r="B1416" s="4" t="s">
        <v>716</v>
      </c>
      <c r="C1416" s="34">
        <v>0.8</v>
      </c>
      <c r="D1416" s="34"/>
      <c r="E1416" s="34"/>
    </row>
    <row r="1417" spans="1:5" s="25" customFormat="1" hidden="1" x14ac:dyDescent="0.25">
      <c r="A1417" s="4">
        <v>43773</v>
      </c>
      <c r="B1417" s="4" t="s">
        <v>757</v>
      </c>
      <c r="C1417" s="34">
        <v>8.3000000000000007</v>
      </c>
      <c r="D1417" s="34"/>
      <c r="E1417" s="34"/>
    </row>
    <row r="1418" spans="1:5" s="25" customFormat="1" hidden="1" x14ac:dyDescent="0.25">
      <c r="A1418" s="4">
        <v>43774</v>
      </c>
      <c r="B1418" s="4" t="s">
        <v>951</v>
      </c>
      <c r="C1418" s="34"/>
      <c r="D1418" s="34">
        <v>324.89999999999998</v>
      </c>
      <c r="E1418" s="34"/>
    </row>
    <row r="1419" spans="1:5" s="25" customFormat="1" hidden="1" x14ac:dyDescent="0.25">
      <c r="A1419" s="4">
        <v>43774</v>
      </c>
      <c r="B1419" s="4" t="s">
        <v>952</v>
      </c>
      <c r="C1419" s="34"/>
      <c r="D1419" s="34">
        <v>83.11</v>
      </c>
      <c r="E1419" s="34"/>
    </row>
    <row r="1420" spans="1:5" s="25" customFormat="1" hidden="1" x14ac:dyDescent="0.25">
      <c r="A1420" s="4">
        <v>43776</v>
      </c>
      <c r="B1420" s="4" t="s">
        <v>953</v>
      </c>
      <c r="C1420" s="34">
        <v>14868.81</v>
      </c>
      <c r="D1420" s="34"/>
      <c r="E1420" s="34"/>
    </row>
    <row r="1421" spans="1:5" s="25" customFormat="1" hidden="1" x14ac:dyDescent="0.25">
      <c r="A1421" s="4">
        <v>43776</v>
      </c>
      <c r="B1421" s="4" t="s">
        <v>954</v>
      </c>
      <c r="C1421" s="34">
        <v>44313.09</v>
      </c>
      <c r="D1421" s="34"/>
      <c r="E1421" s="34"/>
    </row>
    <row r="1422" spans="1:5" s="25" customFormat="1" hidden="1" x14ac:dyDescent="0.25">
      <c r="A1422" s="4">
        <v>43777</v>
      </c>
      <c r="B1422" s="4" t="s">
        <v>955</v>
      </c>
      <c r="C1422" s="34">
        <v>3000</v>
      </c>
      <c r="D1422" s="34"/>
      <c r="E1422" s="34"/>
    </row>
    <row r="1423" spans="1:5" s="25" customFormat="1" hidden="1" x14ac:dyDescent="0.25">
      <c r="A1423" s="4">
        <v>43781</v>
      </c>
      <c r="B1423" s="4" t="s">
        <v>956</v>
      </c>
      <c r="C1423" s="34">
        <v>80000</v>
      </c>
      <c r="D1423" s="34"/>
      <c r="E1423" s="34"/>
    </row>
    <row r="1424" spans="1:5" s="25" customFormat="1" hidden="1" x14ac:dyDescent="0.25">
      <c r="A1424" s="4">
        <v>43781</v>
      </c>
      <c r="B1424" s="4" t="s">
        <v>831</v>
      </c>
      <c r="C1424" s="34">
        <v>924.34</v>
      </c>
      <c r="D1424" s="34"/>
      <c r="E1424" s="34"/>
    </row>
    <row r="1425" spans="1:5" s="25" customFormat="1" hidden="1" x14ac:dyDescent="0.25">
      <c r="A1425" s="4">
        <v>43783</v>
      </c>
      <c r="B1425" s="4" t="s">
        <v>957</v>
      </c>
      <c r="C1425" s="34"/>
      <c r="D1425" s="34">
        <v>80000</v>
      </c>
      <c r="E1425" s="34"/>
    </row>
    <row r="1426" spans="1:5" s="25" customFormat="1" hidden="1" x14ac:dyDescent="0.25">
      <c r="A1426" s="4">
        <v>43798</v>
      </c>
      <c r="B1426" s="4" t="s">
        <v>958</v>
      </c>
      <c r="C1426" s="34"/>
      <c r="D1426" s="34">
        <v>30000</v>
      </c>
      <c r="E1426" s="34"/>
    </row>
    <row r="1427" spans="1:5" s="25" customFormat="1" hidden="1" x14ac:dyDescent="0.25">
      <c r="A1427" s="4">
        <v>43802</v>
      </c>
      <c r="B1427" s="4" t="s">
        <v>757</v>
      </c>
      <c r="C1427" s="34">
        <v>19.02</v>
      </c>
      <c r="D1427" s="34"/>
      <c r="E1427" s="34"/>
    </row>
    <row r="1428" spans="1:5" s="25" customFormat="1" hidden="1" x14ac:dyDescent="0.25">
      <c r="A1428" s="4">
        <v>43803</v>
      </c>
      <c r="B1428" s="4" t="s">
        <v>959</v>
      </c>
      <c r="C1428" s="34"/>
      <c r="D1428" s="34">
        <v>318.24</v>
      </c>
      <c r="E1428" s="34"/>
    </row>
    <row r="1429" spans="1:5" s="25" customFormat="1" hidden="1" x14ac:dyDescent="0.25">
      <c r="A1429" s="4">
        <v>43803</v>
      </c>
      <c r="B1429" s="4" t="s">
        <v>960</v>
      </c>
      <c r="C1429" s="34"/>
      <c r="D1429" s="34">
        <v>76.569999999999993</v>
      </c>
      <c r="E1429" s="34"/>
    </row>
    <row r="1430" spans="1:5" s="25" customFormat="1" hidden="1" x14ac:dyDescent="0.25">
      <c r="A1430" s="4">
        <v>43816</v>
      </c>
      <c r="B1430" s="4" t="s">
        <v>848</v>
      </c>
      <c r="C1430" s="34">
        <v>3.17</v>
      </c>
      <c r="D1430" s="34"/>
      <c r="E1430" s="34"/>
    </row>
    <row r="1431" spans="1:5" s="25" customFormat="1" hidden="1" x14ac:dyDescent="0.25">
      <c r="A1431" s="4">
        <v>43818</v>
      </c>
      <c r="B1431" s="4" t="s">
        <v>961</v>
      </c>
      <c r="C1431" s="34">
        <v>737.5</v>
      </c>
      <c r="D1431" s="34"/>
      <c r="E1431" s="34"/>
    </row>
    <row r="1432" spans="1:5" s="25" customFormat="1" hidden="1" x14ac:dyDescent="0.25">
      <c r="A1432" s="4">
        <v>43819</v>
      </c>
      <c r="B1432" s="4" t="s">
        <v>962</v>
      </c>
      <c r="C1432" s="34">
        <v>417.6</v>
      </c>
      <c r="D1432" s="34"/>
      <c r="E1432" s="34"/>
    </row>
    <row r="1433" spans="1:5" s="25" customFormat="1" hidden="1" x14ac:dyDescent="0.25">
      <c r="A1433" s="4">
        <v>43833</v>
      </c>
      <c r="B1433" s="4" t="s">
        <v>757</v>
      </c>
      <c r="C1433" s="34">
        <v>15.33</v>
      </c>
      <c r="D1433" s="34"/>
      <c r="E1433" s="34"/>
    </row>
    <row r="1434" spans="1:5" s="25" customFormat="1" hidden="1" x14ac:dyDescent="0.25">
      <c r="A1434" s="4">
        <v>43836</v>
      </c>
      <c r="B1434" s="4" t="s">
        <v>963</v>
      </c>
      <c r="C1434" s="34"/>
      <c r="D1434" s="34">
        <v>341.85</v>
      </c>
      <c r="E1434" s="34"/>
    </row>
    <row r="1435" spans="1:5" s="25" customFormat="1" hidden="1" x14ac:dyDescent="0.25">
      <c r="A1435" s="4">
        <v>43836</v>
      </c>
      <c r="B1435" s="4" t="s">
        <v>964</v>
      </c>
      <c r="C1435" s="34"/>
      <c r="D1435" s="34">
        <v>82.12</v>
      </c>
      <c r="E1435" s="34"/>
    </row>
    <row r="1436" spans="1:5" s="25" customFormat="1" hidden="1" x14ac:dyDescent="0.25">
      <c r="A1436" s="4">
        <v>43845</v>
      </c>
      <c r="B1436" s="4" t="s">
        <v>782</v>
      </c>
      <c r="C1436" s="34">
        <v>197.19</v>
      </c>
      <c r="D1436" s="34"/>
      <c r="E1436" s="34"/>
    </row>
    <row r="1437" spans="1:5" s="25" customFormat="1" hidden="1" x14ac:dyDescent="0.25">
      <c r="A1437" s="4">
        <v>43846</v>
      </c>
      <c r="B1437" s="4" t="s">
        <v>781</v>
      </c>
      <c r="C1437" s="34">
        <v>982.94</v>
      </c>
      <c r="D1437" s="34"/>
      <c r="E1437" s="34"/>
    </row>
    <row r="1438" spans="1:5" s="25" customFormat="1" hidden="1" x14ac:dyDescent="0.25">
      <c r="A1438" s="4">
        <v>43847</v>
      </c>
      <c r="B1438" s="4" t="s">
        <v>965</v>
      </c>
      <c r="C1438" s="34">
        <v>219.59</v>
      </c>
      <c r="D1438" s="34"/>
      <c r="E1438" s="34"/>
    </row>
    <row r="1439" spans="1:5" s="25" customFormat="1" hidden="1" x14ac:dyDescent="0.25">
      <c r="A1439" s="4">
        <v>43850</v>
      </c>
      <c r="B1439" s="4" t="s">
        <v>795</v>
      </c>
      <c r="C1439" s="34">
        <v>135.44999999999999</v>
      </c>
      <c r="D1439" s="34"/>
      <c r="E1439" s="34"/>
    </row>
    <row r="1440" spans="1:5" s="25" customFormat="1" hidden="1" x14ac:dyDescent="0.25">
      <c r="A1440" s="4">
        <v>43865</v>
      </c>
      <c r="B1440" s="4" t="s">
        <v>757</v>
      </c>
      <c r="C1440" s="34">
        <v>15.56</v>
      </c>
      <c r="D1440" s="34"/>
      <c r="E1440" s="34"/>
    </row>
    <row r="1441" spans="1:5" s="25" customFormat="1" hidden="1" x14ac:dyDescent="0.25">
      <c r="A1441" s="4">
        <v>43866</v>
      </c>
      <c r="B1441" s="4" t="s">
        <v>966</v>
      </c>
      <c r="C1441" s="34"/>
      <c r="D1441" s="34">
        <v>350.7</v>
      </c>
      <c r="E1441" s="34"/>
    </row>
    <row r="1442" spans="1:5" s="25" customFormat="1" hidden="1" x14ac:dyDescent="0.25">
      <c r="A1442" s="4">
        <v>43866</v>
      </c>
      <c r="B1442" s="4" t="s">
        <v>967</v>
      </c>
      <c r="C1442" s="34"/>
      <c r="D1442" s="34">
        <v>83</v>
      </c>
      <c r="E1442" s="34"/>
    </row>
    <row r="1443" spans="1:5" s="25" customFormat="1" hidden="1" x14ac:dyDescent="0.25">
      <c r="A1443" s="4">
        <v>43875</v>
      </c>
      <c r="B1443" s="4" t="s">
        <v>968</v>
      </c>
      <c r="C1443" s="34">
        <v>729.12</v>
      </c>
      <c r="D1443" s="34"/>
      <c r="E1443" s="34"/>
    </row>
    <row r="1444" spans="1:5" s="25" customFormat="1" hidden="1" x14ac:dyDescent="0.25">
      <c r="A1444" s="4">
        <v>43881</v>
      </c>
      <c r="B1444" s="4" t="s">
        <v>969</v>
      </c>
      <c r="C1444" s="34">
        <v>568.75</v>
      </c>
      <c r="D1444" s="34"/>
      <c r="E1444" s="34"/>
    </row>
    <row r="1445" spans="1:5" s="25" customFormat="1" hidden="1" x14ac:dyDescent="0.25">
      <c r="A1445" s="4">
        <v>43888</v>
      </c>
      <c r="B1445" s="4" t="s">
        <v>787</v>
      </c>
      <c r="C1445" s="34">
        <v>1068.3499999999999</v>
      </c>
      <c r="D1445" s="34"/>
      <c r="E1445" s="34"/>
    </row>
    <row r="1446" spans="1:5" s="25" customFormat="1" hidden="1" x14ac:dyDescent="0.25">
      <c r="A1446" s="4">
        <v>43893</v>
      </c>
      <c r="B1446" s="4" t="s">
        <v>757</v>
      </c>
      <c r="C1446" s="34">
        <v>14.76</v>
      </c>
      <c r="D1446" s="34"/>
      <c r="E1446" s="34"/>
    </row>
    <row r="1447" spans="1:5" s="25" customFormat="1" hidden="1" x14ac:dyDescent="0.25">
      <c r="A1447" s="4">
        <v>43894</v>
      </c>
      <c r="B1447" s="4" t="s">
        <v>970</v>
      </c>
      <c r="C1447" s="34"/>
      <c r="D1447" s="34">
        <v>330.75</v>
      </c>
      <c r="E1447" s="34"/>
    </row>
    <row r="1448" spans="1:5" s="25" customFormat="1" hidden="1" x14ac:dyDescent="0.25">
      <c r="A1448" s="4">
        <v>43894</v>
      </c>
      <c r="B1448" s="4" t="s">
        <v>971</v>
      </c>
      <c r="C1448" s="34"/>
      <c r="D1448" s="34">
        <v>77.13</v>
      </c>
      <c r="E1448" s="34"/>
    </row>
    <row r="1449" spans="1:5" s="25" customFormat="1" hidden="1" x14ac:dyDescent="0.25">
      <c r="A1449" s="4">
        <v>43910</v>
      </c>
      <c r="B1449" s="4" t="s">
        <v>972</v>
      </c>
      <c r="C1449" s="34">
        <v>587.74</v>
      </c>
      <c r="D1449" s="34"/>
      <c r="E1449" s="34"/>
    </row>
    <row r="1450" spans="1:5" s="25" customFormat="1" hidden="1" x14ac:dyDescent="0.25">
      <c r="A1450" s="4">
        <v>43914</v>
      </c>
      <c r="B1450" s="4" t="s">
        <v>973</v>
      </c>
      <c r="C1450" s="34">
        <v>497.02</v>
      </c>
      <c r="D1450" s="34"/>
      <c r="E1450" s="34"/>
    </row>
    <row r="1451" spans="1:5" s="25" customFormat="1" hidden="1" x14ac:dyDescent="0.25">
      <c r="A1451" s="4">
        <v>43915</v>
      </c>
      <c r="B1451" s="4" t="s">
        <v>974</v>
      </c>
      <c r="C1451" s="34">
        <v>312.5</v>
      </c>
      <c r="D1451" s="34"/>
      <c r="E1451" s="34"/>
    </row>
    <row r="1452" spans="1:5" s="25" customFormat="1" hidden="1" x14ac:dyDescent="0.25">
      <c r="A1452" s="4">
        <v>43917</v>
      </c>
      <c r="B1452" s="4" t="s">
        <v>975</v>
      </c>
      <c r="C1452" s="34">
        <v>253.2</v>
      </c>
      <c r="D1452" s="34"/>
      <c r="E1452" s="34"/>
    </row>
    <row r="1453" spans="1:5" s="25" customFormat="1" hidden="1" x14ac:dyDescent="0.25">
      <c r="A1453" s="4">
        <v>43917</v>
      </c>
      <c r="B1453" s="4" t="s">
        <v>883</v>
      </c>
      <c r="C1453" s="34">
        <v>435</v>
      </c>
      <c r="D1453" s="34"/>
      <c r="E1453" s="34"/>
    </row>
    <row r="1454" spans="1:5" s="25" customFormat="1" hidden="1" x14ac:dyDescent="0.25">
      <c r="A1454" s="4">
        <v>43921</v>
      </c>
      <c r="B1454" s="4" t="s">
        <v>976</v>
      </c>
      <c r="C1454" s="34">
        <v>633</v>
      </c>
      <c r="D1454" s="34"/>
      <c r="E1454" s="34"/>
    </row>
    <row r="1455" spans="1:5" s="25" customFormat="1" hidden="1" x14ac:dyDescent="0.25">
      <c r="A1455" s="4">
        <v>43921</v>
      </c>
      <c r="B1455" s="4" t="s">
        <v>977</v>
      </c>
      <c r="C1455" s="34">
        <v>724</v>
      </c>
      <c r="D1455" s="34"/>
      <c r="E1455" s="34"/>
    </row>
    <row r="1456" spans="1:5" s="25" customFormat="1" hidden="1" x14ac:dyDescent="0.25">
      <c r="A1456" s="4">
        <v>43923</v>
      </c>
      <c r="B1456" s="4" t="s">
        <v>757</v>
      </c>
      <c r="C1456" s="34">
        <v>16.170000000000002</v>
      </c>
      <c r="D1456" s="34"/>
      <c r="E1456" s="34"/>
    </row>
    <row r="1457" spans="1:5" s="25" customFormat="1" hidden="1" x14ac:dyDescent="0.25">
      <c r="A1457" s="4">
        <v>43924</v>
      </c>
      <c r="B1457" s="4" t="s">
        <v>978</v>
      </c>
      <c r="C1457" s="34"/>
      <c r="D1457" s="34">
        <v>291.42</v>
      </c>
      <c r="E1457" s="34"/>
    </row>
    <row r="1458" spans="1:5" s="25" customFormat="1" hidden="1" x14ac:dyDescent="0.25">
      <c r="A1458" s="4">
        <v>43924</v>
      </c>
      <c r="B1458" s="4" t="s">
        <v>979</v>
      </c>
      <c r="C1458" s="34"/>
      <c r="D1458" s="34">
        <v>75.45</v>
      </c>
      <c r="E1458" s="34"/>
    </row>
    <row r="1459" spans="1:5" s="25" customFormat="1" hidden="1" x14ac:dyDescent="0.25">
      <c r="A1459" s="4">
        <v>43937</v>
      </c>
      <c r="B1459" s="4" t="s">
        <v>782</v>
      </c>
      <c r="C1459" s="34">
        <v>195.57</v>
      </c>
      <c r="D1459" s="34"/>
      <c r="E1459" s="34"/>
    </row>
    <row r="1460" spans="1:5" s="25" customFormat="1" hidden="1" x14ac:dyDescent="0.25">
      <c r="A1460" s="4">
        <v>43941</v>
      </c>
      <c r="B1460" s="4" t="s">
        <v>980</v>
      </c>
      <c r="C1460" s="34">
        <v>166.27</v>
      </c>
      <c r="D1460" s="34"/>
      <c r="E1460" s="34"/>
    </row>
    <row r="1461" spans="1:5" s="25" customFormat="1" hidden="1" x14ac:dyDescent="0.25">
      <c r="A1461" s="4">
        <v>43955</v>
      </c>
      <c r="B1461" s="4" t="s">
        <v>757</v>
      </c>
      <c r="C1461" s="34">
        <v>16.190000000000001</v>
      </c>
      <c r="D1461" s="34"/>
      <c r="E1461" s="34"/>
    </row>
    <row r="1462" spans="1:5" s="25" customFormat="1" hidden="1" x14ac:dyDescent="0.25">
      <c r="A1462" s="4">
        <v>43956</v>
      </c>
      <c r="B1462" s="4" t="s">
        <v>981</v>
      </c>
      <c r="C1462" s="34"/>
      <c r="D1462" s="34">
        <v>281.44</v>
      </c>
      <c r="E1462" s="34"/>
    </row>
    <row r="1463" spans="1:5" s="25" customFormat="1" hidden="1" x14ac:dyDescent="0.25">
      <c r="A1463" s="4">
        <v>43956</v>
      </c>
      <c r="B1463" s="4" t="s">
        <v>982</v>
      </c>
      <c r="C1463" s="34"/>
      <c r="D1463" s="34">
        <v>57.79</v>
      </c>
      <c r="E1463" s="34"/>
    </row>
    <row r="1464" spans="1:5" s="25" customFormat="1" hidden="1" x14ac:dyDescent="0.25">
      <c r="A1464" s="4">
        <v>43964</v>
      </c>
      <c r="B1464" s="4" t="s">
        <v>831</v>
      </c>
      <c r="C1464" s="34">
        <v>631.23</v>
      </c>
      <c r="D1464" s="34"/>
      <c r="E1464" s="34"/>
    </row>
    <row r="1465" spans="1:5" s="25" customFormat="1" hidden="1" x14ac:dyDescent="0.25">
      <c r="A1465" s="4">
        <v>43964</v>
      </c>
      <c r="B1465" s="4" t="s">
        <v>983</v>
      </c>
      <c r="C1465" s="34">
        <v>80000</v>
      </c>
      <c r="D1465" s="34"/>
      <c r="E1465" s="34"/>
    </row>
    <row r="1466" spans="1:5" s="25" customFormat="1" hidden="1" x14ac:dyDescent="0.25">
      <c r="A1466" s="4">
        <v>43966</v>
      </c>
      <c r="B1466" s="4" t="s">
        <v>984</v>
      </c>
      <c r="C1466" s="34"/>
      <c r="D1466" s="34">
        <v>100000</v>
      </c>
      <c r="E1466" s="34"/>
    </row>
    <row r="1467" spans="1:5" s="25" customFormat="1" hidden="1" x14ac:dyDescent="0.25">
      <c r="A1467" s="4">
        <v>43969</v>
      </c>
      <c r="B1467" s="4" t="s">
        <v>985</v>
      </c>
      <c r="C1467" s="34"/>
      <c r="D1467" s="34">
        <v>20351.7</v>
      </c>
      <c r="E1467" s="34"/>
    </row>
    <row r="1468" spans="1:5" s="25" customFormat="1" hidden="1" x14ac:dyDescent="0.25">
      <c r="A1468" s="4">
        <v>43969</v>
      </c>
      <c r="B1468" s="4" t="s">
        <v>986</v>
      </c>
      <c r="C1468" s="34"/>
      <c r="D1468" s="34">
        <v>9991.93</v>
      </c>
      <c r="E1468" s="34"/>
    </row>
    <row r="1469" spans="1:5" s="25" customFormat="1" hidden="1" x14ac:dyDescent="0.25">
      <c r="A1469" s="4">
        <v>43969</v>
      </c>
      <c r="B1469" s="4" t="s">
        <v>987</v>
      </c>
      <c r="C1469" s="34">
        <v>9835.64</v>
      </c>
      <c r="D1469" s="34"/>
      <c r="E1469" s="34"/>
    </row>
    <row r="1470" spans="1:5" s="25" customFormat="1" hidden="1" x14ac:dyDescent="0.25">
      <c r="A1470" s="4">
        <v>43969</v>
      </c>
      <c r="B1470" s="4" t="s">
        <v>988</v>
      </c>
      <c r="C1470" s="34">
        <v>26503.7</v>
      </c>
      <c r="D1470" s="34"/>
      <c r="E1470" s="34"/>
    </row>
    <row r="1471" spans="1:5" s="25" customFormat="1" hidden="1" x14ac:dyDescent="0.25">
      <c r="A1471" s="4">
        <v>43984</v>
      </c>
      <c r="B1471" s="4" t="s">
        <v>757</v>
      </c>
      <c r="C1471" s="34">
        <v>16.14</v>
      </c>
      <c r="D1471" s="34"/>
      <c r="E1471" s="34"/>
    </row>
    <row r="1472" spans="1:5" s="25" customFormat="1" hidden="1" x14ac:dyDescent="0.25">
      <c r="A1472" s="4">
        <v>43985</v>
      </c>
      <c r="B1472" s="4" t="s">
        <v>989</v>
      </c>
      <c r="C1472" s="34"/>
      <c r="D1472" s="34">
        <v>300</v>
      </c>
      <c r="E1472" s="34"/>
    </row>
    <row r="1473" spans="1:5" s="25" customFormat="1" hidden="1" x14ac:dyDescent="0.25">
      <c r="A1473" s="4">
        <v>43985</v>
      </c>
      <c r="B1473" s="4" t="s">
        <v>990</v>
      </c>
      <c r="C1473" s="34"/>
      <c r="D1473" s="34">
        <v>60.56</v>
      </c>
      <c r="E1473" s="34"/>
    </row>
    <row r="1474" spans="1:5" s="25" customFormat="1" hidden="1" x14ac:dyDescent="0.25">
      <c r="A1474" s="4">
        <v>43985</v>
      </c>
      <c r="B1474" s="4" t="s">
        <v>991</v>
      </c>
      <c r="C1474" s="34"/>
      <c r="D1474" s="34">
        <v>3080</v>
      </c>
      <c r="E1474" s="34"/>
    </row>
    <row r="1475" spans="1:5" s="25" customFormat="1" hidden="1" x14ac:dyDescent="0.25">
      <c r="A1475" s="4"/>
      <c r="B1475" s="4"/>
      <c r="C1475" s="34"/>
    </row>
    <row r="1476" spans="1:5" s="25" customFormat="1" hidden="1" x14ac:dyDescent="0.25">
      <c r="A1476" s="4"/>
      <c r="B1476" s="4"/>
      <c r="C1476" s="34"/>
      <c r="D1476" s="34"/>
    </row>
    <row r="1477" spans="1:5" s="25" customFormat="1" hidden="1" x14ac:dyDescent="0.25">
      <c r="A1477" s="4">
        <v>44012</v>
      </c>
      <c r="B1477" t="s">
        <v>14</v>
      </c>
      <c r="C1477" s="36">
        <f>SUM(C1364:C1476)</f>
        <v>389516.28000000026</v>
      </c>
      <c r="D1477" s="36">
        <f>SUM(D1364:D1476)</f>
        <v>327622.08</v>
      </c>
    </row>
    <row r="1478" spans="1:5" s="25" customFormat="1" hidden="1" x14ac:dyDescent="0.25">
      <c r="A1478" s="4"/>
      <c r="B1478" s="4" t="s">
        <v>15</v>
      </c>
      <c r="C1478" s="34">
        <f>IF(C1477&gt;D1477,C1477-D1477," ")</f>
        <v>61894.200000000244</v>
      </c>
      <c r="D1478" s="34" t="str">
        <f>IF(D1477&gt;C1477,D1477-C1477," ")</f>
        <v xml:space="preserve"> </v>
      </c>
    </row>
    <row r="1479" spans="1:5" s="25" customFormat="1" hidden="1" x14ac:dyDescent="0.25">
      <c r="A1479" s="4">
        <v>44013</v>
      </c>
      <c r="B1479" s="4" t="s">
        <v>1079</v>
      </c>
      <c r="C1479" s="34">
        <v>442.5</v>
      </c>
      <c r="D1479" s="34"/>
    </row>
    <row r="1480" spans="1:5" s="25" customFormat="1" hidden="1" x14ac:dyDescent="0.25">
      <c r="A1480" s="4">
        <v>44014</v>
      </c>
      <c r="B1480" s="4" t="s">
        <v>757</v>
      </c>
      <c r="C1480" s="34">
        <v>12.76</v>
      </c>
      <c r="D1480" s="34"/>
    </row>
    <row r="1481" spans="1:5" s="25" customFormat="1" hidden="1" x14ac:dyDescent="0.25">
      <c r="A1481" s="4">
        <v>44015</v>
      </c>
      <c r="B1481" s="4" t="s">
        <v>1080</v>
      </c>
      <c r="C1481" s="34"/>
      <c r="D1481" s="34">
        <v>59.01</v>
      </c>
    </row>
    <row r="1482" spans="1:5" s="25" customFormat="1" hidden="1" x14ac:dyDescent="0.25">
      <c r="A1482" s="4">
        <v>44015</v>
      </c>
      <c r="B1482" s="4" t="s">
        <v>1008</v>
      </c>
      <c r="C1482" s="34"/>
      <c r="D1482" s="34">
        <v>299.87</v>
      </c>
    </row>
    <row r="1483" spans="1:5" s="25" customFormat="1" hidden="1" x14ac:dyDescent="0.25">
      <c r="A1483" s="4">
        <v>44025</v>
      </c>
      <c r="B1483" s="4" t="s">
        <v>1009</v>
      </c>
      <c r="C1483" s="34">
        <v>82.77</v>
      </c>
      <c r="D1483" s="34"/>
    </row>
    <row r="1484" spans="1:5" s="25" customFormat="1" hidden="1" x14ac:dyDescent="0.25">
      <c r="A1484" s="4">
        <v>44027</v>
      </c>
      <c r="B1484" s="4" t="s">
        <v>782</v>
      </c>
      <c r="C1484" s="34">
        <v>192.61</v>
      </c>
      <c r="D1484" s="34"/>
    </row>
    <row r="1485" spans="1:5" s="25" customFormat="1" hidden="1" x14ac:dyDescent="0.25">
      <c r="A1485" s="4">
        <v>44028</v>
      </c>
      <c r="B1485" s="4" t="s">
        <v>1010</v>
      </c>
      <c r="C1485" s="34">
        <v>189.37</v>
      </c>
      <c r="D1485" s="34"/>
    </row>
    <row r="1486" spans="1:5" s="25" customFormat="1" hidden="1" x14ac:dyDescent="0.25">
      <c r="A1486" s="4">
        <v>44029</v>
      </c>
      <c r="B1486" s="4" t="s">
        <v>828</v>
      </c>
      <c r="C1486" s="34">
        <v>4304.54</v>
      </c>
      <c r="D1486" s="34"/>
    </row>
    <row r="1487" spans="1:5" s="25" customFormat="1" hidden="1" x14ac:dyDescent="0.25">
      <c r="A1487" s="4">
        <v>44033</v>
      </c>
      <c r="B1487" s="4" t="s">
        <v>827</v>
      </c>
      <c r="C1487" s="34">
        <v>1678.99</v>
      </c>
      <c r="D1487" s="34"/>
    </row>
    <row r="1488" spans="1:5" s="25" customFormat="1" hidden="1" x14ac:dyDescent="0.25">
      <c r="A1488" s="4">
        <v>44033</v>
      </c>
      <c r="B1488" s="4" t="s">
        <v>795</v>
      </c>
      <c r="C1488" s="34">
        <v>813.11</v>
      </c>
      <c r="D1488" s="34"/>
    </row>
    <row r="1489" spans="1:4" s="25" customFormat="1" hidden="1" x14ac:dyDescent="0.25">
      <c r="A1489" s="4">
        <v>44040</v>
      </c>
      <c r="B1489" s="4" t="s">
        <v>781</v>
      </c>
      <c r="C1489" s="34">
        <v>1024.6400000000001</v>
      </c>
      <c r="D1489" s="34"/>
    </row>
    <row r="1490" spans="1:4" s="25" customFormat="1" hidden="1" x14ac:dyDescent="0.25">
      <c r="A1490" s="4">
        <v>44047</v>
      </c>
      <c r="B1490" s="4" t="s">
        <v>757</v>
      </c>
      <c r="C1490" s="34">
        <v>13.87</v>
      </c>
      <c r="D1490" s="34"/>
    </row>
    <row r="1491" spans="1:4" s="25" customFormat="1" hidden="1" x14ac:dyDescent="0.25">
      <c r="A1491" s="4">
        <v>44049</v>
      </c>
      <c r="B1491" s="4" t="s">
        <v>1011</v>
      </c>
      <c r="C1491" s="34"/>
      <c r="D1491" s="34">
        <v>312.3</v>
      </c>
    </row>
    <row r="1492" spans="1:4" s="25" customFormat="1" hidden="1" x14ac:dyDescent="0.25">
      <c r="A1492" s="4">
        <v>44049</v>
      </c>
      <c r="B1492" s="4" t="s">
        <v>1012</v>
      </c>
      <c r="C1492" s="34"/>
      <c r="D1492" s="34">
        <v>60.77</v>
      </c>
    </row>
    <row r="1493" spans="1:4" s="25" customFormat="1" hidden="1" x14ac:dyDescent="0.25">
      <c r="A1493" s="4">
        <v>44057</v>
      </c>
      <c r="B1493" s="4" t="s">
        <v>1013</v>
      </c>
      <c r="C1493" s="34">
        <v>376.32</v>
      </c>
      <c r="D1493" s="34"/>
    </row>
    <row r="1494" spans="1:4" s="25" customFormat="1" hidden="1" x14ac:dyDescent="0.25">
      <c r="A1494" s="4">
        <v>44057</v>
      </c>
      <c r="B1494" s="4" t="s">
        <v>895</v>
      </c>
      <c r="C1494" s="34">
        <v>320.55</v>
      </c>
      <c r="D1494" s="34"/>
    </row>
    <row r="1495" spans="1:4" s="25" customFormat="1" hidden="1" x14ac:dyDescent="0.25">
      <c r="A1495" s="4">
        <v>44057</v>
      </c>
      <c r="B1495" s="4" t="s">
        <v>1014</v>
      </c>
      <c r="C1495" s="34">
        <v>100000</v>
      </c>
      <c r="D1495" s="34"/>
    </row>
    <row r="1496" spans="1:4" s="25" customFormat="1" hidden="1" x14ac:dyDescent="0.25">
      <c r="A1496" s="4">
        <v>44064</v>
      </c>
      <c r="B1496" s="4" t="s">
        <v>1015</v>
      </c>
      <c r="C1496" s="34"/>
      <c r="D1496" s="34">
        <v>100000</v>
      </c>
    </row>
    <row r="1497" spans="1:4" s="25" customFormat="1" hidden="1" x14ac:dyDescent="0.25">
      <c r="A1497" s="4">
        <v>44069</v>
      </c>
      <c r="B1497" s="4" t="s">
        <v>787</v>
      </c>
      <c r="C1497" s="34">
        <v>1053.4000000000001</v>
      </c>
      <c r="D1497" s="34"/>
    </row>
    <row r="1498" spans="1:4" s="25" customFormat="1" hidden="1" x14ac:dyDescent="0.25">
      <c r="A1498" s="4">
        <v>44069</v>
      </c>
      <c r="B1498" s="4" t="s">
        <v>787</v>
      </c>
      <c r="C1498" s="34">
        <v>349.6</v>
      </c>
      <c r="D1498" s="34"/>
    </row>
    <row r="1499" spans="1:4" s="25" customFormat="1" hidden="1" x14ac:dyDescent="0.25">
      <c r="A1499" s="4">
        <v>44071</v>
      </c>
      <c r="B1499" s="4" t="s">
        <v>1016</v>
      </c>
      <c r="C1499" s="34">
        <v>341.25</v>
      </c>
      <c r="D1499" s="34"/>
    </row>
    <row r="1500" spans="1:4" s="25" customFormat="1" hidden="1" x14ac:dyDescent="0.25">
      <c r="A1500" s="4">
        <v>44076</v>
      </c>
      <c r="B1500" s="4" t="s">
        <v>757</v>
      </c>
      <c r="C1500" s="34">
        <v>19.8</v>
      </c>
      <c r="D1500" s="34"/>
    </row>
    <row r="1501" spans="1:4" s="25" customFormat="1" hidden="1" x14ac:dyDescent="0.25">
      <c r="A1501" s="4">
        <v>44077</v>
      </c>
      <c r="B1501" s="4" t="s">
        <v>1017</v>
      </c>
      <c r="C1501" s="34"/>
      <c r="D1501" s="34">
        <v>315.23</v>
      </c>
    </row>
    <row r="1502" spans="1:4" s="25" customFormat="1" hidden="1" x14ac:dyDescent="0.25">
      <c r="A1502" s="4">
        <v>44077</v>
      </c>
      <c r="B1502" s="4" t="s">
        <v>1018</v>
      </c>
      <c r="C1502" s="34"/>
      <c r="D1502" s="34">
        <v>59.35</v>
      </c>
    </row>
    <row r="1503" spans="1:4" s="25" customFormat="1" hidden="1" x14ac:dyDescent="0.25">
      <c r="A1503" s="4">
        <v>44081</v>
      </c>
      <c r="B1503" s="4" t="s">
        <v>1019</v>
      </c>
      <c r="C1503" s="34"/>
      <c r="D1503" s="34">
        <v>22427.55</v>
      </c>
    </row>
    <row r="1504" spans="1:4" s="25" customFormat="1" hidden="1" x14ac:dyDescent="0.25">
      <c r="A1504" s="4">
        <v>44092</v>
      </c>
      <c r="B1504" s="4" t="s">
        <v>1020</v>
      </c>
      <c r="C1504" s="34">
        <v>424.82</v>
      </c>
      <c r="D1504" s="34"/>
    </row>
    <row r="1505" spans="1:4" s="25" customFormat="1" hidden="1" x14ac:dyDescent="0.25">
      <c r="A1505" s="4">
        <v>44096</v>
      </c>
      <c r="B1505" s="4" t="s">
        <v>1021</v>
      </c>
      <c r="C1505" s="34">
        <v>377.28</v>
      </c>
      <c r="D1505" s="34"/>
    </row>
    <row r="1506" spans="1:4" s="25" customFormat="1" hidden="1" x14ac:dyDescent="0.25">
      <c r="A1506" s="4">
        <v>44103</v>
      </c>
      <c r="B1506" s="4" t="s">
        <v>1022</v>
      </c>
      <c r="C1506" s="34">
        <v>232.1</v>
      </c>
      <c r="D1506" s="34"/>
    </row>
    <row r="1507" spans="1:4" s="25" customFormat="1" hidden="1" x14ac:dyDescent="0.25">
      <c r="A1507" s="4">
        <v>44104</v>
      </c>
      <c r="B1507" s="4" t="s">
        <v>1023</v>
      </c>
      <c r="C1507" s="34">
        <v>354.76</v>
      </c>
      <c r="D1507" s="34"/>
    </row>
    <row r="1508" spans="1:4" s="25" customFormat="1" hidden="1" x14ac:dyDescent="0.25">
      <c r="A1508" s="4">
        <v>44105</v>
      </c>
      <c r="B1508" s="4" t="s">
        <v>1024</v>
      </c>
      <c r="C1508" s="34">
        <v>801.8</v>
      </c>
      <c r="D1508" s="34"/>
    </row>
    <row r="1509" spans="1:4" s="25" customFormat="1" hidden="1" x14ac:dyDescent="0.25">
      <c r="A1509" s="4">
        <v>44106</v>
      </c>
      <c r="B1509" s="4" t="s">
        <v>883</v>
      </c>
      <c r="C1509" s="34">
        <v>290</v>
      </c>
      <c r="D1509" s="34"/>
    </row>
    <row r="1510" spans="1:4" s="25" customFormat="1" hidden="1" x14ac:dyDescent="0.25">
      <c r="A1510" s="4">
        <v>44106</v>
      </c>
      <c r="B1510" s="4" t="s">
        <v>757</v>
      </c>
      <c r="C1510" s="34">
        <v>11.18</v>
      </c>
      <c r="D1510" s="34"/>
    </row>
    <row r="1511" spans="1:4" s="25" customFormat="1" hidden="1" x14ac:dyDescent="0.25">
      <c r="A1511" s="4">
        <v>44109</v>
      </c>
      <c r="B1511" s="4" t="s">
        <v>1025</v>
      </c>
      <c r="C1511" s="34"/>
      <c r="D1511" s="34">
        <v>225</v>
      </c>
    </row>
    <row r="1512" spans="1:4" s="25" customFormat="1" hidden="1" x14ac:dyDescent="0.25">
      <c r="A1512" s="4">
        <v>44109</v>
      </c>
      <c r="B1512" s="4" t="s">
        <v>1026</v>
      </c>
      <c r="C1512" s="34"/>
      <c r="D1512" s="34">
        <v>300.18</v>
      </c>
    </row>
    <row r="1513" spans="1:4" s="25" customFormat="1" hidden="1" x14ac:dyDescent="0.25">
      <c r="A1513" s="4">
        <v>44109</v>
      </c>
      <c r="B1513" s="4" t="s">
        <v>1027</v>
      </c>
      <c r="C1513" s="34"/>
      <c r="D1513" s="34">
        <v>59.28</v>
      </c>
    </row>
    <row r="1514" spans="1:4" s="25" customFormat="1" hidden="1" x14ac:dyDescent="0.25">
      <c r="A1514" s="4">
        <v>44112</v>
      </c>
      <c r="B1514" s="4" t="s">
        <v>795</v>
      </c>
      <c r="C1514" s="34">
        <v>314.43</v>
      </c>
      <c r="D1514" s="34"/>
    </row>
    <row r="1515" spans="1:4" s="25" customFormat="1" hidden="1" x14ac:dyDescent="0.25">
      <c r="A1515" s="4">
        <v>44120</v>
      </c>
      <c r="B1515" s="4" t="s">
        <v>1028</v>
      </c>
      <c r="C1515" s="34">
        <v>33.29</v>
      </c>
      <c r="D1515" s="34"/>
    </row>
    <row r="1516" spans="1:4" s="25" customFormat="1" hidden="1" x14ac:dyDescent="0.25">
      <c r="A1516" s="4">
        <v>44120</v>
      </c>
      <c r="B1516" s="4" t="s">
        <v>782</v>
      </c>
      <c r="C1516" s="34">
        <v>173.44</v>
      </c>
      <c r="D1516" s="34"/>
    </row>
    <row r="1517" spans="1:4" s="25" customFormat="1" hidden="1" x14ac:dyDescent="0.25">
      <c r="A1517" s="4">
        <v>44125</v>
      </c>
      <c r="B1517" s="4" t="s">
        <v>1029</v>
      </c>
      <c r="C1517" s="34">
        <v>166.59</v>
      </c>
      <c r="D1517" s="34"/>
    </row>
    <row r="1518" spans="1:4" s="25" customFormat="1" hidden="1" x14ac:dyDescent="0.25">
      <c r="A1518" s="4">
        <v>44127</v>
      </c>
      <c r="B1518" s="4" t="s">
        <v>1030</v>
      </c>
      <c r="C1518" s="34"/>
      <c r="D1518" s="34">
        <v>31026.69</v>
      </c>
    </row>
    <row r="1519" spans="1:4" s="25" customFormat="1" hidden="1" x14ac:dyDescent="0.25">
      <c r="A1519" s="4">
        <v>44127</v>
      </c>
      <c r="B1519" s="4" t="s">
        <v>1031</v>
      </c>
      <c r="C1519" s="34">
        <v>58141.2</v>
      </c>
      <c r="D1519" s="34"/>
    </row>
    <row r="1520" spans="1:4" s="25" customFormat="1" hidden="1" x14ac:dyDescent="0.25">
      <c r="A1520" s="4">
        <v>44127</v>
      </c>
      <c r="B1520" s="4" t="s">
        <v>1032</v>
      </c>
      <c r="C1520" s="34">
        <v>23244.71</v>
      </c>
      <c r="D1520" s="34"/>
    </row>
    <row r="1521" spans="1:5" s="25" customFormat="1" hidden="1" x14ac:dyDescent="0.25">
      <c r="A1521" s="4">
        <v>44130</v>
      </c>
      <c r="B1521" s="4" t="s">
        <v>1033</v>
      </c>
      <c r="C1521" s="34"/>
      <c r="D1521" s="34">
        <v>40000</v>
      </c>
    </row>
    <row r="1522" spans="1:5" s="25" customFormat="1" hidden="1" x14ac:dyDescent="0.25">
      <c r="A1522" s="4">
        <v>44130</v>
      </c>
      <c r="B1522" s="4" t="s">
        <v>1034</v>
      </c>
      <c r="C1522" s="34"/>
      <c r="D1522" s="34">
        <v>40000</v>
      </c>
    </row>
    <row r="1523" spans="1:5" s="25" customFormat="1" hidden="1" x14ac:dyDescent="0.25">
      <c r="A1523" s="4">
        <v>44137</v>
      </c>
      <c r="B1523" s="4" t="s">
        <v>768</v>
      </c>
      <c r="C1523" s="34">
        <v>27738.12</v>
      </c>
      <c r="D1523" s="34"/>
      <c r="E1523" s="16" t="s">
        <v>1081</v>
      </c>
    </row>
    <row r="1524" spans="1:5" s="25" customFormat="1" hidden="1" x14ac:dyDescent="0.25">
      <c r="A1524" s="4">
        <v>44138</v>
      </c>
      <c r="B1524" s="4" t="s">
        <v>757</v>
      </c>
      <c r="C1524" s="34">
        <v>10.84</v>
      </c>
      <c r="D1524" s="34"/>
    </row>
    <row r="1525" spans="1:5" s="25" customFormat="1" hidden="1" x14ac:dyDescent="0.25">
      <c r="A1525" s="4">
        <v>44139</v>
      </c>
      <c r="B1525" s="4" t="s">
        <v>1035</v>
      </c>
      <c r="C1525" s="34"/>
      <c r="D1525" s="34">
        <v>310.69</v>
      </c>
    </row>
    <row r="1526" spans="1:5" s="25" customFormat="1" hidden="1" x14ac:dyDescent="0.25">
      <c r="A1526" s="4">
        <v>44139</v>
      </c>
      <c r="B1526" s="4" t="s">
        <v>1036</v>
      </c>
      <c r="C1526" s="34"/>
      <c r="D1526" s="34">
        <v>60.79</v>
      </c>
    </row>
    <row r="1527" spans="1:5" s="25" customFormat="1" hidden="1" x14ac:dyDescent="0.25">
      <c r="A1527" s="4">
        <v>44161</v>
      </c>
      <c r="B1527" s="4" t="s">
        <v>827</v>
      </c>
      <c r="C1527" s="34">
        <v>780.33</v>
      </c>
      <c r="D1527" s="34"/>
    </row>
    <row r="1528" spans="1:5" s="25" customFormat="1" hidden="1" x14ac:dyDescent="0.25">
      <c r="A1528" s="4">
        <v>44167</v>
      </c>
      <c r="B1528" s="4" t="s">
        <v>757</v>
      </c>
      <c r="C1528" s="34">
        <v>10.09</v>
      </c>
      <c r="D1528" s="34"/>
    </row>
    <row r="1529" spans="1:5" s="25" customFormat="1" hidden="1" x14ac:dyDescent="0.25">
      <c r="A1529" s="4">
        <v>44168</v>
      </c>
      <c r="B1529" s="4" t="s">
        <v>1037</v>
      </c>
      <c r="C1529" s="34"/>
      <c r="D1529" s="34">
        <v>324.12</v>
      </c>
    </row>
    <row r="1530" spans="1:5" s="25" customFormat="1" hidden="1" x14ac:dyDescent="0.25">
      <c r="A1530" s="4">
        <v>44168</v>
      </c>
      <c r="B1530" s="4" t="s">
        <v>1038</v>
      </c>
      <c r="C1530" s="34"/>
      <c r="D1530" s="34">
        <v>61.87</v>
      </c>
    </row>
    <row r="1531" spans="1:5" s="25" customFormat="1" hidden="1" x14ac:dyDescent="0.25">
      <c r="A1531" s="4">
        <v>44182</v>
      </c>
      <c r="B1531" s="4" t="s">
        <v>1039</v>
      </c>
      <c r="C1531" s="34">
        <v>649</v>
      </c>
      <c r="D1531" s="34"/>
    </row>
    <row r="1532" spans="1:5" s="25" customFormat="1" hidden="1" x14ac:dyDescent="0.25">
      <c r="A1532" s="4">
        <v>44196</v>
      </c>
      <c r="B1532" s="4" t="s">
        <v>716</v>
      </c>
      <c r="C1532" s="34">
        <v>10.71</v>
      </c>
      <c r="D1532" s="34"/>
    </row>
    <row r="1533" spans="1:5" s="25" customFormat="1" hidden="1" x14ac:dyDescent="0.25">
      <c r="A1533" s="4">
        <v>44202</v>
      </c>
      <c r="B1533" s="4" t="s">
        <v>1040</v>
      </c>
      <c r="C1533" s="34"/>
      <c r="D1533" s="34">
        <v>342.64</v>
      </c>
    </row>
    <row r="1534" spans="1:5" s="25" customFormat="1" hidden="1" x14ac:dyDescent="0.25">
      <c r="A1534" s="4">
        <v>44202</v>
      </c>
      <c r="B1534" s="4" t="s">
        <v>1041</v>
      </c>
      <c r="C1534" s="34"/>
      <c r="D1534" s="34">
        <v>63.81</v>
      </c>
    </row>
    <row r="1535" spans="1:5" s="25" customFormat="1" hidden="1" x14ac:dyDescent="0.25">
      <c r="A1535" s="4">
        <v>44204</v>
      </c>
      <c r="B1535" s="4" t="s">
        <v>795</v>
      </c>
      <c r="C1535" s="34">
        <v>454.28</v>
      </c>
      <c r="D1535" s="34"/>
    </row>
    <row r="1536" spans="1:5" s="25" customFormat="1" hidden="1" x14ac:dyDescent="0.25">
      <c r="A1536" s="4">
        <v>44211</v>
      </c>
      <c r="B1536" s="4" t="s">
        <v>1042</v>
      </c>
      <c r="C1536" s="34">
        <v>450</v>
      </c>
      <c r="D1536" s="34"/>
    </row>
    <row r="1537" spans="1:4" s="25" customFormat="1" hidden="1" x14ac:dyDescent="0.25">
      <c r="A1537" s="4">
        <v>44215</v>
      </c>
      <c r="B1537" s="4" t="s">
        <v>1043</v>
      </c>
      <c r="C1537" s="34">
        <v>188.97</v>
      </c>
      <c r="D1537" s="34"/>
    </row>
    <row r="1538" spans="1:4" s="25" customFormat="1" hidden="1" x14ac:dyDescent="0.25">
      <c r="A1538" s="4">
        <v>44216</v>
      </c>
      <c r="B1538" s="4" t="s">
        <v>1044</v>
      </c>
      <c r="C1538" s="34"/>
      <c r="D1538" s="34">
        <v>21137.63</v>
      </c>
    </row>
    <row r="1539" spans="1:4" s="25" customFormat="1" hidden="1" x14ac:dyDescent="0.25">
      <c r="A1539" s="4">
        <v>44216</v>
      </c>
      <c r="B1539" s="4" t="s">
        <v>1045</v>
      </c>
      <c r="C1539" s="34">
        <v>22548.84</v>
      </c>
      <c r="D1539" s="34"/>
    </row>
    <row r="1540" spans="1:4" s="25" customFormat="1" hidden="1" x14ac:dyDescent="0.25">
      <c r="A1540" s="4">
        <v>44217</v>
      </c>
      <c r="B1540" s="4" t="s">
        <v>782</v>
      </c>
      <c r="C1540" s="34">
        <v>175.72</v>
      </c>
      <c r="D1540" s="34"/>
    </row>
    <row r="1541" spans="1:4" s="25" customFormat="1" hidden="1" x14ac:dyDescent="0.25">
      <c r="A1541" s="4">
        <v>44225</v>
      </c>
      <c r="B1541" s="4" t="s">
        <v>1046</v>
      </c>
      <c r="C1541" s="34">
        <v>5423.55</v>
      </c>
      <c r="D1541" s="34"/>
    </row>
    <row r="1542" spans="1:4" s="25" customFormat="1" hidden="1" x14ac:dyDescent="0.25">
      <c r="A1542" s="4">
        <v>44225</v>
      </c>
      <c r="B1542" s="4" t="s">
        <v>716</v>
      </c>
      <c r="C1542" s="34">
        <v>1.05</v>
      </c>
      <c r="D1542" s="34"/>
    </row>
    <row r="1543" spans="1:4" s="25" customFormat="1" hidden="1" x14ac:dyDescent="0.25">
      <c r="A1543" s="4">
        <v>44230</v>
      </c>
      <c r="B1543" s="4" t="s">
        <v>1047</v>
      </c>
      <c r="C1543" s="34"/>
      <c r="D1543" s="34">
        <v>343.36</v>
      </c>
    </row>
    <row r="1544" spans="1:4" s="25" customFormat="1" hidden="1" x14ac:dyDescent="0.25">
      <c r="A1544" s="4">
        <v>44230</v>
      </c>
      <c r="B1544" s="4" t="s">
        <v>1048</v>
      </c>
      <c r="C1544" s="34"/>
      <c r="D1544" s="34">
        <v>63.85</v>
      </c>
    </row>
    <row r="1545" spans="1:4" s="25" customFormat="1" hidden="1" x14ac:dyDescent="0.25">
      <c r="A1545" s="4">
        <v>44243</v>
      </c>
      <c r="B1545" s="4" t="s">
        <v>1049</v>
      </c>
      <c r="C1545" s="34"/>
      <c r="D1545" s="34">
        <v>9680</v>
      </c>
    </row>
    <row r="1546" spans="1:4" s="25" customFormat="1" hidden="1" x14ac:dyDescent="0.25">
      <c r="A1546" s="4">
        <v>44243</v>
      </c>
      <c r="B1546" s="4" t="s">
        <v>1050</v>
      </c>
      <c r="C1546" s="34">
        <v>352.8</v>
      </c>
      <c r="D1546" s="34"/>
    </row>
    <row r="1547" spans="1:4" s="25" customFormat="1" hidden="1" x14ac:dyDescent="0.25">
      <c r="A1547" s="4">
        <v>44245</v>
      </c>
      <c r="B1547" s="4" t="s">
        <v>1051</v>
      </c>
      <c r="C1547" s="34">
        <v>100000</v>
      </c>
      <c r="D1547" s="34"/>
    </row>
    <row r="1548" spans="1:4" s="25" customFormat="1" hidden="1" x14ac:dyDescent="0.25">
      <c r="A1548" s="4">
        <v>44245</v>
      </c>
      <c r="B1548" s="4" t="s">
        <v>831</v>
      </c>
      <c r="C1548" s="34">
        <v>364.93</v>
      </c>
      <c r="D1548" s="34"/>
    </row>
    <row r="1549" spans="1:4" s="25" customFormat="1" hidden="1" x14ac:dyDescent="0.25">
      <c r="A1549" s="4">
        <v>44249</v>
      </c>
      <c r="B1549" s="4" t="s">
        <v>1052</v>
      </c>
      <c r="C1549" s="34">
        <v>341.25</v>
      </c>
      <c r="D1549" s="34"/>
    </row>
    <row r="1550" spans="1:4" s="25" customFormat="1" hidden="1" x14ac:dyDescent="0.25">
      <c r="A1550" s="4">
        <v>44252</v>
      </c>
      <c r="B1550" s="4" t="s">
        <v>787</v>
      </c>
      <c r="C1550" s="34">
        <v>1116.6500000000001</v>
      </c>
      <c r="D1550" s="34"/>
    </row>
    <row r="1551" spans="1:4" s="25" customFormat="1" hidden="1" x14ac:dyDescent="0.25">
      <c r="A1551" s="4">
        <v>44253</v>
      </c>
      <c r="B1551" s="4" t="s">
        <v>1053</v>
      </c>
      <c r="C1551" s="34"/>
      <c r="D1551" s="34">
        <v>75000</v>
      </c>
    </row>
    <row r="1552" spans="1:4" s="25" customFormat="1" hidden="1" x14ac:dyDescent="0.25">
      <c r="A1552" s="4">
        <v>44258</v>
      </c>
      <c r="B1552" s="4" t="s">
        <v>1054</v>
      </c>
      <c r="C1552" s="34"/>
      <c r="D1552" s="34">
        <v>311.62</v>
      </c>
    </row>
    <row r="1553" spans="1:4" s="25" customFormat="1" hidden="1" x14ac:dyDescent="0.25">
      <c r="A1553" s="4">
        <v>44258</v>
      </c>
      <c r="B1553" s="4" t="s">
        <v>1055</v>
      </c>
      <c r="C1553" s="34"/>
      <c r="D1553" s="34">
        <v>56.28</v>
      </c>
    </row>
    <row r="1554" spans="1:4" s="25" customFormat="1" hidden="1" x14ac:dyDescent="0.25">
      <c r="A1554" s="4">
        <v>44274</v>
      </c>
      <c r="B1554" s="4" t="s">
        <v>1056</v>
      </c>
      <c r="C1554" s="34">
        <v>7.62</v>
      </c>
      <c r="D1554" s="34"/>
    </row>
    <row r="1555" spans="1:4" s="25" customFormat="1" hidden="1" x14ac:dyDescent="0.25">
      <c r="A1555" s="4">
        <v>44279</v>
      </c>
      <c r="B1555" s="4" t="s">
        <v>1057</v>
      </c>
      <c r="C1555" s="34">
        <v>179.27</v>
      </c>
      <c r="D1555" s="34"/>
    </row>
    <row r="1556" spans="1:4" s="25" customFormat="1" hidden="1" x14ac:dyDescent="0.25">
      <c r="A1556" s="4">
        <v>44280</v>
      </c>
      <c r="B1556" s="4" t="s">
        <v>1058</v>
      </c>
      <c r="C1556" s="34">
        <v>154.44</v>
      </c>
      <c r="D1556" s="34"/>
    </row>
    <row r="1557" spans="1:4" s="25" customFormat="1" hidden="1" x14ac:dyDescent="0.25">
      <c r="A1557" s="4">
        <v>44281</v>
      </c>
      <c r="B1557" s="4" t="s">
        <v>883</v>
      </c>
      <c r="C1557" s="34">
        <v>362.5</v>
      </c>
      <c r="D1557" s="34"/>
    </row>
    <row r="1558" spans="1:4" s="25" customFormat="1" hidden="1" x14ac:dyDescent="0.25">
      <c r="A1558" s="4">
        <v>44281</v>
      </c>
      <c r="B1558" s="4" t="s">
        <v>1059</v>
      </c>
      <c r="C1558" s="34">
        <v>278.52</v>
      </c>
      <c r="D1558" s="34"/>
    </row>
    <row r="1559" spans="1:4" s="25" customFormat="1" hidden="1" x14ac:dyDescent="0.25">
      <c r="A1559" s="4">
        <v>44284</v>
      </c>
      <c r="B1559" s="4" t="s">
        <v>1060</v>
      </c>
      <c r="C1559" s="34"/>
      <c r="D1559" s="34">
        <v>450</v>
      </c>
    </row>
    <row r="1560" spans="1:4" s="25" customFormat="1" hidden="1" x14ac:dyDescent="0.25">
      <c r="A1560" s="4">
        <v>44285</v>
      </c>
      <c r="B1560" s="4" t="s">
        <v>1061</v>
      </c>
      <c r="C1560" s="34">
        <v>543</v>
      </c>
      <c r="D1560" s="34"/>
    </row>
    <row r="1561" spans="1:4" s="25" customFormat="1" hidden="1" x14ac:dyDescent="0.25">
      <c r="A1561" s="4">
        <v>44286</v>
      </c>
      <c r="B1561" s="4" t="s">
        <v>1062</v>
      </c>
      <c r="C1561" s="34">
        <v>720</v>
      </c>
      <c r="D1561" s="34"/>
    </row>
    <row r="1562" spans="1:4" s="25" customFormat="1" hidden="1" x14ac:dyDescent="0.25">
      <c r="A1562" s="4">
        <v>44286</v>
      </c>
      <c r="B1562" s="4" t="s">
        <v>1063</v>
      </c>
      <c r="C1562" s="34">
        <v>742.72</v>
      </c>
      <c r="D1562" s="34"/>
    </row>
    <row r="1563" spans="1:4" s="25" customFormat="1" hidden="1" x14ac:dyDescent="0.25">
      <c r="A1563" s="4">
        <v>44293</v>
      </c>
      <c r="B1563" s="4" t="s">
        <v>1064</v>
      </c>
      <c r="C1563" s="34"/>
      <c r="D1563" s="34">
        <v>342.6</v>
      </c>
    </row>
    <row r="1564" spans="1:4" s="25" customFormat="1" hidden="1" x14ac:dyDescent="0.25">
      <c r="A1564" s="4">
        <v>44293</v>
      </c>
      <c r="B1564" s="4" t="s">
        <v>1065</v>
      </c>
      <c r="C1564" s="34"/>
      <c r="D1564" s="34">
        <v>63.17</v>
      </c>
    </row>
    <row r="1565" spans="1:4" s="25" customFormat="1" hidden="1" x14ac:dyDescent="0.25">
      <c r="A1565" s="4">
        <v>44295</v>
      </c>
      <c r="B1565" s="4" t="s">
        <v>795</v>
      </c>
      <c r="C1565" s="34">
        <v>15.22</v>
      </c>
      <c r="D1565" s="34"/>
    </row>
    <row r="1566" spans="1:4" s="25" customFormat="1" hidden="1" x14ac:dyDescent="0.25">
      <c r="A1566" s="4">
        <v>44305</v>
      </c>
      <c r="B1566" s="4" t="s">
        <v>1066</v>
      </c>
      <c r="C1566" s="34"/>
      <c r="D1566" s="34">
        <v>3080</v>
      </c>
    </row>
    <row r="1567" spans="1:4" s="25" customFormat="1" hidden="1" x14ac:dyDescent="0.25">
      <c r="A1567" s="4">
        <v>44306</v>
      </c>
      <c r="B1567" s="4" t="s">
        <v>1067</v>
      </c>
      <c r="C1567" s="34">
        <v>132.47</v>
      </c>
      <c r="D1567" s="34"/>
    </row>
    <row r="1568" spans="1:4" s="25" customFormat="1" hidden="1" x14ac:dyDescent="0.25">
      <c r="A1568" s="4">
        <v>44306</v>
      </c>
      <c r="B1568" s="4" t="s">
        <v>782</v>
      </c>
      <c r="C1568" s="34">
        <v>109.43</v>
      </c>
      <c r="D1568" s="34"/>
    </row>
    <row r="1569" spans="1:4" s="25" customFormat="1" hidden="1" x14ac:dyDescent="0.25">
      <c r="A1569" s="4">
        <v>44320</v>
      </c>
      <c r="B1569" s="4" t="s">
        <v>1068</v>
      </c>
      <c r="C1569" s="34">
        <v>5423.55</v>
      </c>
      <c r="D1569" s="34"/>
    </row>
    <row r="1570" spans="1:4" s="25" customFormat="1" hidden="1" x14ac:dyDescent="0.25">
      <c r="A1570" s="4">
        <v>44321</v>
      </c>
      <c r="B1570" s="4" t="s">
        <v>1069</v>
      </c>
      <c r="C1570" s="34"/>
      <c r="D1570" s="34">
        <v>343.17</v>
      </c>
    </row>
    <row r="1571" spans="1:4" s="25" customFormat="1" hidden="1" x14ac:dyDescent="0.25">
      <c r="A1571" s="4">
        <v>44321</v>
      </c>
      <c r="B1571" s="4" t="s">
        <v>1070</v>
      </c>
      <c r="C1571" s="34"/>
      <c r="D1571" s="34">
        <v>61.68</v>
      </c>
    </row>
    <row r="1572" spans="1:4" s="25" customFormat="1" hidden="1" x14ac:dyDescent="0.25">
      <c r="A1572" s="4">
        <v>44341</v>
      </c>
      <c r="B1572" s="4" t="s">
        <v>1071</v>
      </c>
      <c r="C1572" s="34"/>
      <c r="D1572" s="34">
        <v>30000</v>
      </c>
    </row>
    <row r="1573" spans="1:4" s="25" customFormat="1" hidden="1" x14ac:dyDescent="0.25">
      <c r="A1573" s="4">
        <v>44344</v>
      </c>
      <c r="B1573" s="4" t="s">
        <v>1072</v>
      </c>
      <c r="C1573" s="34">
        <v>75000</v>
      </c>
      <c r="D1573" s="34"/>
    </row>
    <row r="1574" spans="1:4" s="25" customFormat="1" hidden="1" x14ac:dyDescent="0.25">
      <c r="A1574" s="4">
        <v>44344</v>
      </c>
      <c r="B1574" s="4" t="s">
        <v>895</v>
      </c>
      <c r="C1574" s="34">
        <v>64.73</v>
      </c>
      <c r="D1574" s="34"/>
    </row>
    <row r="1575" spans="1:4" s="25" customFormat="1" hidden="1" x14ac:dyDescent="0.25">
      <c r="A1575" s="4">
        <v>44347</v>
      </c>
      <c r="B1575" s="4" t="s">
        <v>1073</v>
      </c>
      <c r="C1575" s="34"/>
      <c r="D1575" s="34">
        <v>75000</v>
      </c>
    </row>
    <row r="1576" spans="1:4" s="25" customFormat="1" hidden="1" x14ac:dyDescent="0.25">
      <c r="A1576" s="4">
        <v>44350</v>
      </c>
      <c r="B1576" s="4" t="s">
        <v>1074</v>
      </c>
      <c r="C1576" s="34"/>
      <c r="D1576" s="34">
        <v>355.65</v>
      </c>
    </row>
    <row r="1577" spans="1:4" s="25" customFormat="1" hidden="1" x14ac:dyDescent="0.25">
      <c r="A1577" s="4">
        <v>44350</v>
      </c>
      <c r="B1577" s="4" t="s">
        <v>1075</v>
      </c>
      <c r="C1577" s="34"/>
      <c r="D1577" s="34">
        <v>63.11</v>
      </c>
    </row>
    <row r="1578" spans="1:4" s="25" customFormat="1" hidden="1" x14ac:dyDescent="0.25">
      <c r="A1578" s="4">
        <v>44354</v>
      </c>
      <c r="B1578" s="4" t="s">
        <v>1076</v>
      </c>
      <c r="C1578" s="34"/>
      <c r="D1578" s="34">
        <v>1424.04</v>
      </c>
    </row>
    <row r="1579" spans="1:4" s="25" customFormat="1" hidden="1" x14ac:dyDescent="0.25">
      <c r="A1579" s="4">
        <v>44358</v>
      </c>
      <c r="B1579" s="4" t="s">
        <v>1056</v>
      </c>
      <c r="C1579" s="34">
        <v>10.95</v>
      </c>
      <c r="D1579" s="34"/>
    </row>
    <row r="1580" spans="1:4" s="25" customFormat="1" hidden="1" x14ac:dyDescent="0.25">
      <c r="A1580" s="4">
        <v>44365</v>
      </c>
      <c r="B1580" s="4" t="s">
        <v>1077</v>
      </c>
      <c r="C1580" s="34">
        <v>35015.85</v>
      </c>
      <c r="D1580" s="34"/>
    </row>
    <row r="1581" spans="1:4" s="25" customFormat="1" hidden="1" x14ac:dyDescent="0.25">
      <c r="A1581" s="4">
        <v>44369</v>
      </c>
      <c r="B1581" s="4" t="s">
        <v>1078</v>
      </c>
      <c r="C1581" s="34">
        <v>5423.55</v>
      </c>
      <c r="D1581" s="34"/>
    </row>
    <row r="1582" spans="1:4" s="25" customFormat="1" hidden="1" x14ac:dyDescent="0.25">
      <c r="A1582" s="4"/>
      <c r="B1582" s="4"/>
      <c r="C1582" s="34"/>
      <c r="D1582" s="34"/>
    </row>
    <row r="1583" spans="1:4" s="25" customFormat="1" hidden="1" x14ac:dyDescent="0.25">
      <c r="A1583" s="4">
        <v>44377</v>
      </c>
      <c r="B1583" t="s">
        <v>14</v>
      </c>
      <c r="C1583" s="36">
        <f>SUM(C1478:C1582)</f>
        <v>542476.83000000031</v>
      </c>
      <c r="D1583" s="36">
        <f>SUM(D1478:D1582)</f>
        <v>454085.30999999994</v>
      </c>
    </row>
    <row r="1584" spans="1:4" s="25" customFormat="1" x14ac:dyDescent="0.25">
      <c r="A1584" s="4"/>
      <c r="B1584" s="4" t="s">
        <v>15</v>
      </c>
      <c r="C1584" s="34">
        <f>IF(C1583&gt;D1583,C1583-D1583," ")</f>
        <v>88391.520000000368</v>
      </c>
      <c r="D1584" s="34" t="str">
        <f>IF(D1583&gt;C1583,D1583-C1583," ")</f>
        <v xml:space="preserve"> </v>
      </c>
    </row>
    <row r="1585" spans="1:4" s="25" customFormat="1" x14ac:dyDescent="0.25">
      <c r="A1585" s="4">
        <v>44378</v>
      </c>
      <c r="B1585" s="4" t="s">
        <v>1163</v>
      </c>
      <c r="C1585" s="34">
        <v>501.5</v>
      </c>
      <c r="D1585" s="34"/>
    </row>
    <row r="1586" spans="1:4" s="25" customFormat="1" x14ac:dyDescent="0.25">
      <c r="A1586" s="4">
        <v>44382</v>
      </c>
      <c r="B1586" s="4" t="s">
        <v>765</v>
      </c>
      <c r="C1586" s="34"/>
      <c r="D1586" s="34">
        <v>1575.15</v>
      </c>
    </row>
    <row r="1587" spans="1:4" s="25" customFormat="1" x14ac:dyDescent="0.25">
      <c r="A1587" s="4">
        <v>44382</v>
      </c>
      <c r="B1587" s="4" t="s">
        <v>1164</v>
      </c>
      <c r="C1587" s="34"/>
      <c r="D1587" s="34">
        <v>355.79</v>
      </c>
    </row>
    <row r="1588" spans="1:4" s="25" customFormat="1" x14ac:dyDescent="0.25">
      <c r="A1588" s="4">
        <v>44382</v>
      </c>
      <c r="B1588" s="4" t="s">
        <v>1080</v>
      </c>
      <c r="C1588" s="34"/>
      <c r="D1588" s="34">
        <v>62.67</v>
      </c>
    </row>
    <row r="1589" spans="1:4" s="25" customFormat="1" x14ac:dyDescent="0.25">
      <c r="A1589" s="4">
        <v>44391</v>
      </c>
      <c r="B1589" s="4" t="s">
        <v>1165</v>
      </c>
      <c r="C1589" s="34"/>
      <c r="D1589" s="34">
        <v>6837.31</v>
      </c>
    </row>
    <row r="1590" spans="1:4" s="25" customFormat="1" x14ac:dyDescent="0.25">
      <c r="A1590" s="4">
        <v>44391</v>
      </c>
      <c r="B1590" s="4" t="s">
        <v>1166</v>
      </c>
      <c r="C1590" s="34"/>
      <c r="D1590" s="34">
        <v>7119.23</v>
      </c>
    </row>
    <row r="1591" spans="1:4" s="25" customFormat="1" x14ac:dyDescent="0.25">
      <c r="A1591" s="4">
        <v>44391</v>
      </c>
      <c r="B1591" s="4" t="s">
        <v>795</v>
      </c>
      <c r="C1591" s="34">
        <v>38.659999999999997</v>
      </c>
      <c r="D1591" s="34"/>
    </row>
    <row r="1592" spans="1:4" s="25" customFormat="1" x14ac:dyDescent="0.25">
      <c r="A1592" s="4">
        <v>44391</v>
      </c>
      <c r="B1592" s="4" t="s">
        <v>1167</v>
      </c>
      <c r="C1592" s="34">
        <v>3165.1</v>
      </c>
      <c r="D1592" s="34"/>
    </row>
    <row r="1593" spans="1:4" s="25" customFormat="1" x14ac:dyDescent="0.25">
      <c r="A1593" s="4">
        <v>44392</v>
      </c>
      <c r="B1593" s="4" t="s">
        <v>1168</v>
      </c>
      <c r="C1593" s="34">
        <v>10583.91</v>
      </c>
      <c r="D1593" s="34"/>
    </row>
    <row r="1594" spans="1:4" s="25" customFormat="1" x14ac:dyDescent="0.25">
      <c r="A1594" s="4">
        <v>44393</v>
      </c>
      <c r="B1594" s="4" t="s">
        <v>1169</v>
      </c>
      <c r="C1594" s="34">
        <v>688.41</v>
      </c>
      <c r="D1594" s="34"/>
    </row>
    <row r="1595" spans="1:4" s="25" customFormat="1" x14ac:dyDescent="0.25">
      <c r="A1595" s="4">
        <v>44393</v>
      </c>
      <c r="B1595" s="4" t="s">
        <v>782</v>
      </c>
      <c r="C1595" s="34">
        <v>1019.43</v>
      </c>
      <c r="D1595" s="34"/>
    </row>
    <row r="1596" spans="1:4" s="25" customFormat="1" x14ac:dyDescent="0.25">
      <c r="A1596" s="4">
        <v>44397</v>
      </c>
      <c r="B1596" s="4" t="s">
        <v>828</v>
      </c>
      <c r="C1596" s="34">
        <v>4843.3999999999996</v>
      </c>
      <c r="D1596" s="34"/>
    </row>
    <row r="1597" spans="1:4" s="25" customFormat="1" x14ac:dyDescent="0.25">
      <c r="A1597" s="4">
        <v>44398</v>
      </c>
      <c r="B1597" s="4" t="s">
        <v>1170</v>
      </c>
      <c r="C1597" s="34">
        <v>219.09</v>
      </c>
      <c r="D1597" s="34"/>
    </row>
    <row r="1598" spans="1:4" s="25" customFormat="1" x14ac:dyDescent="0.25">
      <c r="A1598" s="4">
        <v>44398</v>
      </c>
      <c r="B1598" s="4" t="s">
        <v>1042</v>
      </c>
      <c r="C1598" s="34">
        <v>450</v>
      </c>
      <c r="D1598" s="34"/>
    </row>
    <row r="1599" spans="1:4" s="25" customFormat="1" x14ac:dyDescent="0.25">
      <c r="A1599" s="4">
        <v>44405</v>
      </c>
      <c r="B1599" s="4" t="s">
        <v>1171</v>
      </c>
      <c r="C1599" s="34">
        <v>341.18</v>
      </c>
      <c r="D1599" s="34"/>
    </row>
    <row r="1600" spans="1:4" s="25" customFormat="1" x14ac:dyDescent="0.25">
      <c r="A1600" s="4">
        <v>44405</v>
      </c>
      <c r="B1600" s="4" t="s">
        <v>1172</v>
      </c>
      <c r="C1600" s="34">
        <v>10581.23</v>
      </c>
      <c r="D1600" s="34"/>
    </row>
    <row r="1601" spans="1:4" s="25" customFormat="1" x14ac:dyDescent="0.25">
      <c r="A1601" s="4">
        <v>44406</v>
      </c>
      <c r="B1601" s="4" t="s">
        <v>827</v>
      </c>
      <c r="C1601" s="34">
        <v>815.51</v>
      </c>
      <c r="D1601" s="34"/>
    </row>
    <row r="1602" spans="1:4" s="25" customFormat="1" x14ac:dyDescent="0.25">
      <c r="A1602" s="4">
        <v>44413</v>
      </c>
      <c r="B1602" s="4" t="s">
        <v>1164</v>
      </c>
      <c r="C1602" s="34"/>
      <c r="D1602" s="34">
        <v>368.27</v>
      </c>
    </row>
    <row r="1603" spans="1:4" s="25" customFormat="1" x14ac:dyDescent="0.25">
      <c r="A1603" s="4">
        <v>44413</v>
      </c>
      <c r="B1603" s="4" t="s">
        <v>1080</v>
      </c>
      <c r="C1603" s="34"/>
      <c r="D1603" s="34">
        <v>63.17</v>
      </c>
    </row>
    <row r="1604" spans="1:4" s="25" customFormat="1" x14ac:dyDescent="0.25">
      <c r="A1604" s="4">
        <v>44431</v>
      </c>
      <c r="B1604" s="4" t="s">
        <v>765</v>
      </c>
      <c r="C1604" s="34"/>
      <c r="D1604" s="34">
        <v>487</v>
      </c>
    </row>
    <row r="1605" spans="1:4" s="25" customFormat="1" x14ac:dyDescent="0.25">
      <c r="A1605" s="4">
        <v>44431</v>
      </c>
      <c r="B1605" s="4" t="s">
        <v>1173</v>
      </c>
      <c r="C1605" s="34">
        <v>505.68</v>
      </c>
      <c r="D1605" s="34"/>
    </row>
    <row r="1606" spans="1:4" s="25" customFormat="1" x14ac:dyDescent="0.25">
      <c r="A1606" s="4">
        <v>44435</v>
      </c>
      <c r="B1606" s="4" t="s">
        <v>1174</v>
      </c>
      <c r="C1606" s="34">
        <v>373.75</v>
      </c>
      <c r="D1606" s="34"/>
    </row>
    <row r="1607" spans="1:4" s="25" customFormat="1" x14ac:dyDescent="0.25">
      <c r="A1607" s="4">
        <v>44442</v>
      </c>
      <c r="B1607" s="4" t="s">
        <v>1164</v>
      </c>
      <c r="C1607" s="34"/>
      <c r="D1607" s="34">
        <v>378.11</v>
      </c>
    </row>
    <row r="1608" spans="1:4" s="25" customFormat="1" x14ac:dyDescent="0.25">
      <c r="A1608" s="4">
        <v>44442</v>
      </c>
      <c r="B1608" s="4" t="s">
        <v>1080</v>
      </c>
      <c r="C1608" s="34"/>
      <c r="D1608" s="34">
        <v>63.02</v>
      </c>
    </row>
    <row r="1609" spans="1:4" s="25" customFormat="1" x14ac:dyDescent="0.25">
      <c r="A1609" s="4">
        <v>44452</v>
      </c>
      <c r="B1609" s="4" t="s">
        <v>1005</v>
      </c>
      <c r="C1609" s="34"/>
      <c r="D1609" s="34">
        <v>7581.53</v>
      </c>
    </row>
    <row r="1610" spans="1:4" s="25" customFormat="1" x14ac:dyDescent="0.25">
      <c r="A1610" s="4">
        <v>44452</v>
      </c>
      <c r="B1610" s="4" t="s">
        <v>1005</v>
      </c>
      <c r="C1610" s="34"/>
      <c r="D1610" s="34">
        <v>7100.28</v>
      </c>
    </row>
    <row r="1611" spans="1:4" s="25" customFormat="1" x14ac:dyDescent="0.25">
      <c r="A1611" s="4">
        <v>44461</v>
      </c>
      <c r="B1611" s="4" t="s">
        <v>1175</v>
      </c>
      <c r="C1611" s="34">
        <v>979.2</v>
      </c>
      <c r="D1611" s="34"/>
    </row>
    <row r="1612" spans="1:4" s="25" customFormat="1" x14ac:dyDescent="0.25">
      <c r="A1612" s="4">
        <v>44462</v>
      </c>
      <c r="B1612" s="4" t="s">
        <v>787</v>
      </c>
      <c r="C1612" s="34">
        <v>1312.15</v>
      </c>
      <c r="D1612" s="34"/>
    </row>
    <row r="1613" spans="1:4" s="25" customFormat="1" x14ac:dyDescent="0.25">
      <c r="A1613" s="4">
        <v>44463</v>
      </c>
      <c r="B1613" s="4" t="s">
        <v>1176</v>
      </c>
      <c r="C1613" s="34">
        <v>604.02</v>
      </c>
      <c r="D1613" s="34"/>
    </row>
    <row r="1614" spans="1:4" s="25" customFormat="1" x14ac:dyDescent="0.25">
      <c r="A1614" s="4">
        <v>44467</v>
      </c>
      <c r="B1614" s="4" t="s">
        <v>1177</v>
      </c>
      <c r="C1614" s="34">
        <v>236.32</v>
      </c>
      <c r="D1614" s="34"/>
    </row>
    <row r="1615" spans="1:4" s="25" customFormat="1" x14ac:dyDescent="0.25">
      <c r="A1615" s="4">
        <v>44468</v>
      </c>
      <c r="B1615" s="4" t="s">
        <v>1178</v>
      </c>
      <c r="C1615" s="34">
        <v>724</v>
      </c>
      <c r="D1615" s="34"/>
    </row>
    <row r="1616" spans="1:4" s="25" customFormat="1" x14ac:dyDescent="0.25">
      <c r="A1616" s="4">
        <v>44469</v>
      </c>
      <c r="B1616" s="4" t="s">
        <v>1179</v>
      </c>
      <c r="C1616" s="34"/>
      <c r="D1616" s="34">
        <v>3406</v>
      </c>
    </row>
    <row r="1617" spans="1:4" s="25" customFormat="1" x14ac:dyDescent="0.25">
      <c r="A1617" s="4">
        <v>44469</v>
      </c>
      <c r="B1617" s="4" t="s">
        <v>1180</v>
      </c>
      <c r="C1617" s="34">
        <v>441.56</v>
      </c>
      <c r="D1617" s="34"/>
    </row>
    <row r="1618" spans="1:4" s="25" customFormat="1" x14ac:dyDescent="0.25">
      <c r="A1618" s="4">
        <v>44470</v>
      </c>
      <c r="B1618" s="4" t="s">
        <v>883</v>
      </c>
      <c r="C1618" s="34">
        <v>217.5</v>
      </c>
      <c r="D1618" s="34"/>
    </row>
    <row r="1619" spans="1:4" s="25" customFormat="1" x14ac:dyDescent="0.25">
      <c r="A1619" s="4">
        <v>44475</v>
      </c>
      <c r="B1619" s="4" t="s">
        <v>1164</v>
      </c>
      <c r="C1619" s="34"/>
      <c r="D1619" s="34">
        <v>356.71</v>
      </c>
    </row>
    <row r="1620" spans="1:4" s="25" customFormat="1" x14ac:dyDescent="0.25">
      <c r="A1620" s="4">
        <v>44475</v>
      </c>
      <c r="B1620" s="4" t="s">
        <v>1080</v>
      </c>
      <c r="C1620" s="34"/>
      <c r="D1620" s="34">
        <v>60.68</v>
      </c>
    </row>
    <row r="1621" spans="1:4" s="25" customFormat="1" x14ac:dyDescent="0.25">
      <c r="A1621" s="4">
        <v>44476</v>
      </c>
      <c r="B1621" s="4" t="s">
        <v>1181</v>
      </c>
      <c r="C1621" s="34">
        <v>759.6</v>
      </c>
      <c r="D1621" s="34"/>
    </row>
    <row r="1622" spans="1:4" s="25" customFormat="1" x14ac:dyDescent="0.25">
      <c r="A1622" s="4">
        <v>44477</v>
      </c>
      <c r="B1622" s="4" t="s">
        <v>795</v>
      </c>
      <c r="C1622" s="34">
        <v>57.75</v>
      </c>
      <c r="D1622" s="34"/>
    </row>
    <row r="1623" spans="1:4" s="25" customFormat="1" x14ac:dyDescent="0.25">
      <c r="A1623" s="4">
        <v>44487</v>
      </c>
      <c r="B1623" s="4" t="s">
        <v>765</v>
      </c>
      <c r="C1623" s="34"/>
      <c r="D1623" s="34">
        <v>291</v>
      </c>
    </row>
    <row r="1624" spans="1:4" s="25" customFormat="1" x14ac:dyDescent="0.25">
      <c r="A1624" s="4">
        <v>44487</v>
      </c>
      <c r="B1624" s="4" t="s">
        <v>1182</v>
      </c>
      <c r="C1624" s="34">
        <v>148.5</v>
      </c>
      <c r="D1624" s="34"/>
    </row>
    <row r="1625" spans="1:4" s="25" customFormat="1" x14ac:dyDescent="0.25">
      <c r="A1625" s="4">
        <v>44487</v>
      </c>
      <c r="B1625" s="4" t="s">
        <v>782</v>
      </c>
      <c r="C1625" s="34">
        <v>129.24</v>
      </c>
      <c r="D1625" s="34"/>
    </row>
    <row r="1626" spans="1:4" s="25" customFormat="1" x14ac:dyDescent="0.25">
      <c r="A1626" s="4">
        <v>44491</v>
      </c>
      <c r="B1626" s="4" t="s">
        <v>1183</v>
      </c>
      <c r="C1626" s="34">
        <v>5892</v>
      </c>
      <c r="D1626" s="34"/>
    </row>
    <row r="1627" spans="1:4" s="25" customFormat="1" x14ac:dyDescent="0.25">
      <c r="A1627" s="4">
        <v>44497</v>
      </c>
      <c r="B1627" s="4" t="s">
        <v>1184</v>
      </c>
      <c r="C1627" s="34">
        <v>586.76</v>
      </c>
      <c r="D1627" s="34"/>
    </row>
    <row r="1628" spans="1:4" s="25" customFormat="1" x14ac:dyDescent="0.25">
      <c r="A1628" s="4">
        <v>44503</v>
      </c>
      <c r="B1628" s="4" t="s">
        <v>1164</v>
      </c>
      <c r="C1628" s="34"/>
      <c r="D1628" s="34">
        <v>363.92</v>
      </c>
    </row>
    <row r="1629" spans="1:4" s="25" customFormat="1" x14ac:dyDescent="0.25">
      <c r="A1629" s="4">
        <v>44503</v>
      </c>
      <c r="B1629" s="4" t="s">
        <v>1080</v>
      </c>
      <c r="C1629" s="34"/>
      <c r="D1629" s="34">
        <v>62.57</v>
      </c>
    </row>
    <row r="1630" spans="1:4" s="25" customFormat="1" x14ac:dyDescent="0.25">
      <c r="A1630" s="4">
        <v>44530</v>
      </c>
      <c r="B1630" s="4" t="s">
        <v>1185</v>
      </c>
      <c r="C1630" s="34">
        <v>75000</v>
      </c>
      <c r="D1630" s="34"/>
    </row>
    <row r="1631" spans="1:4" s="25" customFormat="1" x14ac:dyDescent="0.25">
      <c r="A1631" s="4">
        <v>44530</v>
      </c>
      <c r="B1631" s="4" t="s">
        <v>1186</v>
      </c>
      <c r="C1631" s="34">
        <v>130.88999999999999</v>
      </c>
      <c r="D1631" s="34"/>
    </row>
    <row r="1632" spans="1:4" s="25" customFormat="1" x14ac:dyDescent="0.25">
      <c r="A1632" s="4">
        <v>44531</v>
      </c>
      <c r="B1632" s="4" t="s">
        <v>1187</v>
      </c>
      <c r="C1632" s="34"/>
      <c r="D1632" s="34">
        <v>100000</v>
      </c>
    </row>
    <row r="1633" spans="1:4" s="25" customFormat="1" x14ac:dyDescent="0.25">
      <c r="A1633" s="4">
        <v>44532</v>
      </c>
      <c r="B1633" s="4" t="s">
        <v>1188</v>
      </c>
      <c r="C1633" s="34"/>
      <c r="D1633" s="34">
        <v>25085.69</v>
      </c>
    </row>
    <row r="1634" spans="1:4" s="25" customFormat="1" x14ac:dyDescent="0.25">
      <c r="A1634" s="4">
        <v>44532</v>
      </c>
      <c r="B1634" s="4" t="s">
        <v>1189</v>
      </c>
      <c r="C1634" s="34"/>
      <c r="D1634" s="34">
        <v>20459.32</v>
      </c>
    </row>
    <row r="1635" spans="1:4" s="25" customFormat="1" x14ac:dyDescent="0.25">
      <c r="A1635" s="4">
        <v>44532</v>
      </c>
      <c r="B1635" s="4" t="s">
        <v>1190</v>
      </c>
      <c r="C1635" s="34">
        <v>1688</v>
      </c>
      <c r="D1635" s="34"/>
    </row>
    <row r="1636" spans="1:4" s="25" customFormat="1" x14ac:dyDescent="0.25">
      <c r="A1636" s="4">
        <v>44532</v>
      </c>
      <c r="B1636" s="4" t="s">
        <v>1191</v>
      </c>
      <c r="C1636" s="34">
        <v>36909.86</v>
      </c>
      <c r="D1636" s="34"/>
    </row>
    <row r="1637" spans="1:4" s="25" customFormat="1" x14ac:dyDescent="0.25">
      <c r="A1637" s="4">
        <v>44532</v>
      </c>
      <c r="B1637" s="4" t="s">
        <v>1192</v>
      </c>
      <c r="C1637" s="34">
        <v>20822.73</v>
      </c>
      <c r="D1637" s="34"/>
    </row>
    <row r="1638" spans="1:4" s="25" customFormat="1" x14ac:dyDescent="0.25">
      <c r="A1638" s="4">
        <v>44533</v>
      </c>
      <c r="B1638" s="4" t="s">
        <v>1164</v>
      </c>
      <c r="C1638" s="34"/>
      <c r="D1638" s="34">
        <v>355.78</v>
      </c>
    </row>
    <row r="1639" spans="1:4" s="25" customFormat="1" x14ac:dyDescent="0.25">
      <c r="A1639" s="4">
        <v>44533</v>
      </c>
      <c r="B1639" s="4" t="s">
        <v>1080</v>
      </c>
      <c r="C1639" s="34"/>
      <c r="D1639" s="34">
        <v>60.28</v>
      </c>
    </row>
    <row r="1640" spans="1:4" s="25" customFormat="1" x14ac:dyDescent="0.25">
      <c r="A1640" s="4">
        <v>44546</v>
      </c>
      <c r="B1640" s="4" t="s">
        <v>1193</v>
      </c>
      <c r="C1640" s="34">
        <v>720</v>
      </c>
      <c r="D1640" s="34"/>
    </row>
    <row r="1641" spans="1:4" s="25" customFormat="1" x14ac:dyDescent="0.25">
      <c r="A1641" s="4">
        <v>44567</v>
      </c>
      <c r="B1641" s="4" t="s">
        <v>1164</v>
      </c>
      <c r="C1641" s="34"/>
      <c r="D1641" s="34">
        <v>361.71</v>
      </c>
    </row>
    <row r="1642" spans="1:4" s="25" customFormat="1" x14ac:dyDescent="0.25">
      <c r="A1642" s="4">
        <v>44567</v>
      </c>
      <c r="B1642" s="4" t="s">
        <v>1080</v>
      </c>
      <c r="C1642" s="34"/>
      <c r="D1642" s="34">
        <v>62.22</v>
      </c>
    </row>
    <row r="1643" spans="1:4" s="25" customFormat="1" x14ac:dyDescent="0.25">
      <c r="A1643" s="4">
        <v>44575</v>
      </c>
      <c r="B1643" s="4" t="s">
        <v>795</v>
      </c>
      <c r="C1643" s="34">
        <v>14.93</v>
      </c>
      <c r="D1643" s="34"/>
    </row>
    <row r="1644" spans="1:4" s="25" customFormat="1" x14ac:dyDescent="0.25">
      <c r="A1644" s="4">
        <v>44578</v>
      </c>
      <c r="B1644" s="4" t="s">
        <v>765</v>
      </c>
      <c r="C1644" s="34"/>
      <c r="D1644" s="34">
        <v>291</v>
      </c>
    </row>
    <row r="1645" spans="1:4" s="25" customFormat="1" x14ac:dyDescent="0.25">
      <c r="A1645" s="4">
        <v>44580</v>
      </c>
      <c r="B1645" s="4" t="s">
        <v>1194</v>
      </c>
      <c r="C1645" s="34">
        <v>639.99</v>
      </c>
      <c r="D1645" s="34"/>
    </row>
    <row r="1646" spans="1:4" s="25" customFormat="1" x14ac:dyDescent="0.25">
      <c r="A1646" s="4">
        <v>44580</v>
      </c>
      <c r="B1646" s="4" t="s">
        <v>1195</v>
      </c>
      <c r="C1646" s="34">
        <v>133.88999999999999</v>
      </c>
      <c r="D1646" s="34"/>
    </row>
    <row r="1647" spans="1:4" s="25" customFormat="1" x14ac:dyDescent="0.25">
      <c r="A1647" s="4">
        <v>44580</v>
      </c>
      <c r="B1647" s="4" t="s">
        <v>1056</v>
      </c>
      <c r="C1647" s="34">
        <v>10.92</v>
      </c>
      <c r="D1647" s="34"/>
    </row>
    <row r="1648" spans="1:4" s="25" customFormat="1" x14ac:dyDescent="0.25">
      <c r="A1648" s="4">
        <v>44581</v>
      </c>
      <c r="B1648" s="4" t="s">
        <v>1056</v>
      </c>
      <c r="C1648" s="34">
        <v>10.96</v>
      </c>
      <c r="D1648" s="34"/>
    </row>
    <row r="1649" spans="1:4" s="25" customFormat="1" x14ac:dyDescent="0.25">
      <c r="A1649" s="4">
        <v>44582</v>
      </c>
      <c r="B1649" s="4" t="s">
        <v>1196</v>
      </c>
      <c r="C1649" s="34">
        <v>5892</v>
      </c>
      <c r="D1649" s="34"/>
    </row>
    <row r="1650" spans="1:4" s="25" customFormat="1" x14ac:dyDescent="0.25">
      <c r="A1650" s="4">
        <v>44586</v>
      </c>
      <c r="B1650" s="4" t="s">
        <v>782</v>
      </c>
      <c r="C1650" s="34">
        <v>137.71</v>
      </c>
      <c r="D1650" s="34"/>
    </row>
    <row r="1651" spans="1:4" s="25" customFormat="1" x14ac:dyDescent="0.25">
      <c r="A1651" s="4">
        <v>44588</v>
      </c>
      <c r="B1651" s="4" t="s">
        <v>1197</v>
      </c>
      <c r="C1651" s="34">
        <v>622.80999999999995</v>
      </c>
      <c r="D1651" s="34"/>
    </row>
    <row r="1652" spans="1:4" s="25" customFormat="1" x14ac:dyDescent="0.25">
      <c r="A1652" s="4">
        <v>44592</v>
      </c>
      <c r="B1652" s="4" t="s">
        <v>827</v>
      </c>
      <c r="C1652" s="34">
        <v>815.51</v>
      </c>
      <c r="D1652" s="34"/>
    </row>
    <row r="1653" spans="1:4" s="25" customFormat="1" x14ac:dyDescent="0.25">
      <c r="A1653" s="4">
        <v>44595</v>
      </c>
      <c r="B1653" s="4" t="s">
        <v>1164</v>
      </c>
      <c r="C1653" s="34"/>
      <c r="D1653" s="34">
        <v>357.33</v>
      </c>
    </row>
    <row r="1654" spans="1:4" s="25" customFormat="1" x14ac:dyDescent="0.25">
      <c r="A1654" s="4">
        <v>44595</v>
      </c>
      <c r="B1654" s="4" t="s">
        <v>1080</v>
      </c>
      <c r="C1654" s="34"/>
      <c r="D1654" s="34">
        <v>62.04</v>
      </c>
    </row>
    <row r="1655" spans="1:4" s="25" customFormat="1" x14ac:dyDescent="0.25">
      <c r="A1655" s="4">
        <v>44608</v>
      </c>
      <c r="B1655" s="4" t="s">
        <v>1198</v>
      </c>
      <c r="C1655" s="34">
        <v>1964</v>
      </c>
      <c r="D1655" s="34"/>
    </row>
    <row r="1656" spans="1:4" s="25" customFormat="1" x14ac:dyDescent="0.25">
      <c r="A1656" s="4">
        <v>44614</v>
      </c>
      <c r="B1656" s="4" t="s">
        <v>1199</v>
      </c>
      <c r="C1656" s="34">
        <v>392.1</v>
      </c>
      <c r="D1656" s="34"/>
    </row>
    <row r="1657" spans="1:4" s="25" customFormat="1" x14ac:dyDescent="0.25">
      <c r="A1657" s="4">
        <v>44620</v>
      </c>
      <c r="B1657" s="4" t="s">
        <v>1056</v>
      </c>
      <c r="C1657" s="34">
        <v>11.02</v>
      </c>
      <c r="D1657" s="34"/>
    </row>
    <row r="1658" spans="1:4" s="25" customFormat="1" x14ac:dyDescent="0.25">
      <c r="A1658" s="4">
        <v>44623</v>
      </c>
      <c r="B1658" s="4" t="s">
        <v>1164</v>
      </c>
      <c r="C1658" s="34"/>
      <c r="D1658" s="34">
        <v>317.67</v>
      </c>
    </row>
    <row r="1659" spans="1:4" s="25" customFormat="1" x14ac:dyDescent="0.25">
      <c r="A1659" s="4">
        <v>44623</v>
      </c>
      <c r="B1659" s="4" t="s">
        <v>1080</v>
      </c>
      <c r="C1659" s="34"/>
      <c r="D1659" s="34">
        <v>55.65</v>
      </c>
    </row>
    <row r="1660" spans="1:4" s="25" customFormat="1" x14ac:dyDescent="0.25">
      <c r="A1660" s="4">
        <v>44628</v>
      </c>
      <c r="B1660" s="4" t="s">
        <v>787</v>
      </c>
      <c r="C1660" s="34">
        <v>1266.1500000000001</v>
      </c>
      <c r="D1660" s="34"/>
    </row>
    <row r="1661" spans="1:4" s="25" customFormat="1" x14ac:dyDescent="0.25">
      <c r="A1661" s="4">
        <v>44636</v>
      </c>
      <c r="B1661" s="4" t="s">
        <v>1200</v>
      </c>
      <c r="C1661" s="34">
        <v>1964</v>
      </c>
      <c r="D1661" s="34"/>
    </row>
    <row r="1662" spans="1:4" s="25" customFormat="1" x14ac:dyDescent="0.25">
      <c r="A1662" s="4">
        <v>44642</v>
      </c>
      <c r="B1662" s="4" t="s">
        <v>1201</v>
      </c>
      <c r="C1662" s="34"/>
      <c r="D1662" s="34">
        <v>39889.72</v>
      </c>
    </row>
    <row r="1663" spans="1:4" s="25" customFormat="1" x14ac:dyDescent="0.25">
      <c r="A1663" s="4">
        <v>44643</v>
      </c>
      <c r="B1663" s="4" t="s">
        <v>1202</v>
      </c>
      <c r="C1663" s="34">
        <v>2151.4499999999998</v>
      </c>
      <c r="D1663" s="34"/>
    </row>
    <row r="1664" spans="1:4" s="25" customFormat="1" x14ac:dyDescent="0.25">
      <c r="A1664" s="4">
        <v>44644</v>
      </c>
      <c r="B1664" s="4" t="s">
        <v>1203</v>
      </c>
      <c r="C1664" s="34">
        <v>39425.980000000003</v>
      </c>
      <c r="D1664" s="34"/>
    </row>
    <row r="1665" spans="1:4" s="25" customFormat="1" x14ac:dyDescent="0.25">
      <c r="A1665" s="4">
        <v>44645</v>
      </c>
      <c r="B1665" s="4" t="s">
        <v>883</v>
      </c>
      <c r="C1665" s="34">
        <v>362.5</v>
      </c>
      <c r="D1665" s="34"/>
    </row>
    <row r="1666" spans="1:4" s="25" customFormat="1" x14ac:dyDescent="0.25">
      <c r="A1666" s="4">
        <v>44650</v>
      </c>
      <c r="B1666" s="4" t="s">
        <v>1204</v>
      </c>
      <c r="C1666" s="34">
        <v>714</v>
      </c>
      <c r="D1666" s="34"/>
    </row>
    <row r="1667" spans="1:4" s="25" customFormat="1" x14ac:dyDescent="0.25">
      <c r="A1667" s="4">
        <v>44650</v>
      </c>
      <c r="B1667" s="4" t="s">
        <v>1205</v>
      </c>
      <c r="C1667" s="34">
        <v>675.2</v>
      </c>
      <c r="D1667" s="34"/>
    </row>
    <row r="1668" spans="1:4" s="25" customFormat="1" x14ac:dyDescent="0.25">
      <c r="A1668" s="4">
        <v>44650</v>
      </c>
      <c r="B1668" s="4" t="s">
        <v>1206</v>
      </c>
      <c r="C1668" s="34">
        <v>633.5</v>
      </c>
      <c r="D1668" s="34"/>
    </row>
    <row r="1669" spans="1:4" s="25" customFormat="1" x14ac:dyDescent="0.25">
      <c r="A1669" s="4">
        <v>44651</v>
      </c>
      <c r="B1669" s="4" t="s">
        <v>1207</v>
      </c>
      <c r="C1669" s="34">
        <v>83.54</v>
      </c>
      <c r="D1669" s="34"/>
    </row>
    <row r="1670" spans="1:4" s="25" customFormat="1" x14ac:dyDescent="0.25">
      <c r="A1670" s="4">
        <v>44651</v>
      </c>
      <c r="B1670" s="4" t="s">
        <v>1208</v>
      </c>
      <c r="C1670" s="34">
        <v>278.52</v>
      </c>
      <c r="D1670" s="34"/>
    </row>
    <row r="1671" spans="1:4" s="25" customFormat="1" x14ac:dyDescent="0.25">
      <c r="A1671" s="4">
        <v>44656</v>
      </c>
      <c r="B1671" s="4" t="s">
        <v>1164</v>
      </c>
      <c r="C1671" s="34"/>
      <c r="D1671" s="34">
        <v>346.6</v>
      </c>
    </row>
    <row r="1672" spans="1:4" s="25" customFormat="1" x14ac:dyDescent="0.25">
      <c r="A1672" s="4">
        <v>44656</v>
      </c>
      <c r="B1672" s="4" t="s">
        <v>1080</v>
      </c>
      <c r="C1672" s="34"/>
      <c r="D1672" s="34">
        <v>62.17</v>
      </c>
    </row>
    <row r="1673" spans="1:4" s="25" customFormat="1" x14ac:dyDescent="0.25">
      <c r="A1673" s="4">
        <v>44671</v>
      </c>
      <c r="B1673" s="4" t="s">
        <v>1209</v>
      </c>
      <c r="C1673" s="34">
        <v>260.39999999999998</v>
      </c>
      <c r="D1673" s="34"/>
    </row>
    <row r="1674" spans="1:4" s="25" customFormat="1" x14ac:dyDescent="0.25">
      <c r="A1674" s="4">
        <v>44673</v>
      </c>
      <c r="B1674" s="4" t="s">
        <v>782</v>
      </c>
      <c r="C1674" s="34">
        <v>165.63</v>
      </c>
      <c r="D1674" s="34"/>
    </row>
    <row r="1675" spans="1:4" s="25" customFormat="1" x14ac:dyDescent="0.25">
      <c r="A1675" s="4">
        <v>44680</v>
      </c>
      <c r="B1675" s="4" t="s">
        <v>1210</v>
      </c>
      <c r="C1675" s="34">
        <v>1964</v>
      </c>
      <c r="D1675" s="34"/>
    </row>
    <row r="1676" spans="1:4" s="25" customFormat="1" x14ac:dyDescent="0.25">
      <c r="A1676" s="4">
        <v>44685</v>
      </c>
      <c r="B1676" s="4" t="s">
        <v>1164</v>
      </c>
      <c r="C1676" s="34"/>
      <c r="D1676" s="34">
        <v>345.77</v>
      </c>
    </row>
    <row r="1677" spans="1:4" s="25" customFormat="1" x14ac:dyDescent="0.25">
      <c r="A1677" s="4">
        <v>44685</v>
      </c>
      <c r="B1677" s="4" t="s">
        <v>1080</v>
      </c>
      <c r="C1677" s="34"/>
      <c r="D1677" s="34">
        <v>60.69</v>
      </c>
    </row>
    <row r="1678" spans="1:4" s="25" customFormat="1" x14ac:dyDescent="0.25">
      <c r="A1678" s="4">
        <v>44692</v>
      </c>
      <c r="B1678" s="4" t="s">
        <v>765</v>
      </c>
      <c r="C1678" s="34"/>
      <c r="D1678" s="34">
        <v>291</v>
      </c>
    </row>
    <row r="1679" spans="1:4" s="25" customFormat="1" x14ac:dyDescent="0.25">
      <c r="A1679" s="4">
        <v>44697</v>
      </c>
      <c r="B1679" s="4" t="s">
        <v>761</v>
      </c>
      <c r="C1679" s="34"/>
      <c r="D1679" s="34">
        <v>3410</v>
      </c>
    </row>
    <row r="1680" spans="1:4" s="25" customFormat="1" x14ac:dyDescent="0.25">
      <c r="A1680" s="4">
        <v>44697</v>
      </c>
      <c r="B1680" s="4" t="s">
        <v>765</v>
      </c>
      <c r="C1680" s="34"/>
      <c r="D1680" s="34">
        <v>7299.17</v>
      </c>
    </row>
    <row r="1681" spans="1:4" s="25" customFormat="1" x14ac:dyDescent="0.25">
      <c r="A1681" s="4">
        <v>44700</v>
      </c>
      <c r="B1681" s="4" t="s">
        <v>1211</v>
      </c>
      <c r="C1681" s="34">
        <v>1964</v>
      </c>
      <c r="D1681" s="34"/>
    </row>
    <row r="1682" spans="1:4" s="25" customFormat="1" x14ac:dyDescent="0.25">
      <c r="A1682" s="4">
        <v>44712</v>
      </c>
      <c r="B1682" s="4" t="s">
        <v>1212</v>
      </c>
      <c r="C1682" s="34"/>
      <c r="D1682" s="34">
        <v>35000</v>
      </c>
    </row>
    <row r="1683" spans="1:4" s="25" customFormat="1" x14ac:dyDescent="0.25">
      <c r="A1683" s="4">
        <v>44712</v>
      </c>
      <c r="B1683" s="4" t="s">
        <v>1213</v>
      </c>
      <c r="C1683" s="34"/>
      <c r="D1683" s="34">
        <v>35000</v>
      </c>
    </row>
    <row r="1684" spans="1:4" s="25" customFormat="1" x14ac:dyDescent="0.25">
      <c r="A1684" s="4">
        <v>44712</v>
      </c>
      <c r="B1684" s="4" t="s">
        <v>1056</v>
      </c>
      <c r="C1684" s="34">
        <v>9.9600000000000009</v>
      </c>
      <c r="D1684" s="34"/>
    </row>
    <row r="1685" spans="1:4" s="25" customFormat="1" x14ac:dyDescent="0.25">
      <c r="A1685" s="4">
        <v>44712</v>
      </c>
      <c r="B1685" s="4" t="s">
        <v>1214</v>
      </c>
      <c r="C1685" s="34">
        <v>100000</v>
      </c>
      <c r="D1685" s="34"/>
    </row>
    <row r="1686" spans="1:4" s="25" customFormat="1" x14ac:dyDescent="0.25">
      <c r="A1686" s="4">
        <v>44712</v>
      </c>
      <c r="B1686" s="4" t="s">
        <v>1186</v>
      </c>
      <c r="C1686" s="34">
        <v>162.74</v>
      </c>
      <c r="D1686" s="34"/>
    </row>
    <row r="1687" spans="1:4" s="25" customFormat="1" x14ac:dyDescent="0.25">
      <c r="A1687" s="4">
        <v>44713</v>
      </c>
      <c r="B1687" s="4" t="s">
        <v>1215</v>
      </c>
      <c r="C1687" s="34"/>
      <c r="D1687" s="34">
        <v>100000</v>
      </c>
    </row>
    <row r="1688" spans="1:4" s="25" customFormat="1" x14ac:dyDescent="0.25">
      <c r="A1688" s="4">
        <v>44713</v>
      </c>
      <c r="B1688" s="4" t="s">
        <v>1216</v>
      </c>
      <c r="C1688" s="34">
        <v>37812.769999999997</v>
      </c>
      <c r="D1688" s="34"/>
    </row>
    <row r="1689" spans="1:4" s="25" customFormat="1" x14ac:dyDescent="0.25">
      <c r="A1689" s="4">
        <v>44713</v>
      </c>
      <c r="B1689" s="4" t="s">
        <v>1217</v>
      </c>
      <c r="C1689" s="34">
        <v>19734.34</v>
      </c>
      <c r="D1689" s="34"/>
    </row>
    <row r="1690" spans="1:4" s="25" customFormat="1" x14ac:dyDescent="0.25">
      <c r="A1690" s="4">
        <v>44718</v>
      </c>
      <c r="B1690" s="4" t="s">
        <v>1164</v>
      </c>
      <c r="C1690" s="34"/>
      <c r="D1690" s="34">
        <v>340.11</v>
      </c>
    </row>
    <row r="1691" spans="1:4" s="25" customFormat="1" x14ac:dyDescent="0.25">
      <c r="A1691" s="4">
        <v>44718</v>
      </c>
      <c r="B1691" s="4" t="s">
        <v>1080</v>
      </c>
      <c r="C1691" s="34"/>
      <c r="D1691" s="34">
        <v>61.19</v>
      </c>
    </row>
    <row r="1692" spans="1:4" s="25" customFormat="1" x14ac:dyDescent="0.25">
      <c r="A1692" s="4">
        <v>44732</v>
      </c>
      <c r="B1692" s="4" t="s">
        <v>1218</v>
      </c>
      <c r="C1692" s="34">
        <v>110000</v>
      </c>
      <c r="D1692" s="34"/>
    </row>
    <row r="1693" spans="1:4" s="25" customFormat="1" x14ac:dyDescent="0.25">
      <c r="A1693" s="4">
        <v>44734</v>
      </c>
      <c r="B1693" s="4" t="s">
        <v>1219</v>
      </c>
      <c r="C1693" s="34">
        <v>1964</v>
      </c>
      <c r="D1693" s="34"/>
    </row>
    <row r="1694" spans="1:4" s="25" customFormat="1" x14ac:dyDescent="0.25">
      <c r="A1694" s="4">
        <v>44734</v>
      </c>
      <c r="B1694" s="4" t="s">
        <v>1220</v>
      </c>
      <c r="C1694" s="34">
        <v>1964</v>
      </c>
      <c r="D1694" s="34"/>
    </row>
    <row r="1695" spans="1:4" s="25" customFormat="1" x14ac:dyDescent="0.25">
      <c r="A1695" s="4">
        <v>44735</v>
      </c>
      <c r="B1695" s="4" t="s">
        <v>1221</v>
      </c>
      <c r="C1695" s="34">
        <v>500</v>
      </c>
      <c r="D1695" s="34"/>
    </row>
    <row r="1696" spans="1:4" s="25" customFormat="1" x14ac:dyDescent="0.25">
      <c r="A1696" s="4">
        <v>44739</v>
      </c>
      <c r="B1696" s="4" t="s">
        <v>765</v>
      </c>
      <c r="C1696" s="34"/>
      <c r="D1696" s="34">
        <v>1627.05</v>
      </c>
    </row>
    <row r="1697" spans="1:4" s="25" customFormat="1" x14ac:dyDescent="0.25">
      <c r="A1697" s="4">
        <v>44742</v>
      </c>
      <c r="B1697" s="4" t="s">
        <v>716</v>
      </c>
      <c r="C1697" s="34">
        <v>13.26</v>
      </c>
      <c r="D1697" s="34"/>
    </row>
    <row r="1698" spans="1:4" s="25" customFormat="1" x14ac:dyDescent="0.25">
      <c r="A1698" s="4"/>
      <c r="B1698" s="4"/>
      <c r="C1698" s="34"/>
      <c r="D1698" s="34"/>
    </row>
    <row r="1699" spans="1:4" s="25" customFormat="1" x14ac:dyDescent="0.25">
      <c r="A1699" s="4">
        <v>44742</v>
      </c>
      <c r="B1699" t="s">
        <v>14</v>
      </c>
      <c r="C1699" s="36">
        <f>SUM(C1584:C1698)</f>
        <v>604594.23000000045</v>
      </c>
      <c r="D1699" s="36">
        <f>SUM(D1584:D1698)</f>
        <v>407734.57</v>
      </c>
    </row>
    <row r="1700" spans="1:4" s="25" customFormat="1" x14ac:dyDescent="0.25">
      <c r="A1700" s="4"/>
      <c r="B1700" s="4" t="s">
        <v>15</v>
      </c>
      <c r="C1700" s="34">
        <f>IF(C1699&gt;D1699,C1699-D1699," ")</f>
        <v>196859.66000000044</v>
      </c>
      <c r="D1700" s="34" t="str">
        <f>IF(D1699&gt;C1699,D1699-C1699," ")</f>
        <v xml:space="preserve"> </v>
      </c>
    </row>
    <row r="1701" spans="1:4" s="25" customFormat="1" x14ac:dyDescent="0.25">
      <c r="A1701" s="4"/>
      <c r="B1701" s="4"/>
      <c r="C1701" s="34"/>
      <c r="D1701" s="34"/>
    </row>
    <row r="1702" spans="1:4" s="25" customFormat="1" x14ac:dyDescent="0.25">
      <c r="A1702" s="30" t="s">
        <v>309</v>
      </c>
      <c r="B1702"/>
      <c r="C1702" s="34"/>
      <c r="D1702" s="34"/>
    </row>
    <row r="1703" spans="1:4" s="25" customFormat="1" x14ac:dyDescent="0.25">
      <c r="A1703" s="30" t="s">
        <v>2</v>
      </c>
      <c r="B1703" s="1" t="s">
        <v>3</v>
      </c>
      <c r="C1703" s="35" t="s">
        <v>4</v>
      </c>
      <c r="D1703" s="35" t="s">
        <v>5</v>
      </c>
    </row>
    <row r="1704" spans="1:4" s="25" customFormat="1" hidden="1" x14ac:dyDescent="0.25">
      <c r="A1704" s="4"/>
      <c r="B1704" s="4" t="s">
        <v>15</v>
      </c>
      <c r="C1704" s="34"/>
      <c r="D1704" s="34"/>
    </row>
    <row r="1705" spans="1:4" s="25" customFormat="1" hidden="1" x14ac:dyDescent="0.25">
      <c r="A1705" s="4">
        <v>39714</v>
      </c>
      <c r="B1705" s="4" t="s">
        <v>312</v>
      </c>
      <c r="C1705" s="34">
        <v>50000</v>
      </c>
      <c r="D1705" s="34"/>
    </row>
    <row r="1706" spans="1:4" s="25" customFormat="1" hidden="1" x14ac:dyDescent="0.25">
      <c r="A1706" s="4">
        <v>39721</v>
      </c>
      <c r="B1706" s="4" t="s">
        <v>313</v>
      </c>
      <c r="C1706" s="34">
        <v>65.209999999999994</v>
      </c>
      <c r="D1706" s="34"/>
    </row>
    <row r="1707" spans="1:4" s="25" customFormat="1" hidden="1" x14ac:dyDescent="0.25">
      <c r="A1707" s="4">
        <v>39721</v>
      </c>
      <c r="B1707" s="4" t="s">
        <v>314</v>
      </c>
      <c r="C1707" s="34"/>
      <c r="D1707" s="34">
        <v>30</v>
      </c>
    </row>
    <row r="1708" spans="1:4" s="25" customFormat="1" hidden="1" x14ac:dyDescent="0.25">
      <c r="A1708" s="4">
        <v>39752</v>
      </c>
      <c r="B1708" s="4" t="s">
        <v>313</v>
      </c>
      <c r="C1708" s="34">
        <v>256.69</v>
      </c>
      <c r="D1708" s="34"/>
    </row>
    <row r="1709" spans="1:4" s="25" customFormat="1" hidden="1" x14ac:dyDescent="0.25">
      <c r="A1709" s="4">
        <v>39752</v>
      </c>
      <c r="B1709" s="4" t="s">
        <v>314</v>
      </c>
      <c r="C1709" s="34"/>
      <c r="D1709" s="34">
        <v>119</v>
      </c>
    </row>
    <row r="1710" spans="1:4" s="25" customFormat="1" hidden="1" x14ac:dyDescent="0.25">
      <c r="A1710" s="4">
        <v>39780</v>
      </c>
      <c r="B1710" s="4" t="s">
        <v>313</v>
      </c>
      <c r="C1710" s="34">
        <v>198.63</v>
      </c>
      <c r="D1710" s="34"/>
    </row>
    <row r="1711" spans="1:4" s="25" customFormat="1" hidden="1" x14ac:dyDescent="0.25">
      <c r="A1711" s="4">
        <v>39813</v>
      </c>
      <c r="B1711" s="4" t="s">
        <v>313</v>
      </c>
      <c r="C1711" s="34">
        <v>190.44</v>
      </c>
      <c r="D1711" s="34"/>
    </row>
    <row r="1712" spans="1:4" s="25" customFormat="1" hidden="1" x14ac:dyDescent="0.25">
      <c r="A1712" s="4">
        <v>39843</v>
      </c>
      <c r="B1712" s="4" t="s">
        <v>313</v>
      </c>
      <c r="C1712" s="34">
        <v>166.23</v>
      </c>
      <c r="D1712" s="34"/>
    </row>
    <row r="1713" spans="1:4" s="25" customFormat="1" hidden="1" x14ac:dyDescent="0.25">
      <c r="A1713" s="4">
        <v>39871</v>
      </c>
      <c r="B1713" s="4" t="s">
        <v>313</v>
      </c>
      <c r="C1713" s="34">
        <v>125.08</v>
      </c>
      <c r="D1713" s="34"/>
    </row>
    <row r="1714" spans="1:4" s="25" customFormat="1" hidden="1" x14ac:dyDescent="0.25">
      <c r="A1714" s="4">
        <v>39903</v>
      </c>
      <c r="B1714" s="4" t="s">
        <v>313</v>
      </c>
      <c r="C1714" s="34">
        <v>133.75</v>
      </c>
      <c r="D1714" s="34"/>
    </row>
    <row r="1715" spans="1:4" s="25" customFormat="1" hidden="1" x14ac:dyDescent="0.25">
      <c r="A1715" s="4">
        <v>39933</v>
      </c>
      <c r="B1715" s="4" t="s">
        <v>313</v>
      </c>
      <c r="C1715" s="34">
        <v>118.39</v>
      </c>
      <c r="D1715" s="34"/>
    </row>
    <row r="1716" spans="1:4" s="25" customFormat="1" hidden="1" x14ac:dyDescent="0.25">
      <c r="A1716" s="4">
        <v>39962</v>
      </c>
      <c r="B1716" s="4" t="s">
        <v>313</v>
      </c>
      <c r="C1716" s="34">
        <v>111.66</v>
      </c>
      <c r="D1716" s="34"/>
    </row>
    <row r="1717" spans="1:4" s="25" customFormat="1" hidden="1" x14ac:dyDescent="0.25">
      <c r="A1717" s="4">
        <v>39994</v>
      </c>
      <c r="B1717" s="4" t="s">
        <v>313</v>
      </c>
      <c r="C1717" s="34">
        <v>123.48</v>
      </c>
      <c r="D1717" s="34"/>
    </row>
    <row r="1718" spans="1:4" s="25" customFormat="1" hidden="1" x14ac:dyDescent="0.25">
      <c r="A1718" s="4"/>
      <c r="B1718" s="4"/>
      <c r="C1718" s="34"/>
      <c r="D1718" s="34"/>
    </row>
    <row r="1719" spans="1:4" s="25" customFormat="1" hidden="1" x14ac:dyDescent="0.25">
      <c r="A1719" s="4">
        <v>39994</v>
      </c>
      <c r="B1719" t="s">
        <v>14</v>
      </c>
      <c r="C1719" s="36">
        <f>SUM(C1704:C1718)</f>
        <v>51489.560000000012</v>
      </c>
      <c r="D1719" s="36">
        <f>SUM(D1704:D1718)</f>
        <v>149</v>
      </c>
    </row>
    <row r="1720" spans="1:4" s="25" customFormat="1" hidden="1" x14ac:dyDescent="0.25">
      <c r="A1720" s="4"/>
      <c r="B1720" s="4" t="s">
        <v>15</v>
      </c>
      <c r="C1720" s="34">
        <f>IF(C1719&gt;D1719,C1719-D1719," ")</f>
        <v>51340.560000000012</v>
      </c>
      <c r="D1720" s="34" t="str">
        <f>IF(D1719&gt;C1719,D1719-C1719," ")</f>
        <v xml:space="preserve"> </v>
      </c>
    </row>
    <row r="1721" spans="1:4" s="25" customFormat="1" hidden="1" x14ac:dyDescent="0.25">
      <c r="A1721" s="4">
        <v>40025</v>
      </c>
      <c r="B1721" s="4" t="s">
        <v>313</v>
      </c>
      <c r="C1721" s="34">
        <v>119.91</v>
      </c>
      <c r="D1721" s="34"/>
    </row>
    <row r="1722" spans="1:4" s="25" customFormat="1" hidden="1" x14ac:dyDescent="0.25">
      <c r="A1722" s="4">
        <v>40056</v>
      </c>
      <c r="B1722" s="4" t="s">
        <v>313</v>
      </c>
      <c r="C1722" s="34">
        <v>120.19</v>
      </c>
      <c r="D1722" s="34"/>
    </row>
    <row r="1723" spans="1:4" s="25" customFormat="1" hidden="1" x14ac:dyDescent="0.25">
      <c r="A1723" s="4">
        <v>40086</v>
      </c>
      <c r="B1723" s="4" t="s">
        <v>313</v>
      </c>
      <c r="C1723" s="34">
        <v>116.59</v>
      </c>
      <c r="D1723" s="34"/>
    </row>
    <row r="1724" spans="1:4" s="25" customFormat="1" hidden="1" x14ac:dyDescent="0.25">
      <c r="A1724" s="4">
        <v>40116</v>
      </c>
      <c r="B1724" s="4" t="s">
        <v>313</v>
      </c>
      <c r="C1724" s="34">
        <v>123.22</v>
      </c>
      <c r="D1724" s="34"/>
    </row>
    <row r="1725" spans="1:4" s="25" customFormat="1" hidden="1" x14ac:dyDescent="0.25">
      <c r="A1725" s="4">
        <v>40147</v>
      </c>
      <c r="B1725" s="4" t="s">
        <v>313</v>
      </c>
      <c r="C1725" s="34">
        <v>140.55000000000001</v>
      </c>
      <c r="D1725" s="34"/>
    </row>
    <row r="1726" spans="1:4" s="25" customFormat="1" hidden="1" x14ac:dyDescent="0.25">
      <c r="A1726" s="4">
        <v>40178</v>
      </c>
      <c r="B1726" s="4" t="s">
        <v>313</v>
      </c>
      <c r="C1726" s="34">
        <v>153.03</v>
      </c>
      <c r="D1726" s="34"/>
    </row>
    <row r="1727" spans="1:4" s="25" customFormat="1" hidden="1" x14ac:dyDescent="0.25">
      <c r="A1727" s="4">
        <v>40207</v>
      </c>
      <c r="B1727" s="4" t="s">
        <v>313</v>
      </c>
      <c r="C1727" s="34">
        <v>144.91999999999999</v>
      </c>
      <c r="D1727" s="34"/>
    </row>
    <row r="1728" spans="1:4" s="25" customFormat="1" hidden="1" x14ac:dyDescent="0.25">
      <c r="A1728" s="4">
        <v>40235</v>
      </c>
      <c r="B1728" s="4" t="s">
        <v>313</v>
      </c>
      <c r="C1728" s="34">
        <v>140.31</v>
      </c>
      <c r="D1728" s="34"/>
    </row>
    <row r="1729" spans="1:4" s="25" customFormat="1" hidden="1" x14ac:dyDescent="0.25">
      <c r="A1729" s="4">
        <v>40249</v>
      </c>
      <c r="B1729" s="4" t="s">
        <v>341</v>
      </c>
      <c r="C1729" s="34"/>
      <c r="D1729" s="34">
        <v>52399</v>
      </c>
    </row>
    <row r="1730" spans="1:4" s="25" customFormat="1" hidden="1" x14ac:dyDescent="0.25">
      <c r="A1730" s="4">
        <v>40268</v>
      </c>
      <c r="B1730" s="4" t="s">
        <v>313</v>
      </c>
      <c r="C1730" s="34">
        <v>72.86</v>
      </c>
      <c r="D1730" s="34"/>
    </row>
    <row r="1731" spans="1:4" s="25" customFormat="1" hidden="1" x14ac:dyDescent="0.25">
      <c r="A1731" s="4">
        <v>40298</v>
      </c>
      <c r="B1731" s="4" t="s">
        <v>313</v>
      </c>
      <c r="C1731" s="34">
        <v>0.24</v>
      </c>
      <c r="D1731" s="34"/>
    </row>
    <row r="1732" spans="1:4" s="25" customFormat="1" hidden="1" x14ac:dyDescent="0.25">
      <c r="A1732" s="4">
        <v>40329</v>
      </c>
      <c r="B1732" s="4" t="s">
        <v>313</v>
      </c>
      <c r="C1732" s="34">
        <v>0.26</v>
      </c>
      <c r="D1732" s="34"/>
    </row>
    <row r="1733" spans="1:4" s="25" customFormat="1" hidden="1" x14ac:dyDescent="0.25">
      <c r="A1733" s="4">
        <v>40359</v>
      </c>
      <c r="B1733" s="4" t="s">
        <v>313</v>
      </c>
      <c r="C1733" s="34">
        <v>0.26</v>
      </c>
      <c r="D1733" s="34"/>
    </row>
    <row r="1734" spans="1:4" s="25" customFormat="1" hidden="1" x14ac:dyDescent="0.25">
      <c r="A1734" s="4"/>
      <c r="B1734" s="4"/>
      <c r="C1734" s="34"/>
      <c r="D1734" s="34"/>
    </row>
    <row r="1735" spans="1:4" s="25" customFormat="1" hidden="1" x14ac:dyDescent="0.25">
      <c r="A1735" s="4">
        <v>40359</v>
      </c>
      <c r="B1735" t="s">
        <v>14</v>
      </c>
      <c r="C1735" s="36">
        <f>SUM(C1720:C1734)</f>
        <v>52472.900000000016</v>
      </c>
      <c r="D1735" s="36">
        <f>SUM(D1720:D1734)</f>
        <v>52399</v>
      </c>
    </row>
    <row r="1736" spans="1:4" s="25" customFormat="1" hidden="1" x14ac:dyDescent="0.25">
      <c r="A1736" s="4"/>
      <c r="B1736" s="4" t="s">
        <v>15</v>
      </c>
      <c r="C1736" s="34">
        <f>IF(C1735&gt;D1735,C1735-D1735," ")</f>
        <v>73.900000000016007</v>
      </c>
      <c r="D1736" s="34" t="str">
        <f>IF(D1735&gt;C1735,D1735-C1735," ")</f>
        <v xml:space="preserve"> </v>
      </c>
    </row>
    <row r="1737" spans="1:4" s="25" customFormat="1" hidden="1" x14ac:dyDescent="0.25">
      <c r="A1737" s="4">
        <v>40389</v>
      </c>
      <c r="B1737" s="4" t="s">
        <v>365</v>
      </c>
      <c r="C1737" s="34">
        <v>0.26</v>
      </c>
      <c r="D1737" s="34"/>
    </row>
    <row r="1738" spans="1:4" s="25" customFormat="1" hidden="1" x14ac:dyDescent="0.25">
      <c r="A1738" s="4">
        <v>41152</v>
      </c>
      <c r="B1738" s="4" t="s">
        <v>365</v>
      </c>
      <c r="C1738" s="34">
        <v>0.28000000000000003</v>
      </c>
      <c r="D1738" s="34"/>
    </row>
    <row r="1739" spans="1:4" s="25" customFormat="1" hidden="1" x14ac:dyDescent="0.25">
      <c r="A1739" s="4">
        <v>40451</v>
      </c>
      <c r="B1739" s="4" t="s">
        <v>365</v>
      </c>
      <c r="C1739" s="34">
        <v>0.26</v>
      </c>
      <c r="D1739" s="34"/>
    </row>
    <row r="1740" spans="1:4" s="25" customFormat="1" hidden="1" x14ac:dyDescent="0.25">
      <c r="A1740" s="4">
        <v>40480</v>
      </c>
      <c r="B1740" s="4" t="s">
        <v>365</v>
      </c>
      <c r="C1740" s="34">
        <v>0.25</v>
      </c>
      <c r="D1740" s="34"/>
    </row>
    <row r="1741" spans="1:4" s="25" customFormat="1" hidden="1" x14ac:dyDescent="0.25">
      <c r="A1741" s="4">
        <v>40512</v>
      </c>
      <c r="B1741" s="4" t="s">
        <v>365</v>
      </c>
      <c r="C1741" s="34">
        <v>0.28999999999999998</v>
      </c>
      <c r="D1741" s="34"/>
    </row>
    <row r="1742" spans="1:4" s="25" customFormat="1" hidden="1" x14ac:dyDescent="0.25">
      <c r="A1742" s="4">
        <v>40543</v>
      </c>
      <c r="B1742" s="4" t="s">
        <v>365</v>
      </c>
      <c r="C1742" s="34">
        <v>0.28999999999999998</v>
      </c>
      <c r="D1742" s="34"/>
    </row>
    <row r="1743" spans="1:4" s="25" customFormat="1" hidden="1" x14ac:dyDescent="0.25">
      <c r="A1743" s="4">
        <v>40574</v>
      </c>
      <c r="B1743" s="4" t="s">
        <v>365</v>
      </c>
      <c r="C1743" s="34">
        <v>0.3</v>
      </c>
      <c r="D1743" s="34"/>
    </row>
    <row r="1744" spans="1:4" s="25" customFormat="1" hidden="1" x14ac:dyDescent="0.25">
      <c r="A1744" s="4">
        <v>40602</v>
      </c>
      <c r="B1744" s="4" t="s">
        <v>365</v>
      </c>
      <c r="C1744" s="34">
        <v>0.27</v>
      </c>
      <c r="D1744" s="34"/>
    </row>
    <row r="1745" spans="1:4" s="25" customFormat="1" hidden="1" x14ac:dyDescent="0.25">
      <c r="A1745" s="4">
        <v>40633</v>
      </c>
      <c r="B1745" s="4" t="s">
        <v>365</v>
      </c>
      <c r="C1745" s="34">
        <v>0.31</v>
      </c>
      <c r="D1745" s="34"/>
    </row>
    <row r="1746" spans="1:4" s="25" customFormat="1" hidden="1" x14ac:dyDescent="0.25">
      <c r="A1746" s="4">
        <v>40662</v>
      </c>
      <c r="B1746" s="4" t="s">
        <v>365</v>
      </c>
      <c r="C1746" s="34">
        <v>0.28999999999999998</v>
      </c>
      <c r="D1746" s="34"/>
    </row>
    <row r="1747" spans="1:4" s="25" customFormat="1" hidden="1" x14ac:dyDescent="0.25">
      <c r="A1747" s="4">
        <v>40694</v>
      </c>
      <c r="B1747" s="4" t="s">
        <v>365</v>
      </c>
      <c r="C1747" s="34">
        <v>0.32</v>
      </c>
      <c r="D1747" s="34"/>
    </row>
    <row r="1748" spans="1:4" s="25" customFormat="1" hidden="1" x14ac:dyDescent="0.25">
      <c r="A1748" s="4">
        <v>40724</v>
      </c>
      <c r="B1748" s="4" t="s">
        <v>365</v>
      </c>
      <c r="C1748" s="34">
        <v>0.3</v>
      </c>
      <c r="D1748" s="34"/>
    </row>
    <row r="1749" spans="1:4" s="25" customFormat="1" hidden="1" x14ac:dyDescent="0.25">
      <c r="A1749" s="4"/>
      <c r="B1749" s="4"/>
      <c r="C1749" s="34"/>
      <c r="D1749" s="34"/>
    </row>
    <row r="1750" spans="1:4" s="25" customFormat="1" hidden="1" x14ac:dyDescent="0.25">
      <c r="A1750" s="4"/>
      <c r="B1750" s="4"/>
      <c r="C1750" s="34"/>
      <c r="D1750" s="34"/>
    </row>
    <row r="1751" spans="1:4" s="25" customFormat="1" hidden="1" x14ac:dyDescent="0.25">
      <c r="A1751" s="4">
        <v>40724</v>
      </c>
      <c r="B1751" t="s">
        <v>14</v>
      </c>
      <c r="C1751" s="36">
        <f>SUM(C1736:C1750)</f>
        <v>77.320000000016023</v>
      </c>
      <c r="D1751" s="36">
        <f>SUM(D1736:D1750)</f>
        <v>0</v>
      </c>
    </row>
    <row r="1752" spans="1:4" s="25" customFormat="1" hidden="1" x14ac:dyDescent="0.25">
      <c r="A1752" s="4"/>
      <c r="B1752" s="4" t="s">
        <v>15</v>
      </c>
      <c r="C1752" s="34">
        <f>IF(C1751&gt;D1751,C1751-D1751," ")</f>
        <v>77.320000000016023</v>
      </c>
      <c r="D1752" s="34" t="str">
        <f>IF(D1751&gt;C1751,D1751-C1751," ")</f>
        <v xml:space="preserve"> </v>
      </c>
    </row>
    <row r="1753" spans="1:4" s="25" customFormat="1" hidden="1" x14ac:dyDescent="0.25">
      <c r="A1753" s="4">
        <v>40753</v>
      </c>
      <c r="B1753" s="4" t="s">
        <v>365</v>
      </c>
      <c r="C1753" s="34">
        <v>0.28999999999999998</v>
      </c>
      <c r="D1753" s="34"/>
    </row>
    <row r="1754" spans="1:4" s="25" customFormat="1" hidden="1" x14ac:dyDescent="0.25">
      <c r="A1754" s="4">
        <v>40786</v>
      </c>
      <c r="B1754" s="4" t="s">
        <v>365</v>
      </c>
      <c r="C1754" s="34">
        <v>0.33</v>
      </c>
      <c r="D1754" s="34"/>
    </row>
    <row r="1755" spans="1:4" s="25" customFormat="1" hidden="1" x14ac:dyDescent="0.25">
      <c r="A1755" s="4">
        <v>40816</v>
      </c>
      <c r="B1755" s="4" t="s">
        <v>365</v>
      </c>
      <c r="C1755" s="34">
        <v>0.3</v>
      </c>
      <c r="D1755" s="34"/>
    </row>
    <row r="1756" spans="1:4" s="25" customFormat="1" hidden="1" x14ac:dyDescent="0.25">
      <c r="A1756" s="4">
        <v>40847</v>
      </c>
      <c r="B1756" s="4" t="s">
        <v>365</v>
      </c>
      <c r="C1756" s="34">
        <v>0.31</v>
      </c>
      <c r="D1756" s="34"/>
    </row>
    <row r="1757" spans="1:4" s="25" customFormat="1" hidden="1" x14ac:dyDescent="0.25">
      <c r="A1757" s="4">
        <v>40877</v>
      </c>
      <c r="B1757" s="4" t="s">
        <v>365</v>
      </c>
      <c r="C1757" s="34">
        <v>0.28999999999999998</v>
      </c>
      <c r="D1757" s="34"/>
    </row>
    <row r="1758" spans="1:4" s="25" customFormat="1" hidden="1" x14ac:dyDescent="0.25">
      <c r="A1758" s="4">
        <v>40908</v>
      </c>
      <c r="B1758" s="4" t="s">
        <v>365</v>
      </c>
      <c r="C1758" s="34">
        <v>0.28000000000000003</v>
      </c>
      <c r="D1758" s="34"/>
    </row>
    <row r="1759" spans="1:4" s="25" customFormat="1" hidden="1" x14ac:dyDescent="0.25">
      <c r="A1759" s="4">
        <v>40939</v>
      </c>
      <c r="B1759" s="4" t="s">
        <v>365</v>
      </c>
      <c r="C1759" s="34">
        <v>0.28000000000000003</v>
      </c>
      <c r="D1759" s="34"/>
    </row>
    <row r="1760" spans="1:4" s="25" customFormat="1" hidden="1" x14ac:dyDescent="0.25">
      <c r="A1760" s="4">
        <v>40968</v>
      </c>
      <c r="B1760" s="4" t="s">
        <v>365</v>
      </c>
      <c r="C1760" s="34">
        <v>0.26</v>
      </c>
      <c r="D1760" s="34"/>
    </row>
    <row r="1761" spans="1:4" s="25" customFormat="1" hidden="1" x14ac:dyDescent="0.25">
      <c r="A1761" s="4">
        <v>40999</v>
      </c>
      <c r="B1761" s="4" t="s">
        <v>365</v>
      </c>
      <c r="C1761" s="34">
        <v>0.27</v>
      </c>
      <c r="D1761" s="34"/>
    </row>
    <row r="1762" spans="1:4" s="25" customFormat="1" hidden="1" x14ac:dyDescent="0.25">
      <c r="A1762" s="4">
        <v>41029</v>
      </c>
      <c r="B1762" s="4" t="s">
        <v>365</v>
      </c>
      <c r="C1762" s="34">
        <v>0.28000000000000003</v>
      </c>
      <c r="D1762" s="34"/>
    </row>
    <row r="1763" spans="1:4" s="25" customFormat="1" hidden="1" x14ac:dyDescent="0.25">
      <c r="A1763" s="4">
        <v>41060</v>
      </c>
      <c r="B1763" s="4" t="s">
        <v>365</v>
      </c>
      <c r="C1763" s="34">
        <v>0.25</v>
      </c>
      <c r="D1763" s="34"/>
    </row>
    <row r="1764" spans="1:4" s="25" customFormat="1" hidden="1" x14ac:dyDescent="0.25">
      <c r="A1764" s="4">
        <v>41089</v>
      </c>
      <c r="B1764" s="4" t="s">
        <v>365</v>
      </c>
      <c r="C1764" s="34">
        <v>0.23</v>
      </c>
      <c r="D1764" s="34"/>
    </row>
    <row r="1765" spans="1:4" s="25" customFormat="1" hidden="1" x14ac:dyDescent="0.25">
      <c r="A1765" s="4"/>
      <c r="B1765" s="4"/>
      <c r="C1765" s="34"/>
      <c r="D1765" s="34"/>
    </row>
    <row r="1766" spans="1:4" s="25" customFormat="1" hidden="1" x14ac:dyDescent="0.25">
      <c r="A1766" s="4">
        <v>41090</v>
      </c>
      <c r="B1766" t="s">
        <v>14</v>
      </c>
      <c r="C1766" s="36">
        <f>SUM(C1752:C1765)</f>
        <v>80.690000000016042</v>
      </c>
      <c r="D1766" s="36">
        <f>SUM(D1752:D1765)</f>
        <v>0</v>
      </c>
    </row>
    <row r="1767" spans="1:4" s="25" customFormat="1" hidden="1" x14ac:dyDescent="0.25">
      <c r="A1767" s="4"/>
      <c r="B1767" s="4" t="s">
        <v>15</v>
      </c>
      <c r="C1767" s="34">
        <f>IF(C1766&gt;D1766,C1766-D1766," ")</f>
        <v>80.690000000016042</v>
      </c>
      <c r="D1767" s="34" t="str">
        <f>IF(D1766&gt;C1766,D1766-C1766," ")</f>
        <v xml:space="preserve"> </v>
      </c>
    </row>
    <row r="1768" spans="1:4" s="25" customFormat="1" hidden="1" x14ac:dyDescent="0.25">
      <c r="A1768" s="4">
        <v>41111</v>
      </c>
      <c r="B1768" s="4" t="s">
        <v>365</v>
      </c>
      <c r="C1768" s="34">
        <v>0.25</v>
      </c>
      <c r="D1768" s="34"/>
    </row>
    <row r="1769" spans="1:4" s="25" customFormat="1" hidden="1" x14ac:dyDescent="0.25">
      <c r="A1769" s="4">
        <v>41152</v>
      </c>
      <c r="B1769" s="4" t="s">
        <v>365</v>
      </c>
      <c r="C1769" s="34">
        <v>0.24</v>
      </c>
      <c r="D1769" s="34"/>
    </row>
    <row r="1770" spans="1:4" s="25" customFormat="1" hidden="1" x14ac:dyDescent="0.25">
      <c r="A1770" s="4">
        <v>41180</v>
      </c>
      <c r="B1770" s="4" t="s">
        <v>365</v>
      </c>
      <c r="C1770" s="34">
        <v>0.22</v>
      </c>
      <c r="D1770" s="34"/>
    </row>
    <row r="1771" spans="1:4" s="25" customFormat="1" hidden="1" x14ac:dyDescent="0.25">
      <c r="A1771" s="4">
        <v>41213</v>
      </c>
      <c r="B1771" s="4" t="s">
        <v>365</v>
      </c>
      <c r="C1771" s="34">
        <v>0.24</v>
      </c>
      <c r="D1771" s="34"/>
    </row>
    <row r="1772" spans="1:4" s="25" customFormat="1" hidden="1" x14ac:dyDescent="0.25">
      <c r="A1772" s="4">
        <v>41243</v>
      </c>
      <c r="B1772" s="4" t="s">
        <v>365</v>
      </c>
      <c r="C1772" s="34">
        <v>0.22</v>
      </c>
      <c r="D1772" s="34"/>
    </row>
    <row r="1773" spans="1:4" s="25" customFormat="1" hidden="1" x14ac:dyDescent="0.25">
      <c r="A1773" s="4">
        <v>41274</v>
      </c>
      <c r="B1773" s="4" t="s">
        <v>541</v>
      </c>
      <c r="C1773" s="34">
        <v>0.21</v>
      </c>
      <c r="D1773" s="34"/>
    </row>
    <row r="1774" spans="1:4" s="25" customFormat="1" hidden="1" x14ac:dyDescent="0.25">
      <c r="A1774" s="4">
        <v>41305</v>
      </c>
      <c r="B1774" s="4" t="s">
        <v>365</v>
      </c>
      <c r="C1774" s="34">
        <v>0.21</v>
      </c>
      <c r="D1774" s="34"/>
    </row>
    <row r="1775" spans="1:4" s="25" customFormat="1" hidden="1" x14ac:dyDescent="0.25">
      <c r="A1775" s="4">
        <v>41698</v>
      </c>
      <c r="B1775" s="4" t="s">
        <v>365</v>
      </c>
      <c r="C1775" s="34">
        <v>0.19</v>
      </c>
      <c r="D1775" s="34"/>
    </row>
    <row r="1776" spans="1:4" s="25" customFormat="1" hidden="1" x14ac:dyDescent="0.25">
      <c r="A1776" s="4">
        <v>41351</v>
      </c>
      <c r="B1776" s="4" t="s">
        <v>478</v>
      </c>
      <c r="C1776" s="34">
        <v>50000</v>
      </c>
      <c r="D1776" s="34"/>
    </row>
    <row r="1777" spans="1:4" s="25" customFormat="1" hidden="1" x14ac:dyDescent="0.25">
      <c r="A1777" s="4">
        <v>41361</v>
      </c>
      <c r="B1777" s="4" t="s">
        <v>365</v>
      </c>
      <c r="C1777" s="34">
        <v>41.28</v>
      </c>
      <c r="D1777" s="34"/>
    </row>
    <row r="1778" spans="1:4" s="25" customFormat="1" hidden="1" x14ac:dyDescent="0.25">
      <c r="A1778" s="4">
        <v>41394</v>
      </c>
      <c r="B1778" s="4" t="s">
        <v>365</v>
      </c>
      <c r="C1778" s="34">
        <v>135.94999999999999</v>
      </c>
      <c r="D1778" s="34"/>
    </row>
    <row r="1779" spans="1:4" s="25" customFormat="1" hidden="1" x14ac:dyDescent="0.25">
      <c r="A1779" s="4">
        <v>41425</v>
      </c>
      <c r="B1779" s="4" t="s">
        <v>365</v>
      </c>
      <c r="C1779" s="34">
        <v>121.86</v>
      </c>
      <c r="D1779" s="34"/>
    </row>
    <row r="1780" spans="1:4" s="25" customFormat="1" hidden="1" x14ac:dyDescent="0.25">
      <c r="A1780" s="4">
        <v>41453</v>
      </c>
      <c r="B1780" s="4" t="s">
        <v>365</v>
      </c>
      <c r="C1780" s="34">
        <v>106.28</v>
      </c>
      <c r="D1780" s="34"/>
    </row>
    <row r="1781" spans="1:4" s="25" customFormat="1" hidden="1" x14ac:dyDescent="0.25">
      <c r="A1781" s="4"/>
      <c r="B1781" s="4"/>
      <c r="C1781" s="34"/>
      <c r="D1781" s="34"/>
    </row>
    <row r="1782" spans="1:4" s="25" customFormat="1" hidden="1" x14ac:dyDescent="0.25">
      <c r="A1782" s="4"/>
      <c r="B1782" s="4"/>
      <c r="C1782" s="34"/>
      <c r="D1782" s="34"/>
    </row>
    <row r="1783" spans="1:4" s="25" customFormat="1" hidden="1" x14ac:dyDescent="0.25">
      <c r="A1783" s="4">
        <v>41455</v>
      </c>
      <c r="B1783" t="s">
        <v>14</v>
      </c>
      <c r="C1783" s="36">
        <f>SUM(C1767:C1782)</f>
        <v>50487.840000000011</v>
      </c>
      <c r="D1783" s="36">
        <f>SUM(D1767:D1782)</f>
        <v>0</v>
      </c>
    </row>
    <row r="1784" spans="1:4" s="25" customFormat="1" hidden="1" x14ac:dyDescent="0.25">
      <c r="A1784" s="4"/>
      <c r="B1784" s="4" t="s">
        <v>15</v>
      </c>
      <c r="C1784" s="34">
        <f>IF(C1783&gt;D1783,C1783-D1783," ")</f>
        <v>50487.840000000011</v>
      </c>
      <c r="D1784" s="34" t="str">
        <f>IF(D1783&gt;C1783,D1783-C1783," ")</f>
        <v xml:space="preserve"> </v>
      </c>
    </row>
    <row r="1785" spans="1:4" s="25" customFormat="1" hidden="1" x14ac:dyDescent="0.25">
      <c r="A1785" s="4">
        <v>41486</v>
      </c>
      <c r="B1785" s="4" t="s">
        <v>365</v>
      </c>
      <c r="C1785" s="34">
        <v>125.53</v>
      </c>
      <c r="D1785" s="34"/>
    </row>
    <row r="1786" spans="1:4" s="25" customFormat="1" hidden="1" x14ac:dyDescent="0.25">
      <c r="A1786" s="4">
        <v>41516</v>
      </c>
      <c r="B1786" s="4" t="s">
        <v>365</v>
      </c>
      <c r="C1786" s="34">
        <v>108.16</v>
      </c>
      <c r="D1786" s="34"/>
    </row>
    <row r="1787" spans="1:4" s="25" customFormat="1" hidden="1" x14ac:dyDescent="0.25">
      <c r="A1787" s="4">
        <v>41547</v>
      </c>
      <c r="B1787" s="4" t="s">
        <v>365</v>
      </c>
      <c r="C1787" s="34">
        <v>107.69</v>
      </c>
      <c r="D1787" s="34"/>
    </row>
    <row r="1788" spans="1:4" s="25" customFormat="1" hidden="1" x14ac:dyDescent="0.25">
      <c r="A1788" s="4">
        <v>41569</v>
      </c>
      <c r="B1788" s="4" t="s">
        <v>365</v>
      </c>
      <c r="C1788" s="34">
        <v>76.59</v>
      </c>
      <c r="D1788" s="34"/>
    </row>
    <row r="1789" spans="1:4" s="25" customFormat="1" hidden="1" x14ac:dyDescent="0.25">
      <c r="A1789" s="4">
        <v>41570</v>
      </c>
      <c r="B1789" s="4" t="s">
        <v>543</v>
      </c>
      <c r="C1789" s="34"/>
      <c r="D1789" s="34">
        <v>7500</v>
      </c>
    </row>
    <row r="1790" spans="1:4" s="25" customFormat="1" hidden="1" x14ac:dyDescent="0.25">
      <c r="A1790" s="4">
        <v>41570</v>
      </c>
      <c r="B1790" s="4" t="s">
        <v>544</v>
      </c>
      <c r="C1790" s="34"/>
      <c r="D1790" s="34">
        <v>43405.81</v>
      </c>
    </row>
    <row r="1791" spans="1:4" s="25" customFormat="1" hidden="1" x14ac:dyDescent="0.25">
      <c r="A1791" s="4"/>
      <c r="B1791" s="4"/>
      <c r="C1791" s="34"/>
      <c r="D1791" s="34"/>
    </row>
    <row r="1792" spans="1:4" s="25" customFormat="1" hidden="1" x14ac:dyDescent="0.25">
      <c r="A1792" s="4">
        <v>41820</v>
      </c>
      <c r="B1792" t="s">
        <v>14</v>
      </c>
      <c r="C1792" s="36">
        <f>SUM(C1784:C1791)</f>
        <v>50905.810000000012</v>
      </c>
      <c r="D1792" s="36">
        <f>SUM(D1784:D1791)</f>
        <v>50905.81</v>
      </c>
    </row>
    <row r="1793" spans="1:4" s="25" customFormat="1" hidden="1" x14ac:dyDescent="0.25">
      <c r="A1793" s="4"/>
      <c r="B1793" s="4" t="s">
        <v>15</v>
      </c>
      <c r="C1793" s="34" t="str">
        <f>IF(C1792&gt;D1792,C1792-D1792," ")</f>
        <v xml:space="preserve"> </v>
      </c>
      <c r="D1793" s="34" t="str">
        <f>IF(D1792&gt;C1792,D1792-C1792," ")</f>
        <v xml:space="preserve"> </v>
      </c>
    </row>
    <row r="1794" spans="1:4" s="25" customFormat="1" hidden="1" x14ac:dyDescent="0.25">
      <c r="A1794" s="4"/>
      <c r="B1794" s="4"/>
      <c r="C1794" s="34"/>
      <c r="D1794" s="34"/>
    </row>
    <row r="1795" spans="1:4" s="25" customFormat="1" hidden="1" x14ac:dyDescent="0.25">
      <c r="A1795" s="4"/>
      <c r="B1795" s="4"/>
      <c r="C1795" s="34"/>
      <c r="D1795" s="34"/>
    </row>
    <row r="1796" spans="1:4" s="25" customFormat="1" hidden="1" x14ac:dyDescent="0.25">
      <c r="A1796" s="4">
        <v>42185</v>
      </c>
      <c r="B1796" t="s">
        <v>14</v>
      </c>
      <c r="C1796" s="36">
        <f>SUM(C1793:C1795)</f>
        <v>0</v>
      </c>
      <c r="D1796" s="36">
        <f>SUM(D1793:D1795)</f>
        <v>0</v>
      </c>
    </row>
    <row r="1797" spans="1:4" s="25" customFormat="1" x14ac:dyDescent="0.25">
      <c r="A1797" s="4"/>
      <c r="B1797" s="4" t="s">
        <v>15</v>
      </c>
      <c r="C1797" s="34" t="str">
        <f>IF(C1796&gt;D1796,C1796-D1796," ")</f>
        <v xml:space="preserve"> </v>
      </c>
      <c r="D1797" s="34" t="str">
        <f>IF(D1796&gt;C1796,D1796-C1796," ")</f>
        <v xml:space="preserve"> </v>
      </c>
    </row>
    <row r="1798" spans="1:4" x14ac:dyDescent="0.25">
      <c r="A1798" s="4"/>
      <c r="B1798" s="4"/>
      <c r="C1798" s="34"/>
      <c r="D1798" s="34"/>
    </row>
    <row r="1799" spans="1:4" x14ac:dyDescent="0.25">
      <c r="A1799" s="30" t="s">
        <v>67</v>
      </c>
      <c r="C1799" s="34"/>
      <c r="D1799" s="34"/>
    </row>
    <row r="1800" spans="1:4" x14ac:dyDescent="0.25">
      <c r="A1800" s="30" t="s">
        <v>2</v>
      </c>
      <c r="B1800" s="1" t="s">
        <v>3</v>
      </c>
      <c r="C1800" s="35" t="s">
        <v>4</v>
      </c>
      <c r="D1800" s="35" t="s">
        <v>5</v>
      </c>
    </row>
    <row r="1801" spans="1:4" hidden="1" x14ac:dyDescent="0.25">
      <c r="A1801" s="4">
        <v>35943</v>
      </c>
      <c r="B1801" t="s">
        <v>7</v>
      </c>
      <c r="C1801" s="34">
        <v>11167.1</v>
      </c>
      <c r="D1801" s="34"/>
    </row>
    <row r="1802" spans="1:4" hidden="1" x14ac:dyDescent="0.25">
      <c r="A1802" s="4">
        <v>35943</v>
      </c>
      <c r="B1802" t="s">
        <v>8</v>
      </c>
      <c r="C1802" s="34">
        <v>6150</v>
      </c>
      <c r="D1802" s="34"/>
    </row>
    <row r="1803" spans="1:4" hidden="1" x14ac:dyDescent="0.25">
      <c r="A1803" s="4">
        <v>35969</v>
      </c>
      <c r="B1803" t="s">
        <v>13</v>
      </c>
      <c r="C1803" s="34">
        <v>4195.34</v>
      </c>
      <c r="D1803" s="34"/>
    </row>
    <row r="1804" spans="1:4" hidden="1" x14ac:dyDescent="0.25">
      <c r="A1804" s="4">
        <v>35976</v>
      </c>
      <c r="B1804" t="s">
        <v>68</v>
      </c>
      <c r="C1804" s="34"/>
      <c r="D1804" s="34">
        <v>4569.45</v>
      </c>
    </row>
    <row r="1805" spans="1:4" hidden="1" x14ac:dyDescent="0.25">
      <c r="A1805" s="4">
        <v>35976</v>
      </c>
      <c r="B1805" t="s">
        <v>69</v>
      </c>
      <c r="C1805" s="34">
        <v>35.49</v>
      </c>
      <c r="D1805" s="34"/>
    </row>
    <row r="1806" spans="1:4" hidden="1" x14ac:dyDescent="0.25">
      <c r="A1806" s="4">
        <v>35976</v>
      </c>
      <c r="B1806" t="s">
        <v>14</v>
      </c>
      <c r="C1806" s="36">
        <f>SUM(C1801:C1805)</f>
        <v>21547.93</v>
      </c>
      <c r="D1806" s="36">
        <f>SUM(D1801:D1805)</f>
        <v>4569.45</v>
      </c>
    </row>
    <row r="1807" spans="1:4" hidden="1" x14ac:dyDescent="0.25">
      <c r="A1807" s="4"/>
      <c r="B1807" s="4" t="s">
        <v>15</v>
      </c>
      <c r="C1807" s="34">
        <f>IF(C1806&gt;D1806,C1806-D1806," ")</f>
        <v>16978.48</v>
      </c>
      <c r="D1807" s="34" t="str">
        <f>IF(D1806&gt;C1806,D1806-C1806," ")</f>
        <v xml:space="preserve"> </v>
      </c>
    </row>
    <row r="1808" spans="1:4" hidden="1" x14ac:dyDescent="0.25">
      <c r="A1808" s="4">
        <v>36034</v>
      </c>
      <c r="B1808" t="s">
        <v>70</v>
      </c>
      <c r="C1808" s="34">
        <v>10000</v>
      </c>
      <c r="D1808" s="34"/>
    </row>
    <row r="1809" spans="1:4" hidden="1" x14ac:dyDescent="0.25">
      <c r="A1809" s="4">
        <v>36034</v>
      </c>
      <c r="B1809" t="s">
        <v>71</v>
      </c>
      <c r="C1809" s="34">
        <v>5000</v>
      </c>
      <c r="D1809" s="34"/>
    </row>
    <row r="1810" spans="1:4" hidden="1" x14ac:dyDescent="0.25">
      <c r="A1810" s="4">
        <v>36048</v>
      </c>
      <c r="B1810" t="s">
        <v>20</v>
      </c>
      <c r="C1810" s="34"/>
      <c r="D1810" s="34">
        <v>1347.7</v>
      </c>
    </row>
    <row r="1811" spans="1:4" hidden="1" x14ac:dyDescent="0.25">
      <c r="A1811" s="4">
        <v>36061</v>
      </c>
      <c r="B1811" t="s">
        <v>21</v>
      </c>
      <c r="C1811" s="34"/>
      <c r="D1811" s="34">
        <v>3000</v>
      </c>
    </row>
    <row r="1812" spans="1:4" hidden="1" x14ac:dyDescent="0.25">
      <c r="A1812" s="4">
        <v>36088</v>
      </c>
      <c r="B1812" t="s">
        <v>72</v>
      </c>
      <c r="C1812" s="34">
        <v>4000</v>
      </c>
      <c r="D1812" s="34"/>
    </row>
    <row r="1813" spans="1:4" hidden="1" x14ac:dyDescent="0.25">
      <c r="A1813" s="4">
        <v>36088</v>
      </c>
      <c r="B1813" t="s">
        <v>73</v>
      </c>
      <c r="C1813" s="34">
        <v>1400</v>
      </c>
      <c r="D1813" s="34"/>
    </row>
    <row r="1814" spans="1:4" hidden="1" x14ac:dyDescent="0.25">
      <c r="A1814" s="4">
        <v>36136</v>
      </c>
      <c r="B1814" t="s">
        <v>24</v>
      </c>
      <c r="C1814" s="34"/>
      <c r="D1814" s="34">
        <v>1880</v>
      </c>
    </row>
    <row r="1815" spans="1:4" hidden="1" x14ac:dyDescent="0.25">
      <c r="A1815" s="4">
        <v>36145</v>
      </c>
      <c r="B1815" t="s">
        <v>25</v>
      </c>
      <c r="C1815" s="34"/>
      <c r="D1815" s="34">
        <v>1540.08</v>
      </c>
    </row>
    <row r="1816" spans="1:4" hidden="1" x14ac:dyDescent="0.25">
      <c r="A1816" s="4">
        <v>36174</v>
      </c>
      <c r="B1816" t="s">
        <v>25</v>
      </c>
      <c r="C1816" s="34"/>
      <c r="D1816" s="34">
        <v>859.64</v>
      </c>
    </row>
    <row r="1817" spans="1:4" hidden="1" x14ac:dyDescent="0.25">
      <c r="A1817" s="4">
        <v>36201</v>
      </c>
      <c r="B1817" t="s">
        <v>26</v>
      </c>
      <c r="C1817" s="34">
        <v>1422.72</v>
      </c>
      <c r="D1817" s="34"/>
    </row>
    <row r="1818" spans="1:4" hidden="1" x14ac:dyDescent="0.25">
      <c r="A1818" s="4">
        <v>36214</v>
      </c>
      <c r="B1818" t="s">
        <v>28</v>
      </c>
      <c r="C1818" s="34">
        <v>7184.2</v>
      </c>
      <c r="D1818" s="34"/>
    </row>
    <row r="1819" spans="1:4" hidden="1" x14ac:dyDescent="0.25">
      <c r="A1819" s="4">
        <v>36234</v>
      </c>
      <c r="B1819" t="s">
        <v>29</v>
      </c>
      <c r="C1819" s="34">
        <v>4792.83</v>
      </c>
      <c r="D1819" s="34"/>
    </row>
    <row r="1820" spans="1:4" hidden="1" x14ac:dyDescent="0.25">
      <c r="A1820" s="4">
        <v>36248</v>
      </c>
      <c r="B1820" t="s">
        <v>30</v>
      </c>
      <c r="C1820" s="34"/>
      <c r="D1820" s="34">
        <v>3401.03</v>
      </c>
    </row>
    <row r="1821" spans="1:4" hidden="1" x14ac:dyDescent="0.25">
      <c r="A1821" s="4">
        <v>36250</v>
      </c>
      <c r="B1821" t="s">
        <v>30</v>
      </c>
      <c r="C1821" s="34"/>
      <c r="D1821" s="34">
        <v>2560.61</v>
      </c>
    </row>
    <row r="1822" spans="1:4" hidden="1" x14ac:dyDescent="0.25">
      <c r="A1822" s="4">
        <v>36341</v>
      </c>
      <c r="B1822" t="s">
        <v>74</v>
      </c>
      <c r="C1822" s="34">
        <v>2134.08</v>
      </c>
      <c r="D1822" s="34"/>
    </row>
    <row r="1823" spans="1:4" hidden="1" x14ac:dyDescent="0.25">
      <c r="A1823" s="4">
        <v>36341</v>
      </c>
      <c r="B1823" t="s">
        <v>75</v>
      </c>
      <c r="C1823" s="34">
        <v>4505.49</v>
      </c>
      <c r="D1823" s="34"/>
    </row>
    <row r="1824" spans="1:4" hidden="1" x14ac:dyDescent="0.25">
      <c r="A1824" s="4" t="s">
        <v>76</v>
      </c>
      <c r="C1824" s="34"/>
      <c r="D1824" s="34"/>
    </row>
    <row r="1825" spans="1:4" hidden="1" x14ac:dyDescent="0.25">
      <c r="A1825" s="4">
        <v>36341</v>
      </c>
      <c r="B1825" t="s">
        <v>14</v>
      </c>
      <c r="C1825" s="36">
        <f>SUM(C1807:C1824)</f>
        <v>57417.799999999996</v>
      </c>
      <c r="D1825" s="36">
        <f>SUM(D1807:D1824)</f>
        <v>14589.060000000001</v>
      </c>
    </row>
    <row r="1826" spans="1:4" hidden="1" x14ac:dyDescent="0.25">
      <c r="A1826" s="4"/>
      <c r="B1826" s="4" t="s">
        <v>15</v>
      </c>
      <c r="C1826" s="34">
        <f>IF(C1825&gt;D1825,C1825-D1825," ")</f>
        <v>42828.739999999991</v>
      </c>
      <c r="D1826" s="34" t="str">
        <f>IF(D1825&gt;C1825,D1825-C1825," ")</f>
        <v xml:space="preserve"> </v>
      </c>
    </row>
    <row r="1827" spans="1:4" hidden="1" x14ac:dyDescent="0.25">
      <c r="A1827" s="4">
        <v>36410</v>
      </c>
      <c r="B1827" s="4" t="s">
        <v>34</v>
      </c>
      <c r="C1827" s="34"/>
      <c r="D1827" s="34">
        <v>2715.8</v>
      </c>
    </row>
    <row r="1828" spans="1:4" hidden="1" x14ac:dyDescent="0.25">
      <c r="A1828" s="4">
        <v>36538</v>
      </c>
      <c r="B1828" s="4" t="s">
        <v>77</v>
      </c>
      <c r="C1828" s="34">
        <v>4500</v>
      </c>
      <c r="D1828" s="34"/>
    </row>
    <row r="1829" spans="1:4" hidden="1" x14ac:dyDescent="0.25">
      <c r="A1829" s="4">
        <v>36538</v>
      </c>
      <c r="B1829" s="4" t="s">
        <v>78</v>
      </c>
      <c r="C1829" s="34">
        <v>10000</v>
      </c>
      <c r="D1829" s="34"/>
    </row>
    <row r="1830" spans="1:4" hidden="1" x14ac:dyDescent="0.25">
      <c r="A1830" s="4">
        <v>36657</v>
      </c>
      <c r="B1830" s="4" t="s">
        <v>79</v>
      </c>
      <c r="C1830" s="34"/>
      <c r="D1830" s="34">
        <f>7268.5-329</f>
        <v>6939.5</v>
      </c>
    </row>
    <row r="1831" spans="1:4" hidden="1" x14ac:dyDescent="0.25">
      <c r="A1831" s="4">
        <v>36678</v>
      </c>
      <c r="B1831" s="4" t="s">
        <v>80</v>
      </c>
      <c r="C1831" s="34">
        <v>11473.21</v>
      </c>
      <c r="D1831" s="34"/>
    </row>
    <row r="1832" spans="1:4" hidden="1" x14ac:dyDescent="0.25">
      <c r="A1832" s="4">
        <v>36707</v>
      </c>
      <c r="B1832" t="s">
        <v>74</v>
      </c>
      <c r="C1832" s="34"/>
      <c r="D1832" s="34">
        <v>744.7</v>
      </c>
    </row>
    <row r="1833" spans="1:4" hidden="1" x14ac:dyDescent="0.25">
      <c r="A1833" s="4">
        <v>36707</v>
      </c>
      <c r="B1833" t="s">
        <v>75</v>
      </c>
      <c r="C1833" s="34">
        <v>919.45</v>
      </c>
      <c r="D1833" s="34"/>
    </row>
    <row r="1834" spans="1:4" hidden="1" x14ac:dyDescent="0.25">
      <c r="A1834" s="4" t="s">
        <v>76</v>
      </c>
      <c r="C1834" s="34"/>
      <c r="D1834" s="34"/>
    </row>
    <row r="1835" spans="1:4" hidden="1" x14ac:dyDescent="0.25">
      <c r="A1835" s="4">
        <v>36707</v>
      </c>
      <c r="B1835" t="s">
        <v>14</v>
      </c>
      <c r="C1835" s="36">
        <f>SUM(C1826:C1834)</f>
        <v>69721.39999999998</v>
      </c>
      <c r="D1835" s="36">
        <f>SUM(D1826:D1834)</f>
        <v>10400</v>
      </c>
    </row>
    <row r="1836" spans="1:4" hidden="1" x14ac:dyDescent="0.25">
      <c r="A1836" s="4"/>
      <c r="B1836" s="4" t="s">
        <v>15</v>
      </c>
      <c r="C1836" s="34">
        <f>IF(C1835&gt;D1835,C1835-D1835," ")</f>
        <v>59321.39999999998</v>
      </c>
      <c r="D1836" s="34" t="str">
        <f>IF(D1835&gt;C1835,D1835-C1835," ")</f>
        <v xml:space="preserve"> </v>
      </c>
    </row>
    <row r="1837" spans="1:4" hidden="1" x14ac:dyDescent="0.25">
      <c r="A1837" s="4">
        <v>36746</v>
      </c>
      <c r="B1837" s="4" t="s">
        <v>45</v>
      </c>
      <c r="C1837" s="34"/>
      <c r="D1837" s="34">
        <v>9831</v>
      </c>
    </row>
    <row r="1838" spans="1:4" hidden="1" x14ac:dyDescent="0.25">
      <c r="A1838" s="4">
        <v>36829</v>
      </c>
      <c r="B1838" s="4" t="s">
        <v>47</v>
      </c>
      <c r="C1838" s="34">
        <v>3912.5</v>
      </c>
      <c r="D1838" s="34"/>
    </row>
    <row r="1839" spans="1:4" hidden="1" x14ac:dyDescent="0.25">
      <c r="A1839" s="4">
        <v>36937</v>
      </c>
      <c r="B1839" s="4" t="s">
        <v>56</v>
      </c>
      <c r="C1839" s="34">
        <v>14276.7</v>
      </c>
      <c r="D1839" s="34"/>
    </row>
    <row r="1840" spans="1:4" hidden="1" x14ac:dyDescent="0.25">
      <c r="A1840" s="4">
        <v>36938</v>
      </c>
      <c r="B1840" s="4" t="s">
        <v>57</v>
      </c>
      <c r="C1840" s="34">
        <v>9811.7000000000007</v>
      </c>
      <c r="D1840" s="34"/>
    </row>
    <row r="1841" spans="1:4" hidden="1" x14ac:dyDescent="0.25">
      <c r="A1841" s="4">
        <v>37042</v>
      </c>
      <c r="B1841" s="4" t="s">
        <v>64</v>
      </c>
      <c r="C1841" s="34"/>
      <c r="D1841" s="34">
        <v>5000</v>
      </c>
    </row>
    <row r="1842" spans="1:4" hidden="1" x14ac:dyDescent="0.25">
      <c r="A1842" s="4">
        <v>36993</v>
      </c>
      <c r="B1842" s="4" t="s">
        <v>81</v>
      </c>
      <c r="C1842" s="34">
        <v>146.44999999999999</v>
      </c>
      <c r="D1842" s="34"/>
    </row>
    <row r="1843" spans="1:4" hidden="1" x14ac:dyDescent="0.25">
      <c r="A1843" s="4">
        <v>37072</v>
      </c>
      <c r="B1843" t="s">
        <v>74</v>
      </c>
      <c r="C1843" s="34">
        <v>633.29999999999995</v>
      </c>
      <c r="D1843" s="34"/>
    </row>
    <row r="1844" spans="1:4" hidden="1" x14ac:dyDescent="0.25">
      <c r="A1844" s="4">
        <v>37072</v>
      </c>
      <c r="B1844" t="s">
        <v>75</v>
      </c>
      <c r="C1844" s="34">
        <v>320.77</v>
      </c>
      <c r="D1844" s="34"/>
    </row>
    <row r="1845" spans="1:4" hidden="1" x14ac:dyDescent="0.25">
      <c r="A1845" s="4">
        <v>37072</v>
      </c>
      <c r="B1845" t="s">
        <v>14</v>
      </c>
      <c r="C1845" s="36">
        <f>SUM(C1836:C1844)</f>
        <v>88422.819999999978</v>
      </c>
      <c r="D1845" s="36">
        <f>SUM(D1836:D1844)</f>
        <v>14831</v>
      </c>
    </row>
    <row r="1846" spans="1:4" hidden="1" x14ac:dyDescent="0.25">
      <c r="A1846" s="4"/>
      <c r="B1846" s="4" t="s">
        <v>15</v>
      </c>
      <c r="C1846" s="34">
        <f>IF(C1845&gt;D1845,C1845-D1845," ")</f>
        <v>73591.819999999978</v>
      </c>
      <c r="D1846" s="34" t="str">
        <f>IF(D1845&gt;C1845,D1845-C1845," ")</f>
        <v xml:space="preserve"> </v>
      </c>
    </row>
    <row r="1847" spans="1:4" hidden="1" x14ac:dyDescent="0.25">
      <c r="A1847" s="24">
        <v>37158</v>
      </c>
      <c r="B1847" s="24" t="s">
        <v>165</v>
      </c>
      <c r="C1847" s="37">
        <v>2122</v>
      </c>
      <c r="D1847" s="37"/>
    </row>
    <row r="1848" spans="1:4" s="23" customFormat="1" hidden="1" x14ac:dyDescent="0.25">
      <c r="A1848" s="24">
        <v>37159</v>
      </c>
      <c r="B1848" s="24" t="s">
        <v>166</v>
      </c>
      <c r="C1848" s="37">
        <v>7472.7</v>
      </c>
      <c r="D1848" s="37"/>
    </row>
    <row r="1849" spans="1:4" s="23" customFormat="1" hidden="1" x14ac:dyDescent="0.25">
      <c r="A1849" s="24">
        <v>37375</v>
      </c>
      <c r="B1849" s="24" t="s">
        <v>166</v>
      </c>
      <c r="C1849" s="37">
        <v>3648</v>
      </c>
      <c r="D1849" s="37"/>
    </row>
    <row r="1850" spans="1:4" s="23" customFormat="1" hidden="1" x14ac:dyDescent="0.25">
      <c r="A1850" s="24">
        <v>37180</v>
      </c>
      <c r="B1850" s="24" t="s">
        <v>176</v>
      </c>
      <c r="C1850" s="37">
        <v>246.78</v>
      </c>
      <c r="D1850" s="37"/>
    </row>
    <row r="1851" spans="1:4" s="25" customFormat="1" hidden="1" x14ac:dyDescent="0.25">
      <c r="A1851" s="24">
        <v>37357</v>
      </c>
      <c r="B1851" s="24" t="s">
        <v>176</v>
      </c>
      <c r="C1851" s="37">
        <v>234.5</v>
      </c>
      <c r="D1851" s="37"/>
    </row>
    <row r="1852" spans="1:4" hidden="1" x14ac:dyDescent="0.25">
      <c r="A1852" s="24">
        <v>37118</v>
      </c>
      <c r="B1852" s="24" t="s">
        <v>177</v>
      </c>
      <c r="C1852" s="37">
        <v>313.02</v>
      </c>
      <c r="D1852" s="37"/>
    </row>
    <row r="1853" spans="1:4" s="23" customFormat="1" hidden="1" x14ac:dyDescent="0.25">
      <c r="A1853" s="24">
        <v>37300</v>
      </c>
      <c r="B1853" s="24" t="s">
        <v>177</v>
      </c>
      <c r="C1853" s="37">
        <f>126+50.4</f>
        <v>176.4</v>
      </c>
      <c r="D1853" s="37"/>
    </row>
    <row r="1854" spans="1:4" s="23" customFormat="1" hidden="1" x14ac:dyDescent="0.25">
      <c r="A1854" s="4">
        <v>37437</v>
      </c>
      <c r="B1854" t="s">
        <v>75</v>
      </c>
      <c r="C1854" s="34">
        <v>2434.94</v>
      </c>
      <c r="D1854" s="38"/>
    </row>
    <row r="1855" spans="1:4" s="23" customFormat="1" hidden="1" x14ac:dyDescent="0.25">
      <c r="A1855" s="4">
        <v>37437</v>
      </c>
      <c r="B1855" t="s">
        <v>14</v>
      </c>
      <c r="C1855" s="36">
        <f>SUM(C1846:C1854)</f>
        <v>90240.159999999974</v>
      </c>
      <c r="D1855" s="36">
        <f>SUM(D1846:D1854)</f>
        <v>0</v>
      </c>
    </row>
    <row r="1856" spans="1:4" s="23" customFormat="1" hidden="1" x14ac:dyDescent="0.25">
      <c r="A1856" s="4"/>
      <c r="B1856" s="4" t="s">
        <v>15</v>
      </c>
      <c r="C1856" s="34">
        <f>IF(C1855&gt;D1855,C1855-D1855," ")</f>
        <v>90240.159999999974</v>
      </c>
      <c r="D1856" s="34" t="str">
        <f>IF(D1855&gt;C1855,D1855-C1855," ")</f>
        <v xml:space="preserve"> </v>
      </c>
    </row>
    <row r="1857" spans="1:6" s="23" customFormat="1" hidden="1" x14ac:dyDescent="0.25">
      <c r="A1857" s="4">
        <v>37631</v>
      </c>
      <c r="B1857" s="4" t="s">
        <v>183</v>
      </c>
      <c r="C1857" s="34"/>
      <c r="D1857" s="34">
        <v>13221.57</v>
      </c>
    </row>
    <row r="1858" spans="1:6" s="23" customFormat="1" hidden="1" x14ac:dyDescent="0.25">
      <c r="A1858" s="24">
        <v>37545</v>
      </c>
      <c r="B1858" s="24" t="s">
        <v>176</v>
      </c>
      <c r="C1858" s="34">
        <v>259.47000000000003</v>
      </c>
      <c r="D1858" s="34"/>
    </row>
    <row r="1859" spans="1:6" s="23" customFormat="1" hidden="1" x14ac:dyDescent="0.25">
      <c r="A1859" s="24">
        <v>37708</v>
      </c>
      <c r="B1859" s="24" t="s">
        <v>176</v>
      </c>
      <c r="C1859" s="34">
        <v>256.88</v>
      </c>
      <c r="D1859" s="34"/>
    </row>
    <row r="1860" spans="1:6" s="23" customFormat="1" hidden="1" x14ac:dyDescent="0.25">
      <c r="A1860" s="24">
        <v>37117</v>
      </c>
      <c r="B1860" s="24" t="s">
        <v>177</v>
      </c>
      <c r="C1860" s="34">
        <f>78.99+302.61</f>
        <v>381.6</v>
      </c>
      <c r="D1860" s="34"/>
    </row>
    <row r="1861" spans="1:6" s="23" customFormat="1" hidden="1" x14ac:dyDescent="0.25">
      <c r="A1861" s="24">
        <v>37300</v>
      </c>
      <c r="B1861" s="24" t="s">
        <v>177</v>
      </c>
      <c r="C1861" s="34">
        <f>316.61</f>
        <v>316.61</v>
      </c>
      <c r="D1861" s="34"/>
    </row>
    <row r="1862" spans="1:6" s="23" customFormat="1" hidden="1" x14ac:dyDescent="0.25">
      <c r="A1862" s="4">
        <v>37802</v>
      </c>
      <c r="B1862" t="s">
        <v>74</v>
      </c>
      <c r="C1862" s="34">
        <v>1661.84</v>
      </c>
      <c r="D1862" s="34"/>
    </row>
    <row r="1863" spans="1:6" s="23" customFormat="1" hidden="1" x14ac:dyDescent="0.25">
      <c r="A1863" s="4">
        <v>37802</v>
      </c>
      <c r="B1863" t="s">
        <v>75</v>
      </c>
      <c r="C1863" s="34">
        <f>2640-2190.4</f>
        <v>449.59999999999991</v>
      </c>
      <c r="D1863" s="34"/>
    </row>
    <row r="1864" spans="1:6" s="23" customFormat="1" hidden="1" x14ac:dyDescent="0.25">
      <c r="A1864" s="4"/>
      <c r="B1864" s="4"/>
      <c r="C1864" s="34"/>
      <c r="D1864" s="34"/>
    </row>
    <row r="1865" spans="1:6" s="23" customFormat="1" hidden="1" x14ac:dyDescent="0.25">
      <c r="A1865" s="4">
        <v>37802</v>
      </c>
      <c r="B1865" t="s">
        <v>14</v>
      </c>
      <c r="C1865" s="36">
        <f>SUM(C1856:C1864)</f>
        <v>93566.159999999989</v>
      </c>
      <c r="D1865" s="36">
        <f>SUM(D1856:D1864)</f>
        <v>13221.57</v>
      </c>
    </row>
    <row r="1866" spans="1:6" s="23" customFormat="1" hidden="1" x14ac:dyDescent="0.25">
      <c r="A1866" s="4"/>
      <c r="B1866" s="4" t="s">
        <v>15</v>
      </c>
      <c r="C1866" s="34">
        <f>IF(C1865&gt;D1865,C1865-D1865," ")</f>
        <v>80344.59</v>
      </c>
      <c r="D1866" s="34" t="str">
        <f>IF(D1865&gt;C1865,D1865-C1865," ")</f>
        <v xml:space="preserve"> </v>
      </c>
    </row>
    <row r="1867" spans="1:6" s="23" customFormat="1" hidden="1" x14ac:dyDescent="0.25">
      <c r="A1867" s="4">
        <v>37811</v>
      </c>
      <c r="B1867" s="4" t="s">
        <v>193</v>
      </c>
      <c r="C1867" s="34">
        <v>10000</v>
      </c>
      <c r="D1867" s="34"/>
    </row>
    <row r="1868" spans="1:6" s="23" customFormat="1" hidden="1" x14ac:dyDescent="0.25">
      <c r="A1868" s="4">
        <v>37831</v>
      </c>
      <c r="B1868" s="4" t="s">
        <v>198</v>
      </c>
      <c r="C1868" s="34"/>
      <c r="D1868" s="34">
        <v>6800</v>
      </c>
      <c r="F1868" s="27"/>
    </row>
    <row r="1869" spans="1:6" s="23" customFormat="1" hidden="1" x14ac:dyDescent="0.25">
      <c r="A1869" s="4">
        <v>38090</v>
      </c>
      <c r="B1869" s="4" t="s">
        <v>202</v>
      </c>
      <c r="C1869" s="34">
        <v>1061.5</v>
      </c>
      <c r="D1869" s="34"/>
    </row>
    <row r="1870" spans="1:6" s="23" customFormat="1" hidden="1" x14ac:dyDescent="0.25">
      <c r="A1870" s="24">
        <v>37890</v>
      </c>
      <c r="B1870" s="24" t="s">
        <v>176</v>
      </c>
      <c r="C1870" s="34">
        <v>293.48</v>
      </c>
      <c r="D1870" s="34"/>
    </row>
    <row r="1871" spans="1:6" s="23" customFormat="1" hidden="1" x14ac:dyDescent="0.25">
      <c r="A1871" s="24">
        <v>37847</v>
      </c>
      <c r="B1871" s="24" t="s">
        <v>177</v>
      </c>
      <c r="C1871" s="34">
        <v>170.21</v>
      </c>
      <c r="D1871" s="34"/>
    </row>
    <row r="1872" spans="1:6" s="23" customFormat="1" hidden="1" x14ac:dyDescent="0.25">
      <c r="A1872" s="24">
        <v>38030</v>
      </c>
      <c r="B1872" s="24" t="s">
        <v>177</v>
      </c>
      <c r="C1872" s="34">
        <v>172.01</v>
      </c>
      <c r="D1872" s="34"/>
    </row>
    <row r="1873" spans="1:4" s="23" customFormat="1" hidden="1" x14ac:dyDescent="0.25">
      <c r="A1873" s="4">
        <v>38168</v>
      </c>
      <c r="B1873" t="s">
        <v>74</v>
      </c>
      <c r="C1873" s="34">
        <v>0</v>
      </c>
      <c r="D1873" s="34"/>
    </row>
    <row r="1874" spans="1:4" s="23" customFormat="1" hidden="1" x14ac:dyDescent="0.25">
      <c r="A1874" s="4">
        <v>38168</v>
      </c>
      <c r="B1874" t="s">
        <v>75</v>
      </c>
      <c r="C1874" s="34">
        <v>16148.82</v>
      </c>
      <c r="D1874" s="34"/>
    </row>
    <row r="1875" spans="1:4" s="23" customFormat="1" hidden="1" x14ac:dyDescent="0.25">
      <c r="A1875" s="4">
        <v>38168</v>
      </c>
      <c r="B1875" t="s">
        <v>14</v>
      </c>
      <c r="C1875" s="36">
        <f>SUM(C1866:C1874)</f>
        <v>108190.60999999999</v>
      </c>
      <c r="D1875" s="36">
        <f>SUM(D1866:D1874)</f>
        <v>6800</v>
      </c>
    </row>
    <row r="1876" spans="1:4" s="23" customFormat="1" hidden="1" x14ac:dyDescent="0.25">
      <c r="A1876" s="4"/>
      <c r="B1876" s="4" t="s">
        <v>15</v>
      </c>
      <c r="C1876" s="34">
        <f>IF(C1875&gt;D1875,C1875-D1875," ")</f>
        <v>101390.60999999999</v>
      </c>
      <c r="D1876" s="34" t="str">
        <f>IF(D1875&gt;C1875,D1875-C1875," ")</f>
        <v xml:space="preserve"> </v>
      </c>
    </row>
    <row r="1877" spans="1:4" s="23" customFormat="1" hidden="1" x14ac:dyDescent="0.25">
      <c r="A1877" s="4">
        <v>38366</v>
      </c>
      <c r="B1877" s="4" t="s">
        <v>212</v>
      </c>
      <c r="C1877" s="34">
        <v>17245.55</v>
      </c>
      <c r="D1877" s="34"/>
    </row>
    <row r="1878" spans="1:4" s="23" customFormat="1" hidden="1" x14ac:dyDescent="0.25">
      <c r="A1878" s="4">
        <v>38366</v>
      </c>
      <c r="B1878" s="4" t="s">
        <v>213</v>
      </c>
      <c r="C1878" s="34">
        <v>14581</v>
      </c>
      <c r="D1878" s="34"/>
    </row>
    <row r="1879" spans="1:4" s="23" customFormat="1" hidden="1" x14ac:dyDescent="0.25">
      <c r="A1879" s="4">
        <v>38482</v>
      </c>
      <c r="B1879" s="4" t="s">
        <v>216</v>
      </c>
      <c r="C1879" s="34"/>
      <c r="D1879" s="34">
        <v>520.5</v>
      </c>
    </row>
    <row r="1880" spans="1:4" s="23" customFormat="1" hidden="1" x14ac:dyDescent="0.25">
      <c r="A1880" s="4">
        <v>38506</v>
      </c>
      <c r="B1880" s="4" t="s">
        <v>218</v>
      </c>
      <c r="C1880" s="34">
        <v>2000</v>
      </c>
      <c r="D1880" s="34"/>
    </row>
    <row r="1881" spans="1:4" s="23" customFormat="1" hidden="1" x14ac:dyDescent="0.25">
      <c r="A1881" s="4">
        <v>38212</v>
      </c>
      <c r="B1881" s="4" t="s">
        <v>219</v>
      </c>
      <c r="C1881" s="34">
        <v>174</v>
      </c>
      <c r="D1881" s="34"/>
    </row>
    <row r="1882" spans="1:4" s="23" customFormat="1" hidden="1" x14ac:dyDescent="0.25">
      <c r="A1882" s="4">
        <v>38393</v>
      </c>
      <c r="B1882" s="4" t="s">
        <v>219</v>
      </c>
      <c r="C1882" s="34">
        <v>2990.5</v>
      </c>
      <c r="D1882" s="34"/>
    </row>
    <row r="1883" spans="1:4" s="23" customFormat="1" hidden="1" x14ac:dyDescent="0.25">
      <c r="A1883" s="4">
        <v>38533</v>
      </c>
      <c r="B1883" s="4" t="s">
        <v>75</v>
      </c>
      <c r="C1883" s="34">
        <v>22752.33</v>
      </c>
      <c r="D1883" s="34"/>
    </row>
    <row r="1884" spans="1:4" s="23" customFormat="1" hidden="1" x14ac:dyDescent="0.25">
      <c r="A1884" s="4"/>
      <c r="B1884" s="4"/>
      <c r="C1884" s="34"/>
      <c r="D1884" s="34"/>
    </row>
    <row r="1885" spans="1:4" s="23" customFormat="1" hidden="1" x14ac:dyDescent="0.25">
      <c r="A1885" s="4">
        <v>38533</v>
      </c>
      <c r="B1885" t="s">
        <v>14</v>
      </c>
      <c r="C1885" s="36">
        <f>SUM(C1876:C1884)</f>
        <v>161133.99</v>
      </c>
      <c r="D1885" s="36">
        <f>SUM(D1876:D1884)</f>
        <v>520.5</v>
      </c>
    </row>
    <row r="1886" spans="1:4" s="23" customFormat="1" hidden="1" x14ac:dyDescent="0.25">
      <c r="A1886" s="4"/>
      <c r="B1886" s="4" t="s">
        <v>15</v>
      </c>
      <c r="C1886" s="34">
        <f>IF(C1885&gt;D1885,C1885-D1885," ")</f>
        <v>160613.49</v>
      </c>
      <c r="D1886" s="34" t="str">
        <f>IF(D1885&gt;C1885,D1885-C1885," ")</f>
        <v xml:space="preserve"> </v>
      </c>
    </row>
    <row r="1887" spans="1:4" s="23" customFormat="1" hidden="1" x14ac:dyDescent="0.25">
      <c r="A1887" s="4">
        <v>38603</v>
      </c>
      <c r="B1887" s="4" t="s">
        <v>226</v>
      </c>
      <c r="C1887" s="34"/>
      <c r="D1887" s="34">
        <v>1934</v>
      </c>
    </row>
    <row r="1888" spans="1:4" s="23" customFormat="1" hidden="1" x14ac:dyDescent="0.25">
      <c r="A1888" s="4">
        <v>38611</v>
      </c>
      <c r="B1888" s="4" t="s">
        <v>227</v>
      </c>
      <c r="C1888" s="34">
        <v>2000</v>
      </c>
      <c r="D1888" s="34"/>
    </row>
    <row r="1889" spans="1:4" s="23" customFormat="1" hidden="1" x14ac:dyDescent="0.25">
      <c r="A1889" s="4">
        <v>38576</v>
      </c>
      <c r="B1889" s="4" t="s">
        <v>219</v>
      </c>
      <c r="C1889" s="34">
        <v>763.67</v>
      </c>
      <c r="D1889" s="34"/>
    </row>
    <row r="1890" spans="1:4" s="23" customFormat="1" hidden="1" x14ac:dyDescent="0.25">
      <c r="A1890" s="4">
        <v>38762</v>
      </c>
      <c r="B1890" s="4" t="s">
        <v>219</v>
      </c>
      <c r="C1890" s="34">
        <v>574</v>
      </c>
      <c r="D1890" s="34"/>
    </row>
    <row r="1891" spans="1:4" s="23" customFormat="1" hidden="1" x14ac:dyDescent="0.25">
      <c r="A1891" s="4">
        <v>38898</v>
      </c>
      <c r="B1891" s="4" t="s">
        <v>250</v>
      </c>
      <c r="C1891" s="34">
        <v>384</v>
      </c>
      <c r="D1891" s="34"/>
    </row>
    <row r="1892" spans="1:4" s="23" customFormat="1" hidden="1" x14ac:dyDescent="0.25">
      <c r="A1892" s="4">
        <v>38898</v>
      </c>
      <c r="B1892" s="4" t="s">
        <v>75</v>
      </c>
      <c r="C1892" s="34">
        <v>4724.32</v>
      </c>
      <c r="D1892" s="34"/>
    </row>
    <row r="1893" spans="1:4" s="23" customFormat="1" hidden="1" x14ac:dyDescent="0.25">
      <c r="A1893" s="4"/>
      <c r="B1893" s="4"/>
      <c r="C1893" s="34"/>
      <c r="D1893" s="34"/>
    </row>
    <row r="1894" spans="1:4" s="23" customFormat="1" hidden="1" x14ac:dyDescent="0.25">
      <c r="A1894" s="4">
        <v>38898</v>
      </c>
      <c r="B1894" t="s">
        <v>14</v>
      </c>
      <c r="C1894" s="36">
        <f>SUM(C1886:C1893)</f>
        <v>169059.48</v>
      </c>
      <c r="D1894" s="36">
        <f>SUM(D1886:D1893)</f>
        <v>1934</v>
      </c>
    </row>
    <row r="1895" spans="1:4" s="23" customFormat="1" hidden="1" x14ac:dyDescent="0.25">
      <c r="A1895" s="4"/>
      <c r="B1895" s="4" t="s">
        <v>15</v>
      </c>
      <c r="C1895" s="34">
        <f>IF(C1894&gt;D1894,C1894-D1894," ")</f>
        <v>167125.48000000001</v>
      </c>
      <c r="D1895" s="34" t="str">
        <f>IF(D1894&gt;C1894,D1894-C1894," ")</f>
        <v xml:space="preserve"> </v>
      </c>
    </row>
    <row r="1896" spans="1:4" s="23" customFormat="1" hidden="1" x14ac:dyDescent="0.25">
      <c r="A1896" s="4">
        <v>38919</v>
      </c>
      <c r="B1896" s="4" t="s">
        <v>254</v>
      </c>
      <c r="C1896" s="34"/>
      <c r="D1896" s="34">
        <v>3530.8</v>
      </c>
    </row>
    <row r="1897" spans="1:4" s="23" customFormat="1" hidden="1" x14ac:dyDescent="0.25">
      <c r="A1897" s="4">
        <v>38982</v>
      </c>
      <c r="B1897" s="4" t="s">
        <v>256</v>
      </c>
      <c r="C1897" s="34"/>
      <c r="D1897" s="34">
        <v>10389</v>
      </c>
    </row>
    <row r="1898" spans="1:4" s="23" customFormat="1" hidden="1" x14ac:dyDescent="0.25">
      <c r="A1898" s="4">
        <v>38982</v>
      </c>
      <c r="B1898" s="4" t="s">
        <v>258</v>
      </c>
      <c r="C1898" s="34">
        <v>17270.66</v>
      </c>
      <c r="D1898" s="34"/>
    </row>
    <row r="1899" spans="1:4" s="23" customFormat="1" hidden="1" x14ac:dyDescent="0.25">
      <c r="A1899" s="4">
        <v>38982</v>
      </c>
      <c r="B1899" s="4" t="s">
        <v>259</v>
      </c>
      <c r="C1899" s="34">
        <v>8858.85</v>
      </c>
      <c r="D1899" s="34"/>
    </row>
    <row r="1900" spans="1:4" s="23" customFormat="1" hidden="1" x14ac:dyDescent="0.25">
      <c r="A1900" s="4">
        <v>39017</v>
      </c>
      <c r="B1900" s="4" t="s">
        <v>262</v>
      </c>
      <c r="C1900" s="34">
        <v>6000</v>
      </c>
      <c r="D1900" s="34"/>
    </row>
    <row r="1901" spans="1:4" s="23" customFormat="1" hidden="1" x14ac:dyDescent="0.25">
      <c r="A1901" s="4">
        <v>39111</v>
      </c>
      <c r="B1901" s="4" t="s">
        <v>264</v>
      </c>
      <c r="C1901" s="34"/>
      <c r="D1901" s="34">
        <v>2060</v>
      </c>
    </row>
    <row r="1902" spans="1:4" s="23" customFormat="1" hidden="1" x14ac:dyDescent="0.25">
      <c r="A1902" s="4">
        <v>38944</v>
      </c>
      <c r="B1902" s="4" t="s">
        <v>219</v>
      </c>
      <c r="C1902" s="34">
        <v>649.99</v>
      </c>
      <c r="D1902" s="34"/>
    </row>
    <row r="1903" spans="1:4" s="23" customFormat="1" hidden="1" x14ac:dyDescent="0.25">
      <c r="A1903" s="4">
        <v>39127</v>
      </c>
      <c r="B1903" s="4" t="s">
        <v>219</v>
      </c>
      <c r="C1903" s="34">
        <v>615.4</v>
      </c>
      <c r="D1903" s="34"/>
    </row>
    <row r="1904" spans="1:4" s="23" customFormat="1" hidden="1" x14ac:dyDescent="0.25">
      <c r="A1904" s="4">
        <v>39171</v>
      </c>
      <c r="B1904" s="4" t="s">
        <v>283</v>
      </c>
      <c r="C1904" s="34">
        <v>425</v>
      </c>
      <c r="D1904" s="34"/>
    </row>
    <row r="1905" spans="1:4" s="23" customFormat="1" hidden="1" x14ac:dyDescent="0.25">
      <c r="A1905" s="4">
        <v>39263</v>
      </c>
      <c r="B1905" s="4" t="s">
        <v>250</v>
      </c>
      <c r="C1905" s="34">
        <v>2721.5</v>
      </c>
      <c r="D1905" s="34"/>
    </row>
    <row r="1906" spans="1:4" s="23" customFormat="1" hidden="1" x14ac:dyDescent="0.25">
      <c r="A1906" s="4">
        <v>39263</v>
      </c>
      <c r="B1906" s="4" t="s">
        <v>75</v>
      </c>
      <c r="C1906" s="34">
        <v>52658.98</v>
      </c>
      <c r="D1906" s="34"/>
    </row>
    <row r="1907" spans="1:4" s="23" customFormat="1" hidden="1" x14ac:dyDescent="0.25">
      <c r="A1907" s="4"/>
      <c r="B1907" s="4"/>
      <c r="C1907" s="34"/>
      <c r="D1907" s="34"/>
    </row>
    <row r="1908" spans="1:4" s="23" customFormat="1" hidden="1" x14ac:dyDescent="0.25">
      <c r="A1908" s="4">
        <v>39263</v>
      </c>
      <c r="B1908" t="s">
        <v>14</v>
      </c>
      <c r="C1908" s="36">
        <f>SUM(C1895:C1907)</f>
        <v>256325.86000000002</v>
      </c>
      <c r="D1908" s="36">
        <f>SUM(D1895:D1907)</f>
        <v>15979.8</v>
      </c>
    </row>
    <row r="1909" spans="1:4" s="23" customFormat="1" hidden="1" x14ac:dyDescent="0.25">
      <c r="A1909" s="4"/>
      <c r="B1909" s="4" t="s">
        <v>15</v>
      </c>
      <c r="C1909" s="34">
        <f>IF(C1908&gt;D1908,C1908-D1908," ")</f>
        <v>240346.06000000003</v>
      </c>
      <c r="D1909" s="34" t="str">
        <f>IF(D1908&gt;C1908,D1908-C1908," ")</f>
        <v xml:space="preserve"> </v>
      </c>
    </row>
    <row r="1910" spans="1:4" s="23" customFormat="1" hidden="1" x14ac:dyDescent="0.25">
      <c r="A1910" s="4">
        <v>39276</v>
      </c>
      <c r="B1910" s="4" t="s">
        <v>289</v>
      </c>
      <c r="C1910" s="34"/>
      <c r="D1910" s="34">
        <v>26981.84</v>
      </c>
    </row>
    <row r="1911" spans="1:4" s="23" customFormat="1" hidden="1" x14ac:dyDescent="0.25">
      <c r="A1911" s="4">
        <v>39276</v>
      </c>
      <c r="B1911" s="4" t="s">
        <v>288</v>
      </c>
      <c r="C1911" s="34"/>
      <c r="D1911" s="34">
        <v>19022.71</v>
      </c>
    </row>
    <row r="1912" spans="1:4" s="23" customFormat="1" hidden="1" x14ac:dyDescent="0.25">
      <c r="A1912" s="4">
        <v>39276</v>
      </c>
      <c r="B1912" s="4" t="s">
        <v>290</v>
      </c>
      <c r="C1912" s="34">
        <v>28208.57</v>
      </c>
      <c r="D1912" s="34"/>
    </row>
    <row r="1913" spans="1:4" s="23" customFormat="1" hidden="1" x14ac:dyDescent="0.25">
      <c r="A1913" s="4">
        <v>39276</v>
      </c>
      <c r="B1913" s="4" t="s">
        <v>291</v>
      </c>
      <c r="C1913" s="34">
        <v>13386</v>
      </c>
      <c r="D1913" s="34"/>
    </row>
    <row r="1914" spans="1:4" s="23" customFormat="1" hidden="1" x14ac:dyDescent="0.25">
      <c r="A1914" s="4">
        <v>39276</v>
      </c>
      <c r="B1914" s="4" t="s">
        <v>292</v>
      </c>
      <c r="C1914" s="34">
        <v>14891</v>
      </c>
      <c r="D1914" s="34"/>
    </row>
    <row r="1915" spans="1:4" s="23" customFormat="1" hidden="1" x14ac:dyDescent="0.25">
      <c r="A1915" s="4">
        <v>39574</v>
      </c>
      <c r="B1915" s="4" t="s">
        <v>302</v>
      </c>
      <c r="C1915" s="34">
        <v>4800</v>
      </c>
      <c r="D1915" s="34"/>
    </row>
    <row r="1916" spans="1:4" s="23" customFormat="1" hidden="1" x14ac:dyDescent="0.25">
      <c r="A1916" s="4">
        <v>39583</v>
      </c>
      <c r="B1916" s="4" t="s">
        <v>303</v>
      </c>
      <c r="C1916" s="34">
        <v>1972</v>
      </c>
      <c r="D1916" s="34"/>
    </row>
    <row r="1917" spans="1:4" s="23" customFormat="1" hidden="1" x14ac:dyDescent="0.25">
      <c r="A1917" s="4">
        <v>39277</v>
      </c>
      <c r="B1917" s="4" t="s">
        <v>219</v>
      </c>
      <c r="C1917" s="34">
        <v>632.1</v>
      </c>
      <c r="D1917" s="34"/>
    </row>
    <row r="1918" spans="1:4" s="23" customFormat="1" hidden="1" x14ac:dyDescent="0.25">
      <c r="A1918" s="4">
        <v>39492</v>
      </c>
      <c r="B1918" s="4" t="s">
        <v>219</v>
      </c>
      <c r="C1918" s="34">
        <v>651.29999999999995</v>
      </c>
      <c r="D1918" s="34"/>
    </row>
    <row r="1919" spans="1:4" s="23" customFormat="1" hidden="1" x14ac:dyDescent="0.25">
      <c r="A1919" s="4">
        <v>39321</v>
      </c>
      <c r="B1919" s="4" t="s">
        <v>306</v>
      </c>
      <c r="C1919" s="34">
        <v>482.35</v>
      </c>
      <c r="D1919" s="34"/>
    </row>
    <row r="1920" spans="1:4" s="23" customFormat="1" hidden="1" x14ac:dyDescent="0.25">
      <c r="A1920" s="4">
        <v>39505</v>
      </c>
      <c r="B1920" s="4" t="s">
        <v>306</v>
      </c>
      <c r="C1920" s="34">
        <v>508.48</v>
      </c>
      <c r="D1920" s="34"/>
    </row>
    <row r="1921" spans="1:4" s="23" customFormat="1" hidden="1" x14ac:dyDescent="0.25">
      <c r="A1921" s="4">
        <v>39415</v>
      </c>
      <c r="B1921" s="4" t="s">
        <v>283</v>
      </c>
      <c r="C1921" s="34">
        <v>716.8</v>
      </c>
      <c r="D1921" s="34"/>
    </row>
    <row r="1922" spans="1:4" s="23" customFormat="1" hidden="1" x14ac:dyDescent="0.25">
      <c r="A1922" s="4">
        <v>39538</v>
      </c>
      <c r="B1922" s="4" t="s">
        <v>283</v>
      </c>
      <c r="C1922" s="34">
        <v>343.85</v>
      </c>
      <c r="D1922" s="34"/>
    </row>
    <row r="1923" spans="1:4" s="23" customFormat="1" hidden="1" x14ac:dyDescent="0.25">
      <c r="A1923" s="4">
        <v>39325</v>
      </c>
      <c r="B1923" s="4" t="s">
        <v>307</v>
      </c>
      <c r="C1923" s="34">
        <v>245</v>
      </c>
      <c r="D1923" s="34"/>
    </row>
    <row r="1924" spans="1:4" s="23" customFormat="1" hidden="1" x14ac:dyDescent="0.25">
      <c r="A1924" s="4">
        <v>39629</v>
      </c>
      <c r="B1924" s="4" t="s">
        <v>250</v>
      </c>
      <c r="C1924" s="34"/>
      <c r="D1924" s="34">
        <v>620.64</v>
      </c>
    </row>
    <row r="1925" spans="1:4" s="23" customFormat="1" hidden="1" x14ac:dyDescent="0.25">
      <c r="A1925" s="4">
        <v>39629</v>
      </c>
      <c r="B1925" s="4" t="s">
        <v>75</v>
      </c>
      <c r="C1925" s="34"/>
      <c r="D1925" s="34">
        <v>51688.480000000003</v>
      </c>
    </row>
    <row r="1926" spans="1:4" s="23" customFormat="1" hidden="1" x14ac:dyDescent="0.25">
      <c r="A1926" s="4"/>
      <c r="B1926" s="4"/>
      <c r="C1926" s="34"/>
      <c r="D1926" s="34"/>
    </row>
    <row r="1927" spans="1:4" s="23" customFormat="1" hidden="1" x14ac:dyDescent="0.25">
      <c r="A1927" s="4">
        <v>39629</v>
      </c>
      <c r="B1927" t="s">
        <v>14</v>
      </c>
      <c r="C1927" s="36">
        <f>SUM(C1909:C1926)</f>
        <v>307183.50999999989</v>
      </c>
      <c r="D1927" s="36">
        <f>SUM(D1909:D1926)</f>
        <v>98313.670000000013</v>
      </c>
    </row>
    <row r="1928" spans="1:4" s="23" customFormat="1" hidden="1" x14ac:dyDescent="0.25">
      <c r="A1928" s="4"/>
      <c r="B1928" s="4" t="s">
        <v>15</v>
      </c>
      <c r="C1928" s="34">
        <f>IF(C1927&gt;D1927,C1927-D1927," ")</f>
        <v>208869.83999999988</v>
      </c>
      <c r="D1928" s="34" t="str">
        <f>IF(D1927&gt;C1927,D1927-C1927," ")</f>
        <v xml:space="preserve"> </v>
      </c>
    </row>
    <row r="1929" spans="1:4" s="23" customFormat="1" hidden="1" x14ac:dyDescent="0.25">
      <c r="A1929" s="4">
        <v>39861</v>
      </c>
      <c r="B1929" s="4" t="s">
        <v>319</v>
      </c>
      <c r="C1929" s="34">
        <v>3658.5</v>
      </c>
      <c r="D1929" s="34"/>
    </row>
    <row r="1930" spans="1:4" s="23" customFormat="1" hidden="1" x14ac:dyDescent="0.25">
      <c r="A1930" s="4">
        <v>39890</v>
      </c>
      <c r="B1930" s="4" t="s">
        <v>322</v>
      </c>
      <c r="C1930" s="34">
        <v>1125</v>
      </c>
      <c r="D1930" s="34"/>
    </row>
    <row r="1931" spans="1:4" s="23" customFormat="1" hidden="1" x14ac:dyDescent="0.25">
      <c r="A1931" s="4">
        <v>39903</v>
      </c>
      <c r="B1931" s="4" t="s">
        <v>323</v>
      </c>
      <c r="C1931" s="34">
        <v>4999.92</v>
      </c>
      <c r="D1931" s="34"/>
    </row>
    <row r="1932" spans="1:4" s="23" customFormat="1" hidden="1" x14ac:dyDescent="0.25">
      <c r="A1932" s="4">
        <v>39696</v>
      </c>
      <c r="B1932" s="4" t="s">
        <v>307</v>
      </c>
      <c r="C1932" s="34">
        <v>404</v>
      </c>
      <c r="D1932" s="34"/>
    </row>
    <row r="1933" spans="1:4" s="23" customFormat="1" hidden="1" x14ac:dyDescent="0.25">
      <c r="A1933" s="4">
        <v>39909</v>
      </c>
      <c r="B1933" s="4" t="s">
        <v>307</v>
      </c>
      <c r="C1933" s="34">
        <v>281.60000000000002</v>
      </c>
      <c r="D1933" s="34"/>
    </row>
    <row r="1934" spans="1:4" s="23" customFormat="1" hidden="1" x14ac:dyDescent="0.25">
      <c r="A1934" s="4">
        <v>39674</v>
      </c>
      <c r="B1934" s="4" t="s">
        <v>219</v>
      </c>
      <c r="C1934" s="34">
        <v>674.92</v>
      </c>
      <c r="D1934" s="34"/>
    </row>
    <row r="1935" spans="1:4" s="23" customFormat="1" hidden="1" x14ac:dyDescent="0.25">
      <c r="A1935" s="4">
        <v>39692</v>
      </c>
      <c r="B1935" s="4" t="s">
        <v>283</v>
      </c>
      <c r="C1935" s="34">
        <v>819.45</v>
      </c>
      <c r="D1935" s="34"/>
    </row>
    <row r="1936" spans="1:4" s="23" customFormat="1" hidden="1" x14ac:dyDescent="0.25">
      <c r="A1936" s="4">
        <v>39874</v>
      </c>
      <c r="B1936" s="4" t="s">
        <v>283</v>
      </c>
      <c r="C1936" s="34">
        <v>317</v>
      </c>
      <c r="D1936" s="34"/>
    </row>
    <row r="1937" spans="1:4" s="23" customFormat="1" hidden="1" x14ac:dyDescent="0.25">
      <c r="A1937" s="4">
        <v>39689</v>
      </c>
      <c r="B1937" s="4" t="s">
        <v>306</v>
      </c>
      <c r="C1937" s="34">
        <v>549.26</v>
      </c>
      <c r="D1937" s="34"/>
    </row>
    <row r="1938" spans="1:4" s="23" customFormat="1" hidden="1" x14ac:dyDescent="0.25">
      <c r="A1938" s="4">
        <v>39871</v>
      </c>
      <c r="B1938" s="4" t="s">
        <v>306</v>
      </c>
      <c r="C1938" s="34">
        <v>221.32</v>
      </c>
      <c r="D1938" s="34"/>
    </row>
    <row r="1939" spans="1:4" s="23" customFormat="1" hidden="1" x14ac:dyDescent="0.25">
      <c r="A1939" s="4">
        <v>39994</v>
      </c>
      <c r="B1939" s="4" t="s">
        <v>250</v>
      </c>
      <c r="C1939" s="34">
        <v>0</v>
      </c>
      <c r="D1939" s="34"/>
    </row>
    <row r="1940" spans="1:4" s="23" customFormat="1" hidden="1" x14ac:dyDescent="0.25">
      <c r="A1940" s="4">
        <v>39994</v>
      </c>
      <c r="B1940" s="4" t="s">
        <v>75</v>
      </c>
      <c r="C1940" s="34"/>
      <c r="D1940" s="34">
        <v>42836.37</v>
      </c>
    </row>
    <row r="1941" spans="1:4" s="23" customFormat="1" hidden="1" x14ac:dyDescent="0.25">
      <c r="A1941" s="4"/>
      <c r="B1941" s="4"/>
      <c r="C1941" s="34"/>
      <c r="D1941" s="34"/>
    </row>
    <row r="1942" spans="1:4" s="23" customFormat="1" hidden="1" x14ac:dyDescent="0.25">
      <c r="A1942" s="4">
        <v>39994</v>
      </c>
      <c r="B1942" t="s">
        <v>14</v>
      </c>
      <c r="C1942" s="36">
        <f>SUM(C1928:C1941)</f>
        <v>221920.80999999994</v>
      </c>
      <c r="D1942" s="36">
        <f>SUM(D1928:D1941)</f>
        <v>42836.37</v>
      </c>
    </row>
    <row r="1943" spans="1:4" s="23" customFormat="1" hidden="1" x14ac:dyDescent="0.25">
      <c r="A1943" s="4"/>
      <c r="B1943" s="4" t="s">
        <v>15</v>
      </c>
      <c r="C1943" s="34">
        <f>IF(C1942&gt;D1942,C1942-D1942," ")</f>
        <v>179084.43999999994</v>
      </c>
      <c r="D1943" s="34" t="str">
        <f>IF(D1942&gt;C1942,D1942-C1942," ")</f>
        <v xml:space="preserve"> </v>
      </c>
    </row>
    <row r="1944" spans="1:4" s="23" customFormat="1" hidden="1" x14ac:dyDescent="0.25">
      <c r="A1944" s="4">
        <v>40205</v>
      </c>
      <c r="B1944" s="4" t="s">
        <v>334</v>
      </c>
      <c r="C1944" s="34">
        <v>1852.4</v>
      </c>
      <c r="D1944" s="34"/>
    </row>
    <row r="1945" spans="1:4" s="23" customFormat="1" hidden="1" x14ac:dyDescent="0.25">
      <c r="A1945" s="4">
        <v>40319</v>
      </c>
      <c r="B1945" s="4" t="s">
        <v>337</v>
      </c>
      <c r="C1945" s="34">
        <v>18581.400000000001</v>
      </c>
      <c r="D1945" s="34"/>
    </row>
    <row r="1946" spans="1:4" s="23" customFormat="1" hidden="1" x14ac:dyDescent="0.25">
      <c r="A1946" s="4">
        <v>40319</v>
      </c>
      <c r="B1946" s="4" t="s">
        <v>338</v>
      </c>
      <c r="C1946" s="34">
        <v>10346</v>
      </c>
      <c r="D1946" s="34"/>
    </row>
    <row r="1947" spans="1:4" s="23" customFormat="1" hidden="1" x14ac:dyDescent="0.25">
      <c r="A1947" s="4">
        <v>40053</v>
      </c>
      <c r="B1947" s="4" t="s">
        <v>306</v>
      </c>
      <c r="C1947" s="34">
        <v>226.27</v>
      </c>
      <c r="D1947" s="34"/>
    </row>
    <row r="1948" spans="1:4" s="23" customFormat="1" hidden="1" x14ac:dyDescent="0.25">
      <c r="A1948" s="4">
        <v>40215</v>
      </c>
      <c r="B1948" s="4" t="s">
        <v>306</v>
      </c>
      <c r="C1948" s="34">
        <v>253.68</v>
      </c>
      <c r="D1948" s="34"/>
    </row>
    <row r="1949" spans="1:4" s="23" customFormat="1" hidden="1" x14ac:dyDescent="0.25">
      <c r="A1949" s="4">
        <v>40087</v>
      </c>
      <c r="B1949" s="4" t="s">
        <v>283</v>
      </c>
      <c r="C1949" s="34">
        <v>553.79999999999995</v>
      </c>
      <c r="D1949" s="34"/>
    </row>
    <row r="1950" spans="1:4" s="23" customFormat="1" hidden="1" x14ac:dyDescent="0.25">
      <c r="A1950" s="4">
        <v>40268</v>
      </c>
      <c r="B1950" s="4" t="s">
        <v>283</v>
      </c>
      <c r="C1950" s="34">
        <v>519.75</v>
      </c>
      <c r="D1950" s="34"/>
    </row>
    <row r="1951" spans="1:4" s="23" customFormat="1" hidden="1" x14ac:dyDescent="0.25">
      <c r="A1951" s="4">
        <v>40091</v>
      </c>
      <c r="B1951" s="4" t="s">
        <v>307</v>
      </c>
      <c r="C1951" s="34">
        <v>286.55</v>
      </c>
      <c r="D1951" s="34"/>
    </row>
    <row r="1952" spans="1:4" s="23" customFormat="1" hidden="1" x14ac:dyDescent="0.25">
      <c r="A1952" s="4">
        <v>40268</v>
      </c>
      <c r="B1952" s="4" t="s">
        <v>307</v>
      </c>
      <c r="C1952" s="34">
        <v>314.05</v>
      </c>
      <c r="D1952" s="34"/>
    </row>
    <row r="1953" spans="1:4" s="23" customFormat="1" hidden="1" x14ac:dyDescent="0.25">
      <c r="A1953" s="4">
        <v>40359</v>
      </c>
      <c r="B1953" s="4" t="s">
        <v>250</v>
      </c>
      <c r="C1953" s="34">
        <v>0</v>
      </c>
      <c r="D1953" s="34"/>
    </row>
    <row r="1954" spans="1:4" s="23" customFormat="1" hidden="1" x14ac:dyDescent="0.25">
      <c r="A1954" s="4">
        <v>40359</v>
      </c>
      <c r="B1954" s="4" t="s">
        <v>75</v>
      </c>
      <c r="C1954" s="34">
        <v>11299.56</v>
      </c>
      <c r="D1954" s="34"/>
    </row>
    <row r="1955" spans="1:4" s="23" customFormat="1" hidden="1" x14ac:dyDescent="0.25">
      <c r="A1955" s="4">
        <v>40359</v>
      </c>
      <c r="B1955" t="s">
        <v>14</v>
      </c>
      <c r="C1955" s="36">
        <f>SUM(C1943:C1954)</f>
        <v>223317.89999999988</v>
      </c>
      <c r="D1955" s="36">
        <f>SUM(D1943:D1954)</f>
        <v>0</v>
      </c>
    </row>
    <row r="1956" spans="1:4" s="23" customFormat="1" hidden="1" x14ac:dyDescent="0.25">
      <c r="A1956" s="4"/>
      <c r="B1956" s="4" t="s">
        <v>15</v>
      </c>
      <c r="C1956" s="34">
        <f>IF(C1955&gt;D1955,C1955-D1955," ")</f>
        <v>223317.89999999988</v>
      </c>
      <c r="D1956" s="34" t="str">
        <f>IF(D1955&gt;C1955,D1955-C1955," ")</f>
        <v xml:space="preserve"> </v>
      </c>
    </row>
    <row r="1957" spans="1:4" s="23" customFormat="1" hidden="1" x14ac:dyDescent="0.25">
      <c r="A1957" s="4">
        <v>40527</v>
      </c>
      <c r="B1957" s="4" t="s">
        <v>362</v>
      </c>
      <c r="C1957" s="34"/>
      <c r="D1957" s="34">
        <v>10620.24</v>
      </c>
    </row>
    <row r="1958" spans="1:4" s="23" customFormat="1" hidden="1" x14ac:dyDescent="0.25">
      <c r="A1958" s="4">
        <v>40417</v>
      </c>
      <c r="B1958" s="4" t="s">
        <v>306</v>
      </c>
      <c r="C1958" s="34">
        <v>259.32</v>
      </c>
      <c r="D1958" s="34"/>
    </row>
    <row r="1959" spans="1:4" s="23" customFormat="1" hidden="1" x14ac:dyDescent="0.25">
      <c r="A1959" s="4">
        <v>40589</v>
      </c>
      <c r="B1959" s="4" t="s">
        <v>306</v>
      </c>
      <c r="C1959" s="34">
        <v>288.86</v>
      </c>
      <c r="D1959" s="34"/>
    </row>
    <row r="1960" spans="1:4" s="23" customFormat="1" hidden="1" x14ac:dyDescent="0.25">
      <c r="A1960" s="4">
        <v>40451</v>
      </c>
      <c r="B1960" s="4" t="s">
        <v>283</v>
      </c>
      <c r="C1960" s="34">
        <v>288.3</v>
      </c>
      <c r="D1960" s="34"/>
    </row>
    <row r="1961" spans="1:4" s="23" customFormat="1" hidden="1" x14ac:dyDescent="0.25">
      <c r="A1961" s="4">
        <v>40633</v>
      </c>
      <c r="B1961" s="4" t="s">
        <v>283</v>
      </c>
      <c r="C1961" s="34">
        <v>273.27999999999997</v>
      </c>
      <c r="D1961" s="34"/>
    </row>
    <row r="1962" spans="1:4" s="23" customFormat="1" hidden="1" x14ac:dyDescent="0.25">
      <c r="A1962" s="4">
        <v>40444</v>
      </c>
      <c r="B1962" s="4" t="s">
        <v>307</v>
      </c>
      <c r="C1962" s="34">
        <v>325.67</v>
      </c>
      <c r="D1962" s="34"/>
    </row>
    <row r="1963" spans="1:4" s="23" customFormat="1" hidden="1" x14ac:dyDescent="0.25">
      <c r="A1963" s="4">
        <v>40639</v>
      </c>
      <c r="B1963" s="4" t="s">
        <v>307</v>
      </c>
      <c r="C1963" s="34">
        <v>318.82</v>
      </c>
      <c r="D1963" s="34"/>
    </row>
    <row r="1964" spans="1:4" s="23" customFormat="1" hidden="1" x14ac:dyDescent="0.25">
      <c r="A1964" s="4">
        <v>40724</v>
      </c>
      <c r="B1964" s="4" t="s">
        <v>250</v>
      </c>
      <c r="C1964" s="34">
        <v>3353.76</v>
      </c>
      <c r="D1964" s="34"/>
    </row>
    <row r="1965" spans="1:4" s="23" customFormat="1" hidden="1" x14ac:dyDescent="0.25">
      <c r="A1965" s="4">
        <v>40724</v>
      </c>
      <c r="B1965" s="4" t="s">
        <v>75</v>
      </c>
      <c r="C1965" s="34">
        <v>14300.02</v>
      </c>
      <c r="D1965" s="34"/>
    </row>
    <row r="1966" spans="1:4" s="23" customFormat="1" hidden="1" x14ac:dyDescent="0.25">
      <c r="A1966" s="4"/>
      <c r="B1966" s="4"/>
      <c r="C1966" s="34"/>
      <c r="D1966" s="34"/>
    </row>
    <row r="1967" spans="1:4" s="23" customFormat="1" hidden="1" x14ac:dyDescent="0.25">
      <c r="A1967" s="4"/>
      <c r="B1967" s="4"/>
      <c r="C1967" s="34"/>
      <c r="D1967" s="34"/>
    </row>
    <row r="1968" spans="1:4" s="23" customFormat="1" hidden="1" x14ac:dyDescent="0.25">
      <c r="A1968" s="4">
        <v>40724</v>
      </c>
      <c r="B1968" t="s">
        <v>14</v>
      </c>
      <c r="C1968" s="36">
        <f>SUM(C1956:C1967)</f>
        <v>242725.92999999988</v>
      </c>
      <c r="D1968" s="36">
        <f>SUM(D1956:D1967)</f>
        <v>10620.24</v>
      </c>
    </row>
    <row r="1969" spans="1:4" s="23" customFormat="1" hidden="1" x14ac:dyDescent="0.25">
      <c r="A1969" s="4"/>
      <c r="B1969" s="4" t="s">
        <v>15</v>
      </c>
      <c r="C1969" s="34">
        <f>IF(C1968&gt;D1968,C1968-D1968," ")</f>
        <v>232105.68999999989</v>
      </c>
      <c r="D1969" s="34" t="str">
        <f>IF(D1968&gt;C1968,D1968-C1968," ")</f>
        <v xml:space="preserve"> </v>
      </c>
    </row>
    <row r="1970" spans="1:4" s="23" customFormat="1" hidden="1" x14ac:dyDescent="0.25">
      <c r="A1970" s="4">
        <v>40982</v>
      </c>
      <c r="B1970" s="4" t="s">
        <v>396</v>
      </c>
      <c r="C1970" s="34">
        <v>15000</v>
      </c>
      <c r="D1970" s="34"/>
    </row>
    <row r="1971" spans="1:4" s="23" customFormat="1" hidden="1" x14ac:dyDescent="0.25">
      <c r="A1971" s="4">
        <v>41010</v>
      </c>
      <c r="B1971" s="4" t="s">
        <v>404</v>
      </c>
      <c r="C1971" s="34"/>
      <c r="D1971" s="34">
        <v>14550.6</v>
      </c>
    </row>
    <row r="1972" spans="1:4" s="23" customFormat="1" hidden="1" x14ac:dyDescent="0.25">
      <c r="A1972" s="4">
        <v>41025</v>
      </c>
      <c r="B1972" s="4" t="s">
        <v>406</v>
      </c>
      <c r="C1972" s="34">
        <v>10316</v>
      </c>
      <c r="D1972" s="34"/>
    </row>
    <row r="1973" spans="1:4" s="23" customFormat="1" hidden="1" x14ac:dyDescent="0.25">
      <c r="A1973" s="4">
        <v>41026</v>
      </c>
      <c r="B1973" s="4" t="s">
        <v>407</v>
      </c>
      <c r="C1973" s="34">
        <v>9726</v>
      </c>
      <c r="D1973" s="34"/>
    </row>
    <row r="1974" spans="1:4" s="23" customFormat="1" hidden="1" x14ac:dyDescent="0.25">
      <c r="A1974" s="4">
        <v>41072</v>
      </c>
      <c r="B1974" s="4" t="s">
        <v>420</v>
      </c>
      <c r="C1974" s="34">
        <v>2018.4</v>
      </c>
      <c r="D1974" s="34"/>
    </row>
    <row r="1975" spans="1:4" s="23" customFormat="1" hidden="1" x14ac:dyDescent="0.25">
      <c r="A1975" s="4">
        <v>40766</v>
      </c>
      <c r="B1975" s="4" t="s">
        <v>306</v>
      </c>
      <c r="C1975" s="34">
        <v>318.92</v>
      </c>
      <c r="D1975" s="34"/>
    </row>
    <row r="1976" spans="1:4" s="23" customFormat="1" hidden="1" x14ac:dyDescent="0.25">
      <c r="A1976" s="4">
        <v>40953</v>
      </c>
      <c r="B1976" s="4" t="s">
        <v>306</v>
      </c>
      <c r="C1976" s="34">
        <v>339.16</v>
      </c>
      <c r="D1976" s="34"/>
    </row>
    <row r="1977" spans="1:4" s="23" customFormat="1" hidden="1" x14ac:dyDescent="0.25">
      <c r="A1977" s="4">
        <v>40816</v>
      </c>
      <c r="B1977" s="4" t="s">
        <v>283</v>
      </c>
      <c r="C1977" s="34">
        <v>719.6</v>
      </c>
      <c r="D1977" s="34"/>
    </row>
    <row r="1978" spans="1:4" s="23" customFormat="1" hidden="1" x14ac:dyDescent="0.25">
      <c r="A1978" s="4">
        <v>40998</v>
      </c>
      <c r="B1978" s="4" t="s">
        <v>283</v>
      </c>
      <c r="C1978" s="34">
        <v>850.85</v>
      </c>
      <c r="D1978" s="34"/>
    </row>
    <row r="1979" spans="1:4" s="23" customFormat="1" hidden="1" x14ac:dyDescent="0.25">
      <c r="A1979" s="4">
        <v>40816</v>
      </c>
      <c r="B1979" s="4" t="s">
        <v>307</v>
      </c>
      <c r="C1979" s="34">
        <v>310.97000000000003</v>
      </c>
      <c r="D1979" s="34"/>
    </row>
    <row r="1980" spans="1:4" s="23" customFormat="1" hidden="1" x14ac:dyDescent="0.25">
      <c r="A1980" s="4">
        <v>41003</v>
      </c>
      <c r="B1980" s="4" t="s">
        <v>307</v>
      </c>
      <c r="C1980" s="34">
        <v>306.77</v>
      </c>
      <c r="D1980" s="34"/>
    </row>
    <row r="1981" spans="1:4" s="23" customFormat="1" hidden="1" x14ac:dyDescent="0.25">
      <c r="A1981" s="4">
        <v>41090</v>
      </c>
      <c r="B1981" s="4" t="s">
        <v>250</v>
      </c>
      <c r="C1981" s="34"/>
      <c r="D1981" s="34">
        <v>0</v>
      </c>
    </row>
    <row r="1982" spans="1:4" s="23" customFormat="1" hidden="1" x14ac:dyDescent="0.25">
      <c r="A1982" s="4">
        <v>41090</v>
      </c>
      <c r="B1982" s="4" t="s">
        <v>75</v>
      </c>
      <c r="C1982" s="34"/>
      <c r="D1982" s="34">
        <v>17969.96</v>
      </c>
    </row>
    <row r="1983" spans="1:4" s="23" customFormat="1" hidden="1" x14ac:dyDescent="0.25">
      <c r="A1983" s="4"/>
      <c r="B1983" s="4"/>
      <c r="C1983" s="34"/>
      <c r="D1983" s="34"/>
    </row>
    <row r="1984" spans="1:4" s="23" customFormat="1" hidden="1" x14ac:dyDescent="0.25">
      <c r="A1984" s="4">
        <v>41090</v>
      </c>
      <c r="B1984" t="s">
        <v>14</v>
      </c>
      <c r="C1984" s="36">
        <f>SUM(C1969:C1983)</f>
        <v>272012.35999999981</v>
      </c>
      <c r="D1984" s="36">
        <f>SUM(D1969:D1983)</f>
        <v>32520.559999999998</v>
      </c>
    </row>
    <row r="1985" spans="1:4" s="23" customFormat="1" hidden="1" x14ac:dyDescent="0.25">
      <c r="A1985" s="4"/>
      <c r="B1985" s="4" t="s">
        <v>15</v>
      </c>
      <c r="C1985" s="34">
        <f>IF(C1984&gt;D1984,C1984-D1984," ")</f>
        <v>239491.79999999981</v>
      </c>
      <c r="D1985" s="34" t="str">
        <f>IF(D1984&gt;C1984,D1984-C1984," ")</f>
        <v xml:space="preserve"> </v>
      </c>
    </row>
    <row r="1986" spans="1:4" s="23" customFormat="1" hidden="1" x14ac:dyDescent="0.25">
      <c r="A1986" s="4">
        <v>41397</v>
      </c>
      <c r="B1986" s="3" t="s">
        <v>461</v>
      </c>
      <c r="C1986" s="34">
        <v>14839</v>
      </c>
      <c r="D1986" s="34"/>
    </row>
    <row r="1987" spans="1:4" s="23" customFormat="1" hidden="1" x14ac:dyDescent="0.25">
      <c r="A1987" s="4">
        <v>41397</v>
      </c>
      <c r="B1987" s="3" t="s">
        <v>462</v>
      </c>
      <c r="C1987" s="34">
        <v>14962</v>
      </c>
      <c r="D1987" s="34"/>
    </row>
    <row r="1988" spans="1:4" s="23" customFormat="1" hidden="1" x14ac:dyDescent="0.25">
      <c r="A1988" s="4">
        <v>41397</v>
      </c>
      <c r="B1988" s="3" t="s">
        <v>463</v>
      </c>
      <c r="C1988" s="34"/>
      <c r="D1988" s="34">
        <v>1817.53</v>
      </c>
    </row>
    <row r="1989" spans="1:4" s="23" customFormat="1" hidden="1" x14ac:dyDescent="0.25">
      <c r="A1989" s="4">
        <v>41397</v>
      </c>
      <c r="B1989" s="3" t="s">
        <v>464</v>
      </c>
      <c r="C1989" s="34"/>
      <c r="D1989" s="34">
        <v>81.150000000000006</v>
      </c>
    </row>
    <row r="1990" spans="1:4" s="23" customFormat="1" hidden="1" x14ac:dyDescent="0.25">
      <c r="A1990" s="4">
        <v>41359</v>
      </c>
      <c r="B1990" s="3" t="s">
        <v>479</v>
      </c>
      <c r="C1990" s="34">
        <v>328.3</v>
      </c>
      <c r="D1990" s="34"/>
    </row>
    <row r="1991" spans="1:4" s="23" customFormat="1" hidden="1" x14ac:dyDescent="0.25">
      <c r="A1991" s="4">
        <v>41135</v>
      </c>
      <c r="B1991" s="4" t="s">
        <v>306</v>
      </c>
      <c r="C1991" s="34">
        <v>360</v>
      </c>
      <c r="D1991" s="34"/>
    </row>
    <row r="1992" spans="1:4" s="23" customFormat="1" hidden="1" x14ac:dyDescent="0.25">
      <c r="A1992" s="4">
        <v>41319</v>
      </c>
      <c r="B1992" s="4" t="s">
        <v>306</v>
      </c>
      <c r="C1992" s="34">
        <v>381.77</v>
      </c>
      <c r="D1992" s="34"/>
    </row>
    <row r="1993" spans="1:4" s="23" customFormat="1" hidden="1" x14ac:dyDescent="0.25">
      <c r="A1993" s="4">
        <v>41180</v>
      </c>
      <c r="B1993" s="4" t="s">
        <v>283</v>
      </c>
      <c r="C1993" s="34">
        <v>1000.35</v>
      </c>
      <c r="D1993" s="34"/>
    </row>
    <row r="1994" spans="1:4" s="23" customFormat="1" hidden="1" x14ac:dyDescent="0.25">
      <c r="A1994" s="4">
        <v>41361</v>
      </c>
      <c r="B1994" s="4" t="s">
        <v>283</v>
      </c>
      <c r="C1994" s="34">
        <v>833.14</v>
      </c>
      <c r="D1994" s="34"/>
    </row>
    <row r="1995" spans="1:4" s="23" customFormat="1" hidden="1" x14ac:dyDescent="0.25">
      <c r="A1995" s="4">
        <v>41184</v>
      </c>
      <c r="B1995" s="4" t="s">
        <v>307</v>
      </c>
      <c r="C1995" s="34">
        <v>385.55</v>
      </c>
      <c r="D1995" s="34"/>
    </row>
    <row r="1996" spans="1:4" s="23" customFormat="1" hidden="1" x14ac:dyDescent="0.25">
      <c r="A1996" s="4">
        <v>41455</v>
      </c>
      <c r="B1996" s="4" t="s">
        <v>250</v>
      </c>
      <c r="C1996" s="34">
        <v>1898.68</v>
      </c>
      <c r="D1996" s="34"/>
    </row>
    <row r="1997" spans="1:4" s="23" customFormat="1" hidden="1" x14ac:dyDescent="0.25">
      <c r="A1997" s="4">
        <v>41455</v>
      </c>
      <c r="B1997" s="4" t="s">
        <v>75</v>
      </c>
      <c r="C1997" s="34">
        <v>74820.039999999994</v>
      </c>
      <c r="D1997" s="34"/>
    </row>
    <row r="1998" spans="1:4" s="23" customFormat="1" hidden="1" x14ac:dyDescent="0.25">
      <c r="A1998" s="4"/>
      <c r="B1998" s="4"/>
      <c r="C1998" s="34"/>
      <c r="D1998" s="34"/>
    </row>
    <row r="1999" spans="1:4" s="23" customFormat="1" hidden="1" x14ac:dyDescent="0.25">
      <c r="A1999" s="4">
        <v>41455</v>
      </c>
      <c r="B1999" t="s">
        <v>14</v>
      </c>
      <c r="C1999" s="36">
        <f>SUM(C1985:C1998)</f>
        <v>349300.62999999977</v>
      </c>
      <c r="D1999" s="36">
        <f>SUM(D1985:D1998)</f>
        <v>1898.68</v>
      </c>
    </row>
    <row r="2000" spans="1:4" s="23" customFormat="1" hidden="1" x14ac:dyDescent="0.25">
      <c r="A2000" s="4"/>
      <c r="B2000" s="4" t="s">
        <v>15</v>
      </c>
      <c r="C2000" s="34">
        <f>IF(C1999&gt;D1999,C1999-D1999," ")</f>
        <v>347401.94999999978</v>
      </c>
      <c r="D2000" s="34" t="str">
        <f>IF(D1999&gt;C1999,D1999-C1999," ")</f>
        <v xml:space="preserve"> </v>
      </c>
    </row>
    <row r="2001" spans="1:4" s="23" customFormat="1" hidden="1" x14ac:dyDescent="0.25">
      <c r="A2001" s="4">
        <v>41584</v>
      </c>
      <c r="B2001" s="4" t="s">
        <v>506</v>
      </c>
      <c r="C2001" s="34">
        <v>11466</v>
      </c>
      <c r="D2001" s="34"/>
    </row>
    <row r="2002" spans="1:4" s="23" customFormat="1" hidden="1" x14ac:dyDescent="0.25">
      <c r="A2002" s="4">
        <v>41584</v>
      </c>
      <c r="B2002" s="4" t="s">
        <v>507</v>
      </c>
      <c r="C2002" s="34">
        <v>9789.33</v>
      </c>
      <c r="D2002" s="34"/>
    </row>
    <row r="2003" spans="1:4" s="23" customFormat="1" hidden="1" x14ac:dyDescent="0.25">
      <c r="A2003" s="4">
        <v>41584</v>
      </c>
      <c r="B2003" s="4" t="s">
        <v>508</v>
      </c>
      <c r="C2003" s="34"/>
      <c r="D2003" s="34">
        <v>11074</v>
      </c>
    </row>
    <row r="2004" spans="1:4" s="23" customFormat="1" hidden="1" x14ac:dyDescent="0.25">
      <c r="A2004" s="4">
        <v>41723</v>
      </c>
      <c r="B2004" s="4" t="s">
        <v>521</v>
      </c>
      <c r="C2004" s="34"/>
      <c r="D2004" s="34">
        <v>1440.2</v>
      </c>
    </row>
    <row r="2005" spans="1:4" s="23" customFormat="1" hidden="1" x14ac:dyDescent="0.25">
      <c r="A2005" s="4">
        <v>41723</v>
      </c>
      <c r="B2005" s="4" t="s">
        <v>522</v>
      </c>
      <c r="C2005" s="34"/>
      <c r="D2005" s="34">
        <v>11309</v>
      </c>
    </row>
    <row r="2006" spans="1:4" s="23" customFormat="1" hidden="1" x14ac:dyDescent="0.25">
      <c r="A2006" s="4">
        <v>41723</v>
      </c>
      <c r="B2006" s="4" t="s">
        <v>523</v>
      </c>
      <c r="C2006" s="34"/>
      <c r="D2006" s="34">
        <v>13304</v>
      </c>
    </row>
    <row r="2007" spans="1:4" s="23" customFormat="1" hidden="1" x14ac:dyDescent="0.25">
      <c r="A2007" s="4">
        <v>41724</v>
      </c>
      <c r="B2007" s="4" t="s">
        <v>479</v>
      </c>
      <c r="C2007" s="34">
        <v>278.81</v>
      </c>
      <c r="D2007" s="34"/>
    </row>
    <row r="2008" spans="1:4" s="23" customFormat="1" hidden="1" x14ac:dyDescent="0.25">
      <c r="A2008" s="4">
        <v>41500</v>
      </c>
      <c r="B2008" s="4" t="s">
        <v>306</v>
      </c>
      <c r="C2008" s="34">
        <v>391.38</v>
      </c>
      <c r="D2008" s="34"/>
    </row>
    <row r="2009" spans="1:4" s="23" customFormat="1" hidden="1" x14ac:dyDescent="0.25">
      <c r="A2009" s="4">
        <v>41684</v>
      </c>
      <c r="B2009" s="4" t="s">
        <v>306</v>
      </c>
      <c r="C2009" s="34">
        <v>439.12</v>
      </c>
      <c r="D2009" s="34"/>
    </row>
    <row r="2010" spans="1:4" s="23" customFormat="1" hidden="1" x14ac:dyDescent="0.25">
      <c r="A2010" s="4">
        <v>41544</v>
      </c>
      <c r="B2010" s="4" t="s">
        <v>283</v>
      </c>
      <c r="C2010" s="34">
        <v>1135.06</v>
      </c>
      <c r="D2010" s="34"/>
    </row>
    <row r="2011" spans="1:4" s="23" customFormat="1" hidden="1" x14ac:dyDescent="0.25">
      <c r="A2011" s="4">
        <v>41731</v>
      </c>
      <c r="B2011" s="4" t="s">
        <v>283</v>
      </c>
      <c r="C2011" s="34">
        <v>947.75</v>
      </c>
      <c r="D2011" s="34"/>
    </row>
    <row r="2012" spans="1:4" s="23" customFormat="1" hidden="1" x14ac:dyDescent="0.25">
      <c r="A2012" s="4">
        <v>41820</v>
      </c>
      <c r="B2012" s="4" t="s">
        <v>250</v>
      </c>
      <c r="C2012" s="34">
        <v>23211.47</v>
      </c>
      <c r="D2012" s="34"/>
    </row>
    <row r="2013" spans="1:4" s="23" customFormat="1" hidden="1" x14ac:dyDescent="0.25">
      <c r="A2013" s="4">
        <v>41820</v>
      </c>
      <c r="B2013" s="4" t="s">
        <v>75</v>
      </c>
      <c r="C2013" s="34">
        <v>25030.84</v>
      </c>
      <c r="D2013" s="34"/>
    </row>
    <row r="2014" spans="1:4" s="23" customFormat="1" hidden="1" x14ac:dyDescent="0.25">
      <c r="A2014" s="4">
        <v>41820</v>
      </c>
      <c r="B2014" t="s">
        <v>14</v>
      </c>
      <c r="C2014" s="36">
        <f>SUM(C2000:C2013)</f>
        <v>420091.70999999979</v>
      </c>
      <c r="D2014" s="36">
        <f>SUM(D2000:D2013)</f>
        <v>37127.199999999997</v>
      </c>
    </row>
    <row r="2015" spans="1:4" s="23" customFormat="1" hidden="1" x14ac:dyDescent="0.25">
      <c r="A2015" s="4"/>
      <c r="B2015" s="4" t="s">
        <v>15</v>
      </c>
      <c r="C2015" s="34">
        <f>IF(C2014&gt;D2014,C2014-D2014," ")</f>
        <v>382964.50999999978</v>
      </c>
      <c r="D2015" s="34" t="str">
        <f>IF(D2014&gt;C2014,D2014-C2014," ")</f>
        <v xml:space="preserve"> </v>
      </c>
    </row>
    <row r="2016" spans="1:4" s="23" customFormat="1" hidden="1" x14ac:dyDescent="0.25">
      <c r="A2016" s="4">
        <v>41892</v>
      </c>
      <c r="B2016" t="s">
        <v>604</v>
      </c>
      <c r="C2016" s="34">
        <v>2673</v>
      </c>
      <c r="D2016" s="34"/>
    </row>
    <row r="2017" spans="1:4" s="23" customFormat="1" hidden="1" x14ac:dyDescent="0.25">
      <c r="A2017" s="4">
        <v>41892</v>
      </c>
      <c r="B2017" t="s">
        <v>603</v>
      </c>
      <c r="C2017" s="34">
        <v>15000</v>
      </c>
      <c r="D2017" s="34"/>
    </row>
    <row r="2018" spans="1:4" s="23" customFormat="1" hidden="1" x14ac:dyDescent="0.25">
      <c r="A2018" s="4">
        <v>41915</v>
      </c>
      <c r="B2018" t="s">
        <v>568</v>
      </c>
      <c r="C2018" s="34"/>
      <c r="D2018" s="34">
        <v>14060.7</v>
      </c>
    </row>
    <row r="2019" spans="1:4" s="23" customFormat="1" hidden="1" x14ac:dyDescent="0.25">
      <c r="A2019" s="4">
        <v>42026</v>
      </c>
      <c r="B2019" t="s">
        <v>577</v>
      </c>
      <c r="C2019" s="34">
        <v>15141.33</v>
      </c>
      <c r="D2019" s="34"/>
    </row>
    <row r="2020" spans="1:4" s="23" customFormat="1" hidden="1" x14ac:dyDescent="0.25">
      <c r="A2020" s="4">
        <v>42081</v>
      </c>
      <c r="B2020" t="s">
        <v>584</v>
      </c>
      <c r="C2020" s="34"/>
      <c r="D2020" s="34">
        <v>19666.810000000001</v>
      </c>
    </row>
    <row r="2021" spans="1:4" s="23" customFormat="1" hidden="1" x14ac:dyDescent="0.25">
      <c r="A2021" s="4">
        <v>42081</v>
      </c>
      <c r="B2021" t="s">
        <v>585</v>
      </c>
      <c r="C2021" s="34"/>
      <c r="D2021" s="34">
        <v>17395.37</v>
      </c>
    </row>
    <row r="2022" spans="1:4" s="23" customFormat="1" hidden="1" x14ac:dyDescent="0.25">
      <c r="A2022" s="4">
        <v>42150</v>
      </c>
      <c r="B2022" t="s">
        <v>600</v>
      </c>
      <c r="C2022" s="34">
        <v>1140</v>
      </c>
      <c r="D2022" s="34"/>
    </row>
    <row r="2023" spans="1:4" s="23" customFormat="1" hidden="1" x14ac:dyDescent="0.25">
      <c r="A2023" s="4">
        <v>42173</v>
      </c>
      <c r="B2023" t="s">
        <v>598</v>
      </c>
      <c r="C2023" s="34"/>
      <c r="D2023" s="34">
        <v>831.28</v>
      </c>
    </row>
    <row r="2024" spans="1:4" s="23" customFormat="1" hidden="1" x14ac:dyDescent="0.25">
      <c r="A2024" s="4">
        <v>42089</v>
      </c>
      <c r="B2024" t="s">
        <v>479</v>
      </c>
      <c r="C2024" s="34">
        <v>434.65</v>
      </c>
      <c r="D2024" s="34"/>
    </row>
    <row r="2025" spans="1:4" s="23" customFormat="1" hidden="1" x14ac:dyDescent="0.25">
      <c r="A2025" s="4">
        <v>42153</v>
      </c>
      <c r="B2025" t="s">
        <v>479</v>
      </c>
      <c r="C2025" s="34">
        <v>142.75</v>
      </c>
      <c r="D2025" s="34"/>
    </row>
    <row r="2026" spans="1:4" s="23" customFormat="1" hidden="1" x14ac:dyDescent="0.25">
      <c r="A2026" s="4">
        <v>42230</v>
      </c>
      <c r="B2026" t="s">
        <v>306</v>
      </c>
      <c r="C2026" s="34">
        <v>476.46</v>
      </c>
      <c r="D2026" s="34"/>
    </row>
    <row r="2027" spans="1:4" s="23" customFormat="1" hidden="1" x14ac:dyDescent="0.25">
      <c r="A2027" s="4">
        <v>42048</v>
      </c>
      <c r="B2027" t="s">
        <v>306</v>
      </c>
      <c r="C2027" s="34">
        <v>528.26</v>
      </c>
      <c r="D2027" s="34"/>
    </row>
    <row r="2028" spans="1:4" s="23" customFormat="1" hidden="1" x14ac:dyDescent="0.25">
      <c r="A2028" s="4">
        <v>42286</v>
      </c>
      <c r="B2028" t="s">
        <v>283</v>
      </c>
      <c r="C2028" s="34">
        <v>1308.7</v>
      </c>
      <c r="D2028" s="34"/>
    </row>
    <row r="2029" spans="1:4" s="23" customFormat="1" hidden="1" x14ac:dyDescent="0.25">
      <c r="A2029" s="4">
        <v>42354</v>
      </c>
      <c r="B2029" t="s">
        <v>283</v>
      </c>
      <c r="C2029" s="34">
        <v>292</v>
      </c>
      <c r="D2029" s="34"/>
    </row>
    <row r="2030" spans="1:4" s="23" customFormat="1" hidden="1" x14ac:dyDescent="0.25">
      <c r="A2030" s="4">
        <v>42096</v>
      </c>
      <c r="B2030" t="s">
        <v>283</v>
      </c>
      <c r="C2030" s="34">
        <v>1027.95</v>
      </c>
      <c r="D2030" s="34"/>
    </row>
    <row r="2031" spans="1:4" s="23" customFormat="1" hidden="1" x14ac:dyDescent="0.25">
      <c r="A2031" s="4">
        <v>42185</v>
      </c>
      <c r="B2031" s="4" t="s">
        <v>250</v>
      </c>
      <c r="C2031" s="34">
        <v>24919.75</v>
      </c>
      <c r="D2031" s="34"/>
    </row>
    <row r="2032" spans="1:4" s="23" customFormat="1" hidden="1" x14ac:dyDescent="0.25">
      <c r="A2032" s="4">
        <v>42185</v>
      </c>
      <c r="B2032" s="4" t="s">
        <v>75</v>
      </c>
      <c r="C2032" s="34">
        <v>12435.98</v>
      </c>
      <c r="D2032" s="34"/>
    </row>
    <row r="2033" spans="1:4" s="23" customFormat="1" hidden="1" x14ac:dyDescent="0.25">
      <c r="A2033" s="4">
        <v>42185</v>
      </c>
      <c r="B2033" t="s">
        <v>14</v>
      </c>
      <c r="C2033" s="36">
        <f>SUM(C2015:C2032)</f>
        <v>458485.33999999985</v>
      </c>
      <c r="D2033" s="36">
        <f>SUM(D2015:D2032)</f>
        <v>51954.16</v>
      </c>
    </row>
    <row r="2034" spans="1:4" s="23" customFormat="1" hidden="1" x14ac:dyDescent="0.25">
      <c r="A2034" s="4"/>
      <c r="B2034" s="4" t="s">
        <v>15</v>
      </c>
      <c r="C2034" s="34">
        <f>IF(C2033&gt;D2033,C2033-D2033," ")</f>
        <v>406531.17999999982</v>
      </c>
      <c r="D2034" s="34" t="str">
        <f>IF(D2033&gt;C2033,D2033-C2033," ")</f>
        <v xml:space="preserve"> </v>
      </c>
    </row>
    <row r="2035" spans="1:4" s="23" customFormat="1" hidden="1" x14ac:dyDescent="0.25">
      <c r="A2035" s="4">
        <v>42247</v>
      </c>
      <c r="B2035" t="s">
        <v>618</v>
      </c>
      <c r="C2035" s="34">
        <v>1573</v>
      </c>
      <c r="D2035" s="34"/>
    </row>
    <row r="2036" spans="1:4" s="23" customFormat="1" hidden="1" x14ac:dyDescent="0.25">
      <c r="A2036" s="4">
        <v>42317</v>
      </c>
      <c r="B2036" t="s">
        <v>634</v>
      </c>
      <c r="C2036" s="34">
        <v>561</v>
      </c>
      <c r="D2036" s="34"/>
    </row>
    <row r="2037" spans="1:4" s="23" customFormat="1" hidden="1" x14ac:dyDescent="0.25">
      <c r="A2037" s="4">
        <v>42433</v>
      </c>
      <c r="B2037" t="s">
        <v>646</v>
      </c>
      <c r="C2037" s="34"/>
      <c r="D2037" s="34">
        <v>5824</v>
      </c>
    </row>
    <row r="2038" spans="1:4" s="23" customFormat="1" hidden="1" x14ac:dyDescent="0.25">
      <c r="A2038" s="4">
        <v>42433</v>
      </c>
      <c r="B2038" t="s">
        <v>647</v>
      </c>
      <c r="C2038" s="34"/>
      <c r="D2038" s="34">
        <v>4570.9799999999996</v>
      </c>
    </row>
    <row r="2039" spans="1:4" s="23" customFormat="1" hidden="1" x14ac:dyDescent="0.25">
      <c r="A2039" s="4">
        <v>42230</v>
      </c>
      <c r="B2039" t="s">
        <v>306</v>
      </c>
      <c r="C2039" s="34">
        <v>567.65</v>
      </c>
      <c r="D2039" s="34"/>
    </row>
    <row r="2040" spans="1:4" s="23" customFormat="1" hidden="1" x14ac:dyDescent="0.25">
      <c r="A2040" s="4">
        <v>42412</v>
      </c>
      <c r="B2040" t="s">
        <v>306</v>
      </c>
      <c r="C2040" s="34">
        <v>636.08000000000004</v>
      </c>
      <c r="D2040" s="34"/>
    </row>
    <row r="2041" spans="1:4" s="23" customFormat="1" hidden="1" x14ac:dyDescent="0.25">
      <c r="A2041" s="4">
        <v>42277</v>
      </c>
      <c r="B2041" t="s">
        <v>283</v>
      </c>
      <c r="C2041" s="34">
        <v>1307.58</v>
      </c>
      <c r="D2041" s="34"/>
    </row>
    <row r="2042" spans="1:4" s="23" customFormat="1" hidden="1" x14ac:dyDescent="0.25">
      <c r="A2042" s="4">
        <v>42467</v>
      </c>
      <c r="B2042" t="s">
        <v>283</v>
      </c>
      <c r="C2042" s="34">
        <v>1102.92</v>
      </c>
      <c r="D2042" s="34"/>
    </row>
    <row r="2043" spans="1:4" s="23" customFormat="1" hidden="1" x14ac:dyDescent="0.25">
      <c r="A2043" s="4">
        <v>42468</v>
      </c>
      <c r="B2043" s="4" t="s">
        <v>307</v>
      </c>
      <c r="C2043" s="34">
        <v>372.46</v>
      </c>
      <c r="D2043" s="34"/>
    </row>
    <row r="2044" spans="1:4" s="23" customFormat="1" hidden="1" x14ac:dyDescent="0.25">
      <c r="A2044" s="4">
        <v>42551</v>
      </c>
      <c r="B2044" s="4" t="s">
        <v>250</v>
      </c>
      <c r="C2044" s="34">
        <v>2057.4299999999998</v>
      </c>
      <c r="D2044" s="34"/>
    </row>
    <row r="2045" spans="1:4" s="23" customFormat="1" hidden="1" x14ac:dyDescent="0.25">
      <c r="A2045" s="4">
        <v>42551</v>
      </c>
      <c r="B2045" s="4" t="s">
        <v>75</v>
      </c>
      <c r="C2045" s="34"/>
      <c r="D2045" s="34">
        <v>16479.29</v>
      </c>
    </row>
    <row r="2046" spans="1:4" s="23" customFormat="1" hidden="1" x14ac:dyDescent="0.25">
      <c r="A2046" s="4">
        <v>42551</v>
      </c>
      <c r="B2046" t="s">
        <v>14</v>
      </c>
      <c r="C2046" s="36">
        <f>SUM(C2034:C2045)</f>
        <v>414709.29999999987</v>
      </c>
      <c r="D2046" s="36">
        <f>SUM(D2034:D2045)</f>
        <v>26874.27</v>
      </c>
    </row>
    <row r="2047" spans="1:4" s="23" customFormat="1" hidden="1" x14ac:dyDescent="0.25">
      <c r="A2047" s="4"/>
      <c r="B2047" s="4" t="s">
        <v>15</v>
      </c>
      <c r="C2047" s="34">
        <f>IF(C2046&gt;D2046,C2046-D2046," ")</f>
        <v>387835.02999999985</v>
      </c>
      <c r="D2047" s="34" t="str">
        <f>IF(D2046&gt;C2046,D2046-C2046," ")</f>
        <v xml:space="preserve"> </v>
      </c>
    </row>
    <row r="2048" spans="1:4" s="23" customFormat="1" hidden="1" x14ac:dyDescent="0.25">
      <c r="A2048" s="4">
        <v>42594</v>
      </c>
      <c r="B2048" t="s">
        <v>306</v>
      </c>
      <c r="C2048" s="34">
        <v>664.48</v>
      </c>
      <c r="D2048" s="34"/>
    </row>
    <row r="2049" spans="1:4" s="23" customFormat="1" hidden="1" x14ac:dyDescent="0.25">
      <c r="A2049" s="4">
        <v>42776</v>
      </c>
      <c r="B2049" t="s">
        <v>306</v>
      </c>
      <c r="C2049" s="34">
        <v>736</v>
      </c>
      <c r="D2049" s="34"/>
    </row>
    <row r="2050" spans="1:4" s="23" customFormat="1" hidden="1" x14ac:dyDescent="0.25">
      <c r="A2050" s="4">
        <v>42648</v>
      </c>
      <c r="B2050" t="s">
        <v>283</v>
      </c>
      <c r="C2050" s="34">
        <v>1176.0999999999999</v>
      </c>
      <c r="D2050" s="34"/>
    </row>
    <row r="2051" spans="1:4" s="23" customFormat="1" hidden="1" x14ac:dyDescent="0.25">
      <c r="A2051" s="4">
        <v>42822</v>
      </c>
      <c r="B2051" t="s">
        <v>283</v>
      </c>
      <c r="C2051" s="34">
        <v>1308.98</v>
      </c>
      <c r="D2051" s="34"/>
    </row>
    <row r="2052" spans="1:4" s="23" customFormat="1" hidden="1" x14ac:dyDescent="0.25">
      <c r="A2052" s="4">
        <v>42916</v>
      </c>
      <c r="B2052" s="4" t="s">
        <v>250</v>
      </c>
      <c r="C2052" s="34">
        <v>0</v>
      </c>
      <c r="D2052" s="34"/>
    </row>
    <row r="2053" spans="1:4" s="23" customFormat="1" hidden="1" x14ac:dyDescent="0.25">
      <c r="A2053" s="4">
        <v>42916</v>
      </c>
      <c r="B2053" s="4" t="s">
        <v>75</v>
      </c>
      <c r="C2053" s="34">
        <v>26713.1</v>
      </c>
      <c r="D2053" s="34"/>
    </row>
    <row r="2054" spans="1:4" s="23" customFormat="1" hidden="1" x14ac:dyDescent="0.25">
      <c r="A2054" s="4">
        <v>42916</v>
      </c>
      <c r="B2054" t="s">
        <v>14</v>
      </c>
      <c r="C2054" s="36">
        <f>SUM(C2047:C2053)</f>
        <v>418433.68999999977</v>
      </c>
      <c r="D2054" s="36">
        <f>SUM(D2047:D2053)</f>
        <v>0</v>
      </c>
    </row>
    <row r="2055" spans="1:4" s="23" customFormat="1" hidden="1" x14ac:dyDescent="0.25">
      <c r="A2055" s="4"/>
      <c r="B2055" s="4" t="s">
        <v>15</v>
      </c>
      <c r="C2055" s="34">
        <f>IF(C2054&gt;D2054,C2054-D2054," ")</f>
        <v>418433.68999999977</v>
      </c>
      <c r="D2055" s="34" t="str">
        <f>IF(D2054&gt;C2054,D2054-C2054," ")</f>
        <v xml:space="preserve"> </v>
      </c>
    </row>
    <row r="2056" spans="1:4" s="23" customFormat="1" hidden="1" x14ac:dyDescent="0.25">
      <c r="A2056" s="4">
        <v>42989</v>
      </c>
      <c r="B2056" s="4" t="s">
        <v>728</v>
      </c>
      <c r="C2056" s="34">
        <v>30000</v>
      </c>
      <c r="D2056" s="34"/>
    </row>
    <row r="2057" spans="1:4" s="23" customFormat="1" hidden="1" x14ac:dyDescent="0.25">
      <c r="A2057" s="4">
        <v>42999</v>
      </c>
      <c r="B2057" s="4" t="s">
        <v>732</v>
      </c>
      <c r="C2057" s="34"/>
      <c r="D2057" s="34">
        <v>1514</v>
      </c>
    </row>
    <row r="2058" spans="1:4" s="23" customFormat="1" hidden="1" x14ac:dyDescent="0.25">
      <c r="A2058" s="4">
        <v>42999</v>
      </c>
      <c r="B2058" s="4" t="s">
        <v>733</v>
      </c>
      <c r="C2058" s="34"/>
      <c r="D2058" s="34">
        <v>2734</v>
      </c>
    </row>
    <row r="2059" spans="1:4" s="23" customFormat="1" hidden="1" x14ac:dyDescent="0.25">
      <c r="A2059" s="4">
        <v>42999</v>
      </c>
      <c r="B2059" s="4" t="s">
        <v>734</v>
      </c>
      <c r="C2059" s="34"/>
      <c r="D2059" s="34">
        <v>609</v>
      </c>
    </row>
    <row r="2060" spans="1:4" s="23" customFormat="1" hidden="1" x14ac:dyDescent="0.25">
      <c r="A2060" s="4">
        <v>42999</v>
      </c>
      <c r="B2060" s="4" t="s">
        <v>735</v>
      </c>
      <c r="C2060" s="34"/>
      <c r="D2060" s="34">
        <v>34126.76</v>
      </c>
    </row>
    <row r="2061" spans="1:4" s="23" customFormat="1" hidden="1" x14ac:dyDescent="0.25">
      <c r="A2061" s="4">
        <v>42999</v>
      </c>
      <c r="B2061" s="4" t="s">
        <v>736</v>
      </c>
      <c r="C2061" s="34"/>
      <c r="D2061" s="34">
        <v>19960.400000000001</v>
      </c>
    </row>
    <row r="2062" spans="1:4" s="23" customFormat="1" hidden="1" x14ac:dyDescent="0.25">
      <c r="A2062" s="4">
        <v>42999</v>
      </c>
      <c r="B2062" s="4" t="s">
        <v>737</v>
      </c>
      <c r="C2062" s="34"/>
      <c r="D2062" s="34">
        <v>19922.5</v>
      </c>
    </row>
    <row r="2063" spans="1:4" s="23" customFormat="1" hidden="1" x14ac:dyDescent="0.25">
      <c r="A2063" s="4">
        <v>42999</v>
      </c>
      <c r="B2063" s="4" t="s">
        <v>738</v>
      </c>
      <c r="C2063" s="34"/>
      <c r="D2063" s="34">
        <v>18396.900000000001</v>
      </c>
    </row>
    <row r="2064" spans="1:4" s="23" customFormat="1" hidden="1" x14ac:dyDescent="0.25">
      <c r="A2064" s="4">
        <v>42999</v>
      </c>
      <c r="B2064" s="4" t="s">
        <v>739</v>
      </c>
      <c r="C2064" s="34"/>
      <c r="D2064" s="34">
        <v>15249.6</v>
      </c>
    </row>
    <row r="2065" spans="1:4" s="23" customFormat="1" hidden="1" x14ac:dyDescent="0.25">
      <c r="A2065" s="4">
        <v>42999</v>
      </c>
      <c r="B2065" s="4" t="s">
        <v>740</v>
      </c>
      <c r="C2065" s="34"/>
      <c r="D2065" s="34">
        <v>3774</v>
      </c>
    </row>
    <row r="2066" spans="1:4" s="23" customFormat="1" hidden="1" x14ac:dyDescent="0.25">
      <c r="A2066" s="4">
        <v>42999</v>
      </c>
      <c r="B2066" s="4" t="s">
        <v>741</v>
      </c>
      <c r="C2066" s="34"/>
      <c r="D2066" s="34">
        <v>4974</v>
      </c>
    </row>
    <row r="2067" spans="1:4" s="23" customFormat="1" hidden="1" x14ac:dyDescent="0.25">
      <c r="A2067" s="4">
        <v>42999</v>
      </c>
      <c r="B2067" s="4" t="s">
        <v>742</v>
      </c>
      <c r="C2067" s="34"/>
      <c r="D2067" s="34">
        <v>7785.14</v>
      </c>
    </row>
    <row r="2068" spans="1:4" s="23" customFormat="1" hidden="1" x14ac:dyDescent="0.25">
      <c r="A2068" s="4">
        <v>42999</v>
      </c>
      <c r="B2068" s="4" t="s">
        <v>743</v>
      </c>
      <c r="C2068" s="34"/>
      <c r="D2068" s="34">
        <v>11984.6</v>
      </c>
    </row>
    <row r="2069" spans="1:4" s="23" customFormat="1" hidden="1" x14ac:dyDescent="0.25">
      <c r="A2069" s="4">
        <v>42999</v>
      </c>
      <c r="B2069" s="4" t="s">
        <v>744</v>
      </c>
      <c r="C2069" s="34"/>
      <c r="D2069" s="34">
        <v>12185.2</v>
      </c>
    </row>
    <row r="2070" spans="1:4" s="23" customFormat="1" hidden="1" x14ac:dyDescent="0.25">
      <c r="A2070" s="4">
        <v>42999</v>
      </c>
      <c r="B2070" s="4" t="s">
        <v>745</v>
      </c>
      <c r="C2070" s="34"/>
      <c r="D2070" s="34">
        <v>12906</v>
      </c>
    </row>
    <row r="2071" spans="1:4" s="23" customFormat="1" hidden="1" x14ac:dyDescent="0.25">
      <c r="A2071" s="4">
        <v>42999</v>
      </c>
      <c r="B2071" s="4" t="s">
        <v>746</v>
      </c>
      <c r="C2071" s="34"/>
      <c r="D2071" s="34">
        <v>14993.74</v>
      </c>
    </row>
    <row r="2072" spans="1:4" s="23" customFormat="1" hidden="1" x14ac:dyDescent="0.25">
      <c r="A2072" s="4">
        <v>42999</v>
      </c>
      <c r="B2072" s="4" t="s">
        <v>747</v>
      </c>
      <c r="C2072" s="34"/>
      <c r="D2072" s="34">
        <v>15068.41</v>
      </c>
    </row>
    <row r="2073" spans="1:4" s="23" customFormat="1" hidden="1" x14ac:dyDescent="0.25">
      <c r="A2073" s="4">
        <v>43033</v>
      </c>
      <c r="B2073" s="4" t="s">
        <v>769</v>
      </c>
      <c r="C2073" s="34">
        <v>40000</v>
      </c>
      <c r="D2073" s="34"/>
    </row>
    <row r="2074" spans="1:4" s="23" customFormat="1" hidden="1" x14ac:dyDescent="0.25">
      <c r="A2074" s="4">
        <v>43033</v>
      </c>
      <c r="B2074" s="4" t="s">
        <v>770</v>
      </c>
      <c r="C2074" s="34">
        <v>80000</v>
      </c>
      <c r="D2074" s="34"/>
    </row>
    <row r="2075" spans="1:4" s="23" customFormat="1" hidden="1" x14ac:dyDescent="0.25">
      <c r="A2075" s="4">
        <v>43033</v>
      </c>
      <c r="B2075" s="4" t="s">
        <v>771</v>
      </c>
      <c r="C2075" s="34">
        <v>30000</v>
      </c>
      <c r="D2075" s="34"/>
    </row>
    <row r="2076" spans="1:4" s="23" customFormat="1" hidden="1" x14ac:dyDescent="0.25">
      <c r="A2076" s="4">
        <v>43033</v>
      </c>
      <c r="B2076" s="4" t="s">
        <v>772</v>
      </c>
      <c r="C2076" s="34">
        <v>60000</v>
      </c>
      <c r="D2076" s="34"/>
    </row>
    <row r="2077" spans="1:4" s="23" customFormat="1" hidden="1" x14ac:dyDescent="0.25">
      <c r="A2077" s="4">
        <v>43033</v>
      </c>
      <c r="B2077" s="4" t="s">
        <v>773</v>
      </c>
      <c r="C2077" s="34">
        <v>70000</v>
      </c>
      <c r="D2077" s="34"/>
    </row>
    <row r="2078" spans="1:4" s="23" customFormat="1" hidden="1" x14ac:dyDescent="0.25">
      <c r="A2078" s="4">
        <v>43034</v>
      </c>
      <c r="B2078" s="4" t="s">
        <v>774</v>
      </c>
      <c r="C2078" s="34">
        <v>24971.5</v>
      </c>
      <c r="D2078" s="34"/>
    </row>
    <row r="2079" spans="1:4" s="23" customFormat="1" hidden="1" x14ac:dyDescent="0.25">
      <c r="A2079" s="4">
        <v>43097</v>
      </c>
      <c r="B2079" s="4" t="s">
        <v>779</v>
      </c>
      <c r="C2079" s="34">
        <v>1698.6</v>
      </c>
      <c r="D2079" s="34"/>
    </row>
    <row r="2080" spans="1:4" s="23" customFormat="1" hidden="1" x14ac:dyDescent="0.25">
      <c r="A2080" s="4">
        <v>43160</v>
      </c>
      <c r="B2080" s="4" t="s">
        <v>789</v>
      </c>
      <c r="C2080" s="34">
        <v>1917</v>
      </c>
      <c r="D2080" s="34"/>
    </row>
    <row r="2081" spans="1:4" s="23" customFormat="1" hidden="1" x14ac:dyDescent="0.25">
      <c r="A2081" s="4">
        <v>43258</v>
      </c>
      <c r="B2081" s="4" t="s">
        <v>797</v>
      </c>
      <c r="C2081" s="34"/>
      <c r="D2081" s="34">
        <v>5266.02</v>
      </c>
    </row>
    <row r="2082" spans="1:4" s="23" customFormat="1" hidden="1" x14ac:dyDescent="0.25">
      <c r="A2082" s="4">
        <v>42958</v>
      </c>
      <c r="B2082" t="s">
        <v>306</v>
      </c>
      <c r="C2082" s="34">
        <v>798.98</v>
      </c>
      <c r="D2082" s="34"/>
    </row>
    <row r="2083" spans="1:4" s="23" customFormat="1" hidden="1" x14ac:dyDescent="0.25">
      <c r="A2083" s="4">
        <v>43006</v>
      </c>
      <c r="B2083" t="s">
        <v>283</v>
      </c>
      <c r="C2083" s="34">
        <v>1555.2</v>
      </c>
      <c r="D2083" s="34"/>
    </row>
    <row r="2084" spans="1:4" s="23" customFormat="1" hidden="1" x14ac:dyDescent="0.25">
      <c r="A2084" s="4">
        <v>43281</v>
      </c>
      <c r="B2084" s="4" t="s">
        <v>250</v>
      </c>
      <c r="C2084" s="34">
        <v>10858.97</v>
      </c>
      <c r="D2084" s="34"/>
    </row>
    <row r="2085" spans="1:4" s="23" customFormat="1" hidden="1" x14ac:dyDescent="0.25">
      <c r="A2085" s="4">
        <v>43281</v>
      </c>
      <c r="B2085" s="4" t="s">
        <v>75</v>
      </c>
      <c r="C2085" s="34"/>
      <c r="D2085" s="34">
        <f>14134.34-13586.04</f>
        <v>548.29999999999927</v>
      </c>
    </row>
    <row r="2086" spans="1:4" s="23" customFormat="1" hidden="1" x14ac:dyDescent="0.25">
      <c r="A2086" s="4">
        <v>43281</v>
      </c>
      <c r="B2086" t="s">
        <v>14</v>
      </c>
      <c r="C2086" s="36">
        <f>SUM(C2055:C2085)</f>
        <v>770233.93999999959</v>
      </c>
      <c r="D2086" s="36">
        <f>SUM(D2055:D2085)</f>
        <v>201998.56999999998</v>
      </c>
    </row>
    <row r="2087" spans="1:4" s="23" customFormat="1" hidden="1" x14ac:dyDescent="0.25">
      <c r="A2087" s="4"/>
      <c r="B2087" s="4" t="s">
        <v>15</v>
      </c>
      <c r="C2087" s="34">
        <f>IF(C2086&gt;D2086,C2086-D2086," ")</f>
        <v>568235.36999999965</v>
      </c>
      <c r="D2087" s="34" t="str">
        <f>IF(D2086&gt;C2086,D2086-C2086," ")</f>
        <v xml:space="preserve"> </v>
      </c>
    </row>
    <row r="2088" spans="1:4" s="23" customFormat="1" hidden="1" x14ac:dyDescent="0.25">
      <c r="A2088" s="4">
        <v>43306</v>
      </c>
      <c r="B2088" s="4" t="s">
        <v>832</v>
      </c>
      <c r="C2088" s="34"/>
      <c r="D2088" s="34">
        <v>80000</v>
      </c>
    </row>
    <row r="2089" spans="1:4" s="23" customFormat="1" hidden="1" x14ac:dyDescent="0.25">
      <c r="A2089" s="4">
        <v>43311</v>
      </c>
      <c r="B2089" s="4" t="s">
        <v>833</v>
      </c>
      <c r="C2089" s="34">
        <v>80000</v>
      </c>
      <c r="D2089" s="34"/>
    </row>
    <row r="2090" spans="1:4" s="23" customFormat="1" hidden="1" x14ac:dyDescent="0.25">
      <c r="A2090" s="4">
        <v>43300</v>
      </c>
      <c r="B2090" s="4" t="s">
        <v>829</v>
      </c>
      <c r="C2090" s="34"/>
      <c r="D2090" s="34">
        <v>7835.26</v>
      </c>
    </row>
    <row r="2091" spans="1:4" s="23" customFormat="1" hidden="1" x14ac:dyDescent="0.25">
      <c r="A2091" s="4">
        <v>43355</v>
      </c>
      <c r="B2091" s="4" t="s">
        <v>839</v>
      </c>
      <c r="C2091" s="34">
        <v>3758.4</v>
      </c>
      <c r="D2091" s="34"/>
    </row>
    <row r="2092" spans="1:4" s="23" customFormat="1" hidden="1" x14ac:dyDescent="0.25">
      <c r="A2092" s="4">
        <v>43403</v>
      </c>
      <c r="B2092" s="4" t="s">
        <v>849</v>
      </c>
      <c r="C2092" s="34"/>
      <c r="D2092" s="34">
        <v>80000</v>
      </c>
    </row>
    <row r="2093" spans="1:4" s="23" customFormat="1" hidden="1" x14ac:dyDescent="0.25">
      <c r="A2093" s="4">
        <v>43404</v>
      </c>
      <c r="B2093" s="4" t="s">
        <v>850</v>
      </c>
      <c r="C2093" s="34">
        <v>80000</v>
      </c>
      <c r="D2093" s="34"/>
    </row>
    <row r="2094" spans="1:4" s="23" customFormat="1" hidden="1" x14ac:dyDescent="0.25">
      <c r="A2094" s="4">
        <v>43405</v>
      </c>
      <c r="B2094" s="4" t="s">
        <v>851</v>
      </c>
      <c r="C2094" s="34">
        <v>20015.07</v>
      </c>
      <c r="D2094" s="34"/>
    </row>
    <row r="2095" spans="1:4" s="23" customFormat="1" hidden="1" x14ac:dyDescent="0.25">
      <c r="A2095" s="4">
        <v>43405</v>
      </c>
      <c r="B2095" s="4" t="s">
        <v>852</v>
      </c>
      <c r="C2095" s="34">
        <v>19930.82</v>
      </c>
      <c r="D2095" s="34"/>
    </row>
    <row r="2096" spans="1:4" s="23" customFormat="1" hidden="1" x14ac:dyDescent="0.25">
      <c r="A2096" s="4">
        <v>43405</v>
      </c>
      <c r="B2096" s="4" t="s">
        <v>853</v>
      </c>
      <c r="C2096" s="34">
        <v>19819.12</v>
      </c>
      <c r="D2096" s="34"/>
    </row>
    <row r="2097" spans="1:4" s="23" customFormat="1" hidden="1" x14ac:dyDescent="0.25">
      <c r="A2097" s="4">
        <v>43405</v>
      </c>
      <c r="B2097" s="4" t="s">
        <v>854</v>
      </c>
      <c r="C2097" s="34"/>
      <c r="D2097" s="34">
        <v>25717.439999999999</v>
      </c>
    </row>
    <row r="2098" spans="1:4" s="23" customFormat="1" hidden="1" x14ac:dyDescent="0.25">
      <c r="A2098" s="4">
        <v>43417</v>
      </c>
      <c r="B2098" s="4" t="s">
        <v>857</v>
      </c>
      <c r="C2098" s="34">
        <v>25032.99</v>
      </c>
      <c r="D2098" s="34"/>
    </row>
    <row r="2099" spans="1:4" s="23" customFormat="1" hidden="1" x14ac:dyDescent="0.25">
      <c r="A2099" s="4">
        <v>43448</v>
      </c>
      <c r="B2099" s="4" t="s">
        <v>861</v>
      </c>
      <c r="C2099" s="34">
        <v>20547.5</v>
      </c>
      <c r="D2099" s="34"/>
    </row>
    <row r="2100" spans="1:4" s="23" customFormat="1" hidden="1" x14ac:dyDescent="0.25">
      <c r="A2100" s="4">
        <v>43495</v>
      </c>
      <c r="B2100" s="4" t="s">
        <v>870</v>
      </c>
      <c r="C2100" s="34"/>
      <c r="D2100" s="34">
        <v>80000</v>
      </c>
    </row>
    <row r="2101" spans="1:4" s="23" customFormat="1" hidden="1" x14ac:dyDescent="0.25">
      <c r="A2101" s="4">
        <v>43500</v>
      </c>
      <c r="B2101" s="4" t="s">
        <v>871</v>
      </c>
      <c r="C2101" s="34">
        <v>80000</v>
      </c>
      <c r="D2101" s="34"/>
    </row>
    <row r="2102" spans="1:4" s="23" customFormat="1" hidden="1" x14ac:dyDescent="0.25">
      <c r="A2102" s="4">
        <v>43517</v>
      </c>
      <c r="B2102" s="4" t="s">
        <v>876</v>
      </c>
      <c r="C2102" s="34">
        <v>15000</v>
      </c>
      <c r="D2102" s="34"/>
    </row>
    <row r="2103" spans="1:4" s="23" customFormat="1" hidden="1" x14ac:dyDescent="0.25">
      <c r="A2103" s="4">
        <v>43559</v>
      </c>
      <c r="B2103" s="4" t="s">
        <v>886</v>
      </c>
      <c r="C2103" s="34">
        <v>18626.490000000002</v>
      </c>
      <c r="D2103" s="34"/>
    </row>
    <row r="2104" spans="1:4" s="23" customFormat="1" hidden="1" x14ac:dyDescent="0.25">
      <c r="A2104" s="4">
        <v>43559</v>
      </c>
      <c r="B2104" s="4" t="s">
        <v>887</v>
      </c>
      <c r="C2104" s="34"/>
      <c r="D2104" s="34">
        <v>21604.26</v>
      </c>
    </row>
    <row r="2105" spans="1:4" s="23" customFormat="1" hidden="1" x14ac:dyDescent="0.25">
      <c r="A2105" s="4">
        <v>43593</v>
      </c>
      <c r="B2105" s="4" t="s">
        <v>894</v>
      </c>
      <c r="C2105" s="34"/>
      <c r="D2105" s="34">
        <v>80000</v>
      </c>
    </row>
    <row r="2106" spans="1:4" s="23" customFormat="1" hidden="1" x14ac:dyDescent="0.25">
      <c r="A2106" s="4">
        <v>43599</v>
      </c>
      <c r="B2106" s="4" t="s">
        <v>896</v>
      </c>
      <c r="C2106" s="34">
        <v>80000</v>
      </c>
      <c r="D2106" s="34"/>
    </row>
    <row r="2107" spans="1:4" s="23" customFormat="1" hidden="1" x14ac:dyDescent="0.25">
      <c r="A2107" s="4">
        <v>43602</v>
      </c>
      <c r="B2107" s="4" t="s">
        <v>898</v>
      </c>
      <c r="C2107" s="34">
        <v>20619.2</v>
      </c>
      <c r="D2107" s="34"/>
    </row>
    <row r="2108" spans="1:4" s="23" customFormat="1" hidden="1" x14ac:dyDescent="0.25">
      <c r="A2108" s="4">
        <v>43616</v>
      </c>
      <c r="B2108" s="4" t="s">
        <v>900</v>
      </c>
      <c r="C2108" s="34"/>
      <c r="D2108" s="34">
        <v>7333.59</v>
      </c>
    </row>
    <row r="2109" spans="1:4" s="23" customFormat="1" hidden="1" x14ac:dyDescent="0.25">
      <c r="A2109" s="4">
        <v>43646</v>
      </c>
      <c r="B2109" s="4" t="s">
        <v>250</v>
      </c>
      <c r="C2109" s="34">
        <v>2920.83</v>
      </c>
      <c r="D2109" s="34"/>
    </row>
    <row r="2110" spans="1:4" s="23" customFormat="1" hidden="1" x14ac:dyDescent="0.25">
      <c r="A2110" s="4">
        <v>43646</v>
      </c>
      <c r="B2110" s="4" t="s">
        <v>75</v>
      </c>
      <c r="C2110" s="34">
        <v>65386.49</v>
      </c>
      <c r="D2110" s="34"/>
    </row>
    <row r="2111" spans="1:4" s="23" customFormat="1" hidden="1" x14ac:dyDescent="0.25">
      <c r="A2111" s="4">
        <v>43646</v>
      </c>
      <c r="B2111" t="s">
        <v>14</v>
      </c>
      <c r="C2111" s="36">
        <f>SUM(C2087:C2110)</f>
        <v>1119892.2799999996</v>
      </c>
      <c r="D2111" s="36">
        <f>SUM(D2087:D2110)</f>
        <v>382490.55000000005</v>
      </c>
    </row>
    <row r="2112" spans="1:4" s="23" customFormat="1" hidden="1" x14ac:dyDescent="0.25">
      <c r="A2112" s="4"/>
      <c r="B2112" s="4" t="s">
        <v>15</v>
      </c>
      <c r="C2112" s="34">
        <f>IF(C2111&gt;D2111,C2111-D2111," ")</f>
        <v>737401.72999999952</v>
      </c>
      <c r="D2112" s="34" t="str">
        <f>IF(D2111&gt;C2111,D2111-C2111," ")</f>
        <v xml:space="preserve"> </v>
      </c>
    </row>
    <row r="2113" spans="1:4" s="23" customFormat="1" hidden="1" x14ac:dyDescent="0.25">
      <c r="A2113" s="4">
        <v>43662</v>
      </c>
      <c r="B2113" s="4" t="s">
        <v>923</v>
      </c>
      <c r="C2113" s="34">
        <v>14985.55</v>
      </c>
      <c r="D2113" s="34"/>
    </row>
    <row r="2114" spans="1:4" s="23" customFormat="1" hidden="1" x14ac:dyDescent="0.25">
      <c r="A2114" s="4">
        <v>43662</v>
      </c>
      <c r="B2114" s="4" t="s">
        <v>925</v>
      </c>
      <c r="C2114" s="34"/>
      <c r="D2114" s="34">
        <v>15143.17</v>
      </c>
    </row>
    <row r="2115" spans="1:4" s="23" customFormat="1" hidden="1" x14ac:dyDescent="0.25">
      <c r="A2115" s="4">
        <v>43677</v>
      </c>
      <c r="B2115" s="4" t="s">
        <v>926</v>
      </c>
      <c r="C2115" s="34"/>
      <c r="D2115" s="34">
        <v>22587.32</v>
      </c>
    </row>
    <row r="2116" spans="1:4" s="23" customFormat="1" hidden="1" x14ac:dyDescent="0.25">
      <c r="A2116" s="4">
        <v>43704</v>
      </c>
      <c r="B2116" s="4" t="s">
        <v>930</v>
      </c>
      <c r="C2116" s="34">
        <v>15000</v>
      </c>
      <c r="D2116" s="34"/>
    </row>
    <row r="2117" spans="1:4" s="23" customFormat="1" hidden="1" x14ac:dyDescent="0.25">
      <c r="A2117" s="4">
        <v>43712</v>
      </c>
      <c r="B2117" s="4" t="s">
        <v>934</v>
      </c>
      <c r="C2117" s="34"/>
      <c r="D2117" s="34">
        <v>12125.67</v>
      </c>
    </row>
    <row r="2118" spans="1:4" s="23" customFormat="1" hidden="1" x14ac:dyDescent="0.25">
      <c r="A2118" s="4">
        <v>43714</v>
      </c>
      <c r="B2118" s="4" t="s">
        <v>935</v>
      </c>
      <c r="C2118" s="34"/>
      <c r="D2118" s="34">
        <v>27000</v>
      </c>
    </row>
    <row r="2119" spans="1:4" s="23" customFormat="1" hidden="1" x14ac:dyDescent="0.25">
      <c r="A2119" s="4">
        <v>43721</v>
      </c>
      <c r="B2119" s="4" t="s">
        <v>936</v>
      </c>
      <c r="C2119" s="34">
        <v>39975</v>
      </c>
      <c r="D2119" s="34"/>
    </row>
    <row r="2120" spans="1:4" s="23" customFormat="1" hidden="1" x14ac:dyDescent="0.25">
      <c r="A2120" s="4">
        <v>43734</v>
      </c>
      <c r="B2120" s="4" t="s">
        <v>946</v>
      </c>
      <c r="C2120" s="34"/>
      <c r="D2120" s="34">
        <v>16254.86</v>
      </c>
    </row>
    <row r="2121" spans="1:4" s="23" customFormat="1" hidden="1" x14ac:dyDescent="0.25">
      <c r="A2121" s="4">
        <v>43776</v>
      </c>
      <c r="B2121" s="4" t="s">
        <v>953</v>
      </c>
      <c r="C2121" s="34"/>
      <c r="D2121" s="34">
        <v>14868.81</v>
      </c>
    </row>
    <row r="2122" spans="1:4" s="23" customFormat="1" hidden="1" x14ac:dyDescent="0.25">
      <c r="A2122" s="4">
        <v>43776</v>
      </c>
      <c r="B2122" s="4" t="s">
        <v>954</v>
      </c>
      <c r="C2122" s="34"/>
      <c r="D2122" s="34">
        <v>44313.09</v>
      </c>
    </row>
    <row r="2123" spans="1:4" s="23" customFormat="1" hidden="1" x14ac:dyDescent="0.25">
      <c r="A2123" s="4">
        <v>43777</v>
      </c>
      <c r="B2123" s="4" t="s">
        <v>955</v>
      </c>
      <c r="C2123" s="34"/>
      <c r="D2123" s="34">
        <v>3000</v>
      </c>
    </row>
    <row r="2124" spans="1:4" s="23" customFormat="1" hidden="1" x14ac:dyDescent="0.25">
      <c r="A2124" s="4">
        <v>43781</v>
      </c>
      <c r="B2124" s="4" t="s">
        <v>956</v>
      </c>
      <c r="C2124" s="34"/>
      <c r="D2124" s="34">
        <v>80000</v>
      </c>
    </row>
    <row r="2125" spans="1:4" s="23" customFormat="1" hidden="1" x14ac:dyDescent="0.25">
      <c r="A2125" s="4">
        <v>43783</v>
      </c>
      <c r="B2125" s="4" t="s">
        <v>957</v>
      </c>
      <c r="C2125" s="34">
        <v>80000</v>
      </c>
      <c r="D2125" s="34"/>
    </row>
    <row r="2126" spans="1:4" s="23" customFormat="1" hidden="1" x14ac:dyDescent="0.25">
      <c r="A2126" s="4">
        <v>43798</v>
      </c>
      <c r="B2126" s="4" t="s">
        <v>958</v>
      </c>
      <c r="C2126" s="34">
        <v>30000</v>
      </c>
      <c r="D2126" s="34"/>
    </row>
    <row r="2127" spans="1:4" s="23" customFormat="1" hidden="1" x14ac:dyDescent="0.25">
      <c r="A2127" s="4">
        <v>43964</v>
      </c>
      <c r="B2127" s="4" t="s">
        <v>983</v>
      </c>
      <c r="C2127" s="34"/>
      <c r="D2127" s="34">
        <v>80000</v>
      </c>
    </row>
    <row r="2128" spans="1:4" s="23" customFormat="1" hidden="1" x14ac:dyDescent="0.25">
      <c r="A2128" s="4">
        <v>43966</v>
      </c>
      <c r="B2128" s="4" t="s">
        <v>984</v>
      </c>
      <c r="C2128" s="34">
        <v>100000</v>
      </c>
      <c r="D2128" s="34"/>
    </row>
    <row r="2129" spans="1:4" s="23" customFormat="1" hidden="1" x14ac:dyDescent="0.25">
      <c r="A2129" s="4">
        <v>43969</v>
      </c>
      <c r="B2129" s="4" t="s">
        <v>985</v>
      </c>
      <c r="C2129" s="34">
        <v>20351.7</v>
      </c>
      <c r="D2129" s="34"/>
    </row>
    <row r="2130" spans="1:4" s="23" customFormat="1" hidden="1" x14ac:dyDescent="0.25">
      <c r="A2130" s="4">
        <v>43969</v>
      </c>
      <c r="B2130" s="4" t="s">
        <v>986</v>
      </c>
      <c r="C2130" s="34">
        <v>9991.93</v>
      </c>
      <c r="D2130" s="34"/>
    </row>
    <row r="2131" spans="1:4" s="23" customFormat="1" hidden="1" x14ac:dyDescent="0.25">
      <c r="A2131" s="4">
        <v>43969</v>
      </c>
      <c r="B2131" s="4" t="s">
        <v>987</v>
      </c>
      <c r="C2131" s="34"/>
      <c r="D2131" s="34">
        <v>9835.64</v>
      </c>
    </row>
    <row r="2132" spans="1:4" s="23" customFormat="1" hidden="1" x14ac:dyDescent="0.25">
      <c r="A2132" s="4">
        <v>43969</v>
      </c>
      <c r="B2132" s="4" t="s">
        <v>988</v>
      </c>
      <c r="C2132" s="34"/>
      <c r="D2132" s="34">
        <v>26503.7</v>
      </c>
    </row>
    <row r="2133" spans="1:4" s="23" customFormat="1" hidden="1" x14ac:dyDescent="0.25">
      <c r="A2133" s="4">
        <v>44012</v>
      </c>
      <c r="B2133" s="4" t="s">
        <v>250</v>
      </c>
      <c r="C2133" s="34">
        <v>1639.64</v>
      </c>
      <c r="D2133" s="34"/>
    </row>
    <row r="2134" spans="1:4" s="23" customFormat="1" hidden="1" x14ac:dyDescent="0.25">
      <c r="A2134" s="4">
        <v>44012</v>
      </c>
      <c r="B2134" s="4" t="s">
        <v>75</v>
      </c>
      <c r="C2134" s="34"/>
      <c r="D2134" s="34">
        <f>43604.41+3071.85+0.01</f>
        <v>46676.270000000004</v>
      </c>
    </row>
    <row r="2135" spans="1:4" s="23" customFormat="1" hidden="1" x14ac:dyDescent="0.25">
      <c r="A2135" s="4"/>
      <c r="B2135" s="4"/>
      <c r="C2135" s="34"/>
      <c r="D2135" s="34"/>
    </row>
    <row r="2136" spans="1:4" s="23" customFormat="1" hidden="1" x14ac:dyDescent="0.25">
      <c r="A2136" s="4"/>
      <c r="B2136" s="4"/>
      <c r="C2136" s="34"/>
      <c r="D2136" s="34"/>
    </row>
    <row r="2137" spans="1:4" s="23" customFormat="1" hidden="1" x14ac:dyDescent="0.25">
      <c r="A2137" s="4">
        <v>44012</v>
      </c>
      <c r="B2137" t="s">
        <v>14</v>
      </c>
      <c r="C2137" s="36">
        <f>SUM(C2112:C2136)</f>
        <v>1049345.5499999996</v>
      </c>
      <c r="D2137" s="36">
        <f>SUM(D2112:D2136)</f>
        <v>398308.53</v>
      </c>
    </row>
    <row r="2138" spans="1:4" s="23" customFormat="1" hidden="1" x14ac:dyDescent="0.25">
      <c r="A2138" s="4"/>
      <c r="B2138" s="4" t="s">
        <v>15</v>
      </c>
      <c r="C2138" s="34">
        <f>IF(C2137&gt;D2137,C2137-D2137," ")</f>
        <v>651037.01999999955</v>
      </c>
      <c r="D2138" s="34" t="str">
        <f>IF(D2137&gt;C2137,D2137-C2137," ")</f>
        <v xml:space="preserve"> </v>
      </c>
    </row>
    <row r="2139" spans="1:4" s="23" customFormat="1" hidden="1" x14ac:dyDescent="0.25">
      <c r="A2139" s="4">
        <v>44057</v>
      </c>
      <c r="B2139" s="4" t="s">
        <v>1014</v>
      </c>
      <c r="C2139" s="34"/>
      <c r="D2139" s="34">
        <v>100000</v>
      </c>
    </row>
    <row r="2140" spans="1:4" s="23" customFormat="1" hidden="1" x14ac:dyDescent="0.25">
      <c r="A2140" s="4">
        <v>44064</v>
      </c>
      <c r="B2140" s="4" t="s">
        <v>1015</v>
      </c>
      <c r="C2140" s="34">
        <v>100000</v>
      </c>
      <c r="D2140" s="34"/>
    </row>
    <row r="2141" spans="1:4" s="23" customFormat="1" hidden="1" x14ac:dyDescent="0.25">
      <c r="A2141" s="4">
        <v>44081</v>
      </c>
      <c r="B2141" s="4" t="s">
        <v>1019</v>
      </c>
      <c r="C2141" s="34">
        <v>22427.55</v>
      </c>
      <c r="D2141" s="34"/>
    </row>
    <row r="2142" spans="1:4" s="23" customFormat="1" hidden="1" x14ac:dyDescent="0.25">
      <c r="A2142" s="4">
        <v>44127</v>
      </c>
      <c r="B2142" s="4" t="s">
        <v>1030</v>
      </c>
      <c r="C2142" s="34">
        <v>31026.69</v>
      </c>
      <c r="D2142" s="34"/>
    </row>
    <row r="2143" spans="1:4" s="23" customFormat="1" hidden="1" x14ac:dyDescent="0.25">
      <c r="A2143" s="4">
        <v>44127</v>
      </c>
      <c r="B2143" s="4" t="s">
        <v>1031</v>
      </c>
      <c r="C2143" s="34"/>
      <c r="D2143" s="34">
        <v>58141.2</v>
      </c>
    </row>
    <row r="2144" spans="1:4" s="23" customFormat="1" hidden="1" x14ac:dyDescent="0.25">
      <c r="A2144" s="4">
        <v>44127</v>
      </c>
      <c r="B2144" s="4" t="s">
        <v>1032</v>
      </c>
      <c r="C2144" s="34"/>
      <c r="D2144" s="34">
        <v>23244.71</v>
      </c>
    </row>
    <row r="2145" spans="1:4" s="23" customFormat="1" hidden="1" x14ac:dyDescent="0.25">
      <c r="A2145" s="4">
        <v>44130</v>
      </c>
      <c r="B2145" s="4" t="s">
        <v>1033</v>
      </c>
      <c r="C2145" s="34">
        <v>40000</v>
      </c>
      <c r="D2145" s="34"/>
    </row>
    <row r="2146" spans="1:4" s="23" customFormat="1" hidden="1" x14ac:dyDescent="0.25">
      <c r="A2146" s="4">
        <v>44130</v>
      </c>
      <c r="B2146" s="4" t="s">
        <v>1034</v>
      </c>
      <c r="C2146" s="34">
        <v>40000</v>
      </c>
      <c r="D2146" s="34"/>
    </row>
    <row r="2147" spans="1:4" s="23" customFormat="1" hidden="1" x14ac:dyDescent="0.25">
      <c r="A2147" s="4">
        <v>44216</v>
      </c>
      <c r="B2147" s="4" t="s">
        <v>1044</v>
      </c>
      <c r="C2147" s="34">
        <v>21137.63</v>
      </c>
      <c r="D2147" s="34"/>
    </row>
    <row r="2148" spans="1:4" s="23" customFormat="1" hidden="1" x14ac:dyDescent="0.25">
      <c r="A2148" s="4">
        <v>44216</v>
      </c>
      <c r="B2148" s="4" t="s">
        <v>1045</v>
      </c>
      <c r="C2148" s="34"/>
      <c r="D2148" s="34">
        <v>22548.84</v>
      </c>
    </row>
    <row r="2149" spans="1:4" s="23" customFormat="1" hidden="1" x14ac:dyDescent="0.25">
      <c r="A2149" s="4">
        <v>44243</v>
      </c>
      <c r="B2149" s="4" t="s">
        <v>1049</v>
      </c>
      <c r="C2149" s="34">
        <v>9680</v>
      </c>
      <c r="D2149" s="34"/>
    </row>
    <row r="2150" spans="1:4" s="23" customFormat="1" hidden="1" x14ac:dyDescent="0.25">
      <c r="A2150" s="4">
        <v>44245</v>
      </c>
      <c r="B2150" s="4" t="s">
        <v>1051</v>
      </c>
      <c r="C2150" s="34"/>
      <c r="D2150" s="34">
        <v>100000</v>
      </c>
    </row>
    <row r="2151" spans="1:4" s="23" customFormat="1" hidden="1" x14ac:dyDescent="0.25">
      <c r="A2151" s="4">
        <v>44253</v>
      </c>
      <c r="B2151" s="4" t="s">
        <v>1053</v>
      </c>
      <c r="C2151" s="34">
        <v>75000</v>
      </c>
      <c r="D2151" s="34"/>
    </row>
    <row r="2152" spans="1:4" s="23" customFormat="1" hidden="1" x14ac:dyDescent="0.25">
      <c r="A2152" s="4">
        <v>44341</v>
      </c>
      <c r="B2152" s="4" t="s">
        <v>1071</v>
      </c>
      <c r="C2152" s="34">
        <v>30000</v>
      </c>
      <c r="D2152" s="34"/>
    </row>
    <row r="2153" spans="1:4" s="23" customFormat="1" hidden="1" x14ac:dyDescent="0.25">
      <c r="A2153" s="4">
        <v>44344</v>
      </c>
      <c r="B2153" s="4" t="s">
        <v>1072</v>
      </c>
      <c r="C2153" s="34"/>
      <c r="D2153" s="34">
        <v>75000</v>
      </c>
    </row>
    <row r="2154" spans="1:4" s="23" customFormat="1" hidden="1" x14ac:dyDescent="0.25">
      <c r="A2154" s="4">
        <v>44347</v>
      </c>
      <c r="B2154" s="4" t="s">
        <v>1073</v>
      </c>
      <c r="C2154" s="34">
        <v>75000</v>
      </c>
      <c r="D2154" s="34"/>
    </row>
    <row r="2155" spans="1:4" s="23" customFormat="1" hidden="1" x14ac:dyDescent="0.25">
      <c r="A2155" s="4">
        <v>44365</v>
      </c>
      <c r="B2155" s="4" t="s">
        <v>1077</v>
      </c>
      <c r="C2155" s="34"/>
      <c r="D2155" s="34">
        <v>35015.85</v>
      </c>
    </row>
    <row r="2156" spans="1:4" s="23" customFormat="1" hidden="1" x14ac:dyDescent="0.25">
      <c r="A2156" s="4">
        <v>44377</v>
      </c>
      <c r="B2156" s="4" t="s">
        <v>250</v>
      </c>
      <c r="C2156" s="34">
        <v>22410.34</v>
      </c>
      <c r="D2156" s="34"/>
    </row>
    <row r="2157" spans="1:4" s="23" customFormat="1" hidden="1" x14ac:dyDescent="0.25">
      <c r="A2157" s="4">
        <v>44377</v>
      </c>
      <c r="B2157" s="4" t="s">
        <v>75</v>
      </c>
      <c r="C2157" s="34">
        <f>77200.74-8125.47+0.01</f>
        <v>69075.28</v>
      </c>
      <c r="D2157" s="34"/>
    </row>
    <row r="2158" spans="1:4" s="23" customFormat="1" hidden="1" x14ac:dyDescent="0.25">
      <c r="A2158" s="4"/>
      <c r="B2158" s="4"/>
      <c r="C2158" s="34"/>
      <c r="D2158" s="34"/>
    </row>
    <row r="2159" spans="1:4" s="23" customFormat="1" hidden="1" x14ac:dyDescent="0.25">
      <c r="A2159" s="4">
        <v>44377</v>
      </c>
      <c r="B2159" t="s">
        <v>14</v>
      </c>
      <c r="C2159" s="36">
        <f>SUM(C2138:C2158)</f>
        <v>1186794.5099999998</v>
      </c>
      <c r="D2159" s="36">
        <f>SUM(D2138:D2158)</f>
        <v>413950.6</v>
      </c>
    </row>
    <row r="2160" spans="1:4" s="23" customFormat="1" x14ac:dyDescent="0.25">
      <c r="A2160" s="4"/>
      <c r="B2160" s="4" t="s">
        <v>15</v>
      </c>
      <c r="C2160" s="34">
        <f>IF(C2159&gt;D2159,C2159-D2159," ")</f>
        <v>772843.9099999998</v>
      </c>
      <c r="D2160" s="34" t="str">
        <f>IF(D2159&gt;C2159,D2159-C2159," ")</f>
        <v xml:space="preserve"> </v>
      </c>
    </row>
    <row r="2161" spans="1:4" s="23" customFormat="1" x14ac:dyDescent="0.25">
      <c r="A2161" s="4">
        <v>44391</v>
      </c>
      <c r="B2161" s="4" t="s">
        <v>1165</v>
      </c>
      <c r="C2161" s="34">
        <v>6837.31</v>
      </c>
      <c r="D2161" s="34"/>
    </row>
    <row r="2162" spans="1:4" s="23" customFormat="1" x14ac:dyDescent="0.25">
      <c r="A2162" s="4">
        <v>44391</v>
      </c>
      <c r="B2162" s="4" t="s">
        <v>1166</v>
      </c>
      <c r="C2162" s="34">
        <v>7119.23</v>
      </c>
      <c r="D2162" s="34"/>
    </row>
    <row r="2163" spans="1:4" s="23" customFormat="1" x14ac:dyDescent="0.25">
      <c r="A2163" s="4">
        <v>44469</v>
      </c>
      <c r="B2163" s="4" t="s">
        <v>1179</v>
      </c>
      <c r="C2163" s="34">
        <v>3406</v>
      </c>
      <c r="D2163" s="34"/>
    </row>
    <row r="2164" spans="1:4" s="23" customFormat="1" x14ac:dyDescent="0.25">
      <c r="A2164" s="4">
        <v>44530</v>
      </c>
      <c r="B2164" s="4" t="s">
        <v>1185</v>
      </c>
      <c r="C2164" s="34"/>
      <c r="D2164" s="34">
        <v>75000</v>
      </c>
    </row>
    <row r="2165" spans="1:4" s="23" customFormat="1" x14ac:dyDescent="0.25">
      <c r="A2165" s="4">
        <v>44531</v>
      </c>
      <c r="B2165" s="4" t="s">
        <v>1187</v>
      </c>
      <c r="C2165" s="34">
        <v>100000</v>
      </c>
      <c r="D2165" s="34"/>
    </row>
    <row r="2166" spans="1:4" s="23" customFormat="1" x14ac:dyDescent="0.25">
      <c r="A2166" s="4">
        <v>44532</v>
      </c>
      <c r="B2166" s="4" t="s">
        <v>1188</v>
      </c>
      <c r="C2166" s="34">
        <v>25085.69</v>
      </c>
      <c r="D2166" s="34"/>
    </row>
    <row r="2167" spans="1:4" s="23" customFormat="1" x14ac:dyDescent="0.25">
      <c r="A2167" s="4">
        <v>44532</v>
      </c>
      <c r="B2167" s="4" t="s">
        <v>1189</v>
      </c>
      <c r="C2167" s="34">
        <v>20459.32</v>
      </c>
      <c r="D2167" s="34"/>
    </row>
    <row r="2168" spans="1:4" s="23" customFormat="1" x14ac:dyDescent="0.25">
      <c r="A2168" s="4">
        <v>44532</v>
      </c>
      <c r="B2168" s="4" t="s">
        <v>1191</v>
      </c>
      <c r="C2168" s="34"/>
      <c r="D2168" s="34">
        <v>36909.86</v>
      </c>
    </row>
    <row r="2169" spans="1:4" s="23" customFormat="1" x14ac:dyDescent="0.25">
      <c r="A2169" s="4">
        <v>44532</v>
      </c>
      <c r="B2169" s="4" t="s">
        <v>1192</v>
      </c>
      <c r="C2169" s="34"/>
      <c r="D2169" s="34">
        <v>20822.73</v>
      </c>
    </row>
    <row r="2170" spans="1:4" s="23" customFormat="1" x14ac:dyDescent="0.25">
      <c r="A2170" s="4">
        <v>44642</v>
      </c>
      <c r="B2170" s="4" t="s">
        <v>1201</v>
      </c>
      <c r="C2170" s="34">
        <v>39889.72</v>
      </c>
      <c r="D2170" s="34"/>
    </row>
    <row r="2171" spans="1:4" s="23" customFormat="1" x14ac:dyDescent="0.25">
      <c r="A2171" s="4">
        <v>44644</v>
      </c>
      <c r="B2171" s="4" t="s">
        <v>1203</v>
      </c>
      <c r="C2171" s="34"/>
      <c r="D2171" s="34">
        <v>39425.980000000003</v>
      </c>
    </row>
    <row r="2172" spans="1:4" s="23" customFormat="1" x14ac:dyDescent="0.25">
      <c r="A2172" s="4">
        <v>44712</v>
      </c>
      <c r="B2172" s="4" t="s">
        <v>1212</v>
      </c>
      <c r="C2172" s="34">
        <v>35000</v>
      </c>
      <c r="D2172" s="34"/>
    </row>
    <row r="2173" spans="1:4" s="23" customFormat="1" x14ac:dyDescent="0.25">
      <c r="A2173" s="4">
        <v>44712</v>
      </c>
      <c r="B2173" s="4" t="s">
        <v>1213</v>
      </c>
      <c r="C2173" s="34">
        <v>35000</v>
      </c>
      <c r="D2173" s="34"/>
    </row>
    <row r="2174" spans="1:4" s="23" customFormat="1" x14ac:dyDescent="0.25">
      <c r="A2174" s="4">
        <v>44712</v>
      </c>
      <c r="B2174" s="4" t="s">
        <v>1214</v>
      </c>
      <c r="C2174" s="34"/>
      <c r="D2174" s="34">
        <v>100000</v>
      </c>
    </row>
    <row r="2175" spans="1:4" s="23" customFormat="1" x14ac:dyDescent="0.25">
      <c r="A2175" s="4">
        <v>44713</v>
      </c>
      <c r="B2175" s="4" t="s">
        <v>1215</v>
      </c>
      <c r="C2175" s="34">
        <v>100000</v>
      </c>
      <c r="D2175" s="34"/>
    </row>
    <row r="2176" spans="1:4" s="23" customFormat="1" x14ac:dyDescent="0.25">
      <c r="A2176" s="4">
        <v>44713</v>
      </c>
      <c r="B2176" s="4" t="s">
        <v>1216</v>
      </c>
      <c r="C2176" s="34"/>
      <c r="D2176" s="34">
        <v>37812.769999999997</v>
      </c>
    </row>
    <row r="2177" spans="1:4" s="23" customFormat="1" x14ac:dyDescent="0.25">
      <c r="A2177" s="4">
        <v>44713</v>
      </c>
      <c r="B2177" s="4" t="s">
        <v>1217</v>
      </c>
      <c r="C2177" s="34"/>
      <c r="D2177" s="34">
        <v>19734.34</v>
      </c>
    </row>
    <row r="2178" spans="1:4" s="23" customFormat="1" x14ac:dyDescent="0.25">
      <c r="A2178" s="4">
        <v>44742</v>
      </c>
      <c r="B2178" s="4" t="s">
        <v>250</v>
      </c>
      <c r="C2178" s="34">
        <f>'Investment Schedule'!G45</f>
        <v>22397.960000000003</v>
      </c>
      <c r="D2178" s="34"/>
    </row>
    <row r="2179" spans="1:4" s="23" customFormat="1" x14ac:dyDescent="0.25">
      <c r="A2179" s="4">
        <v>44742</v>
      </c>
      <c r="B2179" s="4" t="s">
        <v>75</v>
      </c>
      <c r="C2179" s="34"/>
      <c r="D2179" s="34">
        <f>-'Investment Schedule'!AF34+'Investment Schedule'!H45</f>
        <v>168050.46163804887</v>
      </c>
    </row>
    <row r="2180" spans="1:4" s="23" customFormat="1" x14ac:dyDescent="0.25">
      <c r="A2180" s="4"/>
      <c r="B2180" s="4"/>
      <c r="C2180" s="34"/>
      <c r="D2180" s="34"/>
    </row>
    <row r="2181" spans="1:4" s="23" customFormat="1" x14ac:dyDescent="0.25">
      <c r="A2181" s="4">
        <v>44742</v>
      </c>
      <c r="B2181" t="s">
        <v>14</v>
      </c>
      <c r="C2181" s="36">
        <f>SUM(C2160:C2180)</f>
        <v>1168039.1399999997</v>
      </c>
      <c r="D2181" s="36">
        <f>SUM(D2160:D2180)</f>
        <v>497756.14163804892</v>
      </c>
    </row>
    <row r="2182" spans="1:4" s="23" customFormat="1" x14ac:dyDescent="0.25">
      <c r="A2182" s="4"/>
      <c r="B2182" s="4" t="s">
        <v>15</v>
      </c>
      <c r="C2182" s="34">
        <f>IF(C2181&gt;D2181,C2181-D2181," ")</f>
        <v>670282.99836195074</v>
      </c>
      <c r="D2182" s="34" t="str">
        <f>IF(D2181&gt;C2181,D2181-C2181," ")</f>
        <v xml:space="preserve"> </v>
      </c>
    </row>
    <row r="2183" spans="1:4" s="23" customFormat="1" x14ac:dyDescent="0.25">
      <c r="A2183" s="31"/>
      <c r="C2183" s="39"/>
      <c r="D2183" s="38"/>
    </row>
    <row r="2184" spans="1:4" x14ac:dyDescent="0.25">
      <c r="A2184" s="30" t="s">
        <v>82</v>
      </c>
      <c r="C2184" s="34"/>
      <c r="D2184" s="34"/>
    </row>
    <row r="2185" spans="1:4" x14ac:dyDescent="0.25">
      <c r="A2185" s="30" t="s">
        <v>2</v>
      </c>
      <c r="B2185" s="1" t="s">
        <v>3</v>
      </c>
      <c r="C2185" s="35" t="s">
        <v>4</v>
      </c>
      <c r="D2185" s="35" t="s">
        <v>5</v>
      </c>
    </row>
    <row r="2186" spans="1:4" hidden="1" x14ac:dyDescent="0.25">
      <c r="A2186" s="4">
        <v>35976</v>
      </c>
      <c r="B2186" t="s">
        <v>68</v>
      </c>
      <c r="C2186" s="34">
        <v>4569.45</v>
      </c>
      <c r="D2186" s="34"/>
    </row>
    <row r="2187" spans="1:4" hidden="1" x14ac:dyDescent="0.25">
      <c r="A2187" s="4">
        <v>35976</v>
      </c>
      <c r="B2187" t="s">
        <v>14</v>
      </c>
      <c r="C2187" s="36">
        <f>SUM(C2186:C2186)</f>
        <v>4569.45</v>
      </c>
      <c r="D2187" s="36">
        <f>SUM(D2186:D2186)</f>
        <v>0</v>
      </c>
    </row>
    <row r="2188" spans="1:4" hidden="1" x14ac:dyDescent="0.25">
      <c r="A2188" s="4"/>
      <c r="B2188" s="4" t="s">
        <v>15</v>
      </c>
      <c r="C2188" s="34">
        <f>IF(C2187&gt;D2187,C2187-D2187," ")</f>
        <v>4569.45</v>
      </c>
      <c r="D2188" s="34" t="str">
        <f>IF(D2187&gt;C2187,D2187-C2187," ")</f>
        <v xml:space="preserve"> </v>
      </c>
    </row>
    <row r="2189" spans="1:4" hidden="1" x14ac:dyDescent="0.25">
      <c r="A2189" s="4">
        <v>36344</v>
      </c>
      <c r="B2189" t="s">
        <v>83</v>
      </c>
      <c r="C2189" s="34"/>
      <c r="D2189" s="34">
        <v>4569.45</v>
      </c>
    </row>
    <row r="2190" spans="1:4" hidden="1" x14ac:dyDescent="0.25">
      <c r="A2190" s="4">
        <v>36209</v>
      </c>
      <c r="B2190" t="s">
        <v>84</v>
      </c>
      <c r="C2190" s="34">
        <v>600</v>
      </c>
      <c r="D2190" s="34"/>
    </row>
    <row r="2191" spans="1:4" hidden="1" x14ac:dyDescent="0.25">
      <c r="A2191" s="4">
        <v>36281</v>
      </c>
      <c r="B2191" t="s">
        <v>32</v>
      </c>
      <c r="C2191" s="34">
        <f>5.8+1.45</f>
        <v>7.25</v>
      </c>
      <c r="D2191" s="34"/>
    </row>
    <row r="2192" spans="1:4" hidden="1" x14ac:dyDescent="0.25">
      <c r="A2192" s="4"/>
      <c r="C2192" s="34"/>
      <c r="D2192" s="34"/>
    </row>
    <row r="2193" spans="1:4" hidden="1" x14ac:dyDescent="0.25">
      <c r="A2193" s="4">
        <v>36341</v>
      </c>
      <c r="B2193" t="s">
        <v>14</v>
      </c>
      <c r="C2193" s="36">
        <f>SUM(C2188:C2192)</f>
        <v>5176.7</v>
      </c>
      <c r="D2193" s="36">
        <f>SUM(D2188:D2192)</f>
        <v>4569.45</v>
      </c>
    </row>
    <row r="2194" spans="1:4" hidden="1" x14ac:dyDescent="0.25">
      <c r="A2194" s="4"/>
      <c r="B2194" s="4" t="s">
        <v>15</v>
      </c>
      <c r="C2194" s="34">
        <f>IF(C2193&gt;D2193,C2193-D2193," ")</f>
        <v>607.25</v>
      </c>
      <c r="D2194" s="34" t="str">
        <f>IF(D2193&gt;C2193,D2193-C2193," ")</f>
        <v xml:space="preserve"> </v>
      </c>
    </row>
    <row r="2195" spans="1:4" hidden="1" x14ac:dyDescent="0.25">
      <c r="A2195" s="4">
        <v>36538</v>
      </c>
      <c r="B2195" s="4" t="s">
        <v>85</v>
      </c>
      <c r="C2195" s="34"/>
      <c r="D2195" s="34">
        <v>600</v>
      </c>
    </row>
    <row r="2196" spans="1:4" hidden="1" x14ac:dyDescent="0.25">
      <c r="A2196" s="4"/>
      <c r="B2196" s="4"/>
      <c r="C2196" s="34"/>
      <c r="D2196" s="34"/>
    </row>
    <row r="2197" spans="1:4" hidden="1" x14ac:dyDescent="0.25">
      <c r="A2197" s="4">
        <v>36707</v>
      </c>
      <c r="B2197" t="s">
        <v>14</v>
      </c>
      <c r="C2197" s="36">
        <f>SUM(C2194:C2196)</f>
        <v>607.25</v>
      </c>
      <c r="D2197" s="36">
        <f>SUM(D2194:D2196)</f>
        <v>600</v>
      </c>
    </row>
    <row r="2198" spans="1:4" hidden="1" x14ac:dyDescent="0.25">
      <c r="A2198" s="4"/>
      <c r="B2198" s="4" t="s">
        <v>15</v>
      </c>
      <c r="C2198" s="34">
        <f>IF(C2197&gt;D2197,C2197-D2197," ")</f>
        <v>7.25</v>
      </c>
      <c r="D2198" s="34" t="str">
        <f>IF(D2197&gt;C2197,D2197-C2197," ")</f>
        <v xml:space="preserve"> </v>
      </c>
    </row>
    <row r="2199" spans="1:4" hidden="1" x14ac:dyDescent="0.25">
      <c r="A2199" s="4">
        <v>36708</v>
      </c>
      <c r="B2199" s="4" t="s">
        <v>86</v>
      </c>
      <c r="C2199" s="34"/>
      <c r="D2199" s="34">
        <v>7.25</v>
      </c>
    </row>
    <row r="2200" spans="1:4" hidden="1" x14ac:dyDescent="0.25">
      <c r="A2200" s="4">
        <v>37072</v>
      </c>
      <c r="B2200" t="s">
        <v>14</v>
      </c>
      <c r="C2200" s="36">
        <f>SUM(C2198:C2199)</f>
        <v>7.25</v>
      </c>
      <c r="D2200" s="36">
        <f>SUM(D2198:D2199)</f>
        <v>7.25</v>
      </c>
    </row>
    <row r="2201" spans="1:4" x14ac:dyDescent="0.25">
      <c r="A2201" s="4"/>
      <c r="B2201" s="4" t="s">
        <v>15</v>
      </c>
      <c r="C2201" s="34" t="str">
        <f>IF(C2200&gt;D2200,C2200-D2200," ")</f>
        <v xml:space="preserve"> </v>
      </c>
      <c r="D2201" s="34" t="str">
        <f>IF(D2200&gt;C2200,D2200-C2200," ")</f>
        <v xml:space="preserve"> </v>
      </c>
    </row>
    <row r="2202" spans="1:4" x14ac:dyDescent="0.25">
      <c r="C2202" s="34"/>
      <c r="D2202" s="34"/>
    </row>
    <row r="2203" spans="1:4" x14ac:dyDescent="0.25">
      <c r="A2203" s="30" t="s">
        <v>87</v>
      </c>
      <c r="C2203" s="34"/>
      <c r="D2203" s="34"/>
    </row>
    <row r="2204" spans="1:4" x14ac:dyDescent="0.25">
      <c r="A2204" s="30" t="s">
        <v>2</v>
      </c>
      <c r="B2204" s="1" t="s">
        <v>3</v>
      </c>
      <c r="C2204" s="35" t="s">
        <v>4</v>
      </c>
      <c r="D2204" s="35" t="s">
        <v>5</v>
      </c>
    </row>
    <row r="2205" spans="1:4" hidden="1" x14ac:dyDescent="0.25">
      <c r="A2205" s="4">
        <v>35976</v>
      </c>
      <c r="B2205" t="s">
        <v>88</v>
      </c>
      <c r="C2205" s="34">
        <v>389</v>
      </c>
      <c r="D2205" s="34"/>
    </row>
    <row r="2206" spans="1:4" hidden="1" x14ac:dyDescent="0.25">
      <c r="A2206" s="4">
        <v>35976</v>
      </c>
      <c r="B2206" t="s">
        <v>14</v>
      </c>
      <c r="C2206" s="36">
        <f>SUM(C2205:C2205)</f>
        <v>389</v>
      </c>
      <c r="D2206" s="36">
        <f>SUM(D2205:D2205)</f>
        <v>0</v>
      </c>
    </row>
    <row r="2207" spans="1:4" x14ac:dyDescent="0.25">
      <c r="A2207" s="4"/>
      <c r="B2207" s="4" t="s">
        <v>15</v>
      </c>
      <c r="C2207" s="34">
        <f>IF(C2206&gt;D2206,C2206-D2206," ")</f>
        <v>389</v>
      </c>
      <c r="D2207" s="34" t="str">
        <f>IF(D2206&gt;C2206,D2206-C2206," ")</f>
        <v xml:space="preserve"> </v>
      </c>
    </row>
    <row r="2208" spans="1:4" x14ac:dyDescent="0.25">
      <c r="C2208" s="34"/>
      <c r="D2208" s="34"/>
    </row>
    <row r="2209" spans="1:4" x14ac:dyDescent="0.25">
      <c r="A2209" s="30" t="s">
        <v>89</v>
      </c>
      <c r="C2209" s="34"/>
      <c r="D2209" s="34"/>
    </row>
    <row r="2210" spans="1:4" x14ac:dyDescent="0.25">
      <c r="A2210" s="30" t="s">
        <v>2</v>
      </c>
      <c r="B2210" s="1" t="s">
        <v>3</v>
      </c>
      <c r="C2210" s="35" t="s">
        <v>4</v>
      </c>
      <c r="D2210" s="35" t="s">
        <v>5</v>
      </c>
    </row>
    <row r="2211" spans="1:4" hidden="1" x14ac:dyDescent="0.25">
      <c r="A2211" s="4">
        <v>35976</v>
      </c>
      <c r="B2211" t="s">
        <v>90</v>
      </c>
      <c r="C2211" s="34"/>
      <c r="D2211" s="34">
        <f>652+584.4</f>
        <v>1236.4000000000001</v>
      </c>
    </row>
    <row r="2212" spans="1:4" hidden="1" x14ac:dyDescent="0.25">
      <c r="A2212" s="4">
        <v>35976</v>
      </c>
      <c r="B2212" t="s">
        <v>91</v>
      </c>
      <c r="C2212" s="34"/>
      <c r="D2212" s="34">
        <v>389</v>
      </c>
    </row>
    <row r="2213" spans="1:4" hidden="1" x14ac:dyDescent="0.25">
      <c r="A2213" s="4">
        <v>35976</v>
      </c>
      <c r="B2213" t="s">
        <v>14</v>
      </c>
      <c r="C2213" s="36">
        <f>SUM(C2211:C2212)</f>
        <v>0</v>
      </c>
      <c r="D2213" s="36">
        <f>SUM(D2211:D2212)</f>
        <v>1625.4</v>
      </c>
    </row>
    <row r="2214" spans="1:4" hidden="1" x14ac:dyDescent="0.25">
      <c r="A2214" s="4"/>
      <c r="B2214" s="4" t="s">
        <v>15</v>
      </c>
      <c r="C2214" s="34" t="str">
        <f>IF(C2213&gt;D2213,C2213-D2213," ")</f>
        <v xml:space="preserve"> </v>
      </c>
      <c r="D2214" s="34">
        <f>IF(D2213&gt;C2213,D2213-C2213," ")</f>
        <v>1625.4</v>
      </c>
    </row>
    <row r="2215" spans="1:4" hidden="1" x14ac:dyDescent="0.25">
      <c r="A2215" s="4">
        <v>35978</v>
      </c>
      <c r="B2215" s="4" t="s">
        <v>92</v>
      </c>
      <c r="C2215" s="34">
        <v>1625.4</v>
      </c>
      <c r="D2215" s="34"/>
    </row>
    <row r="2216" spans="1:4" hidden="1" x14ac:dyDescent="0.25">
      <c r="A2216" s="4"/>
      <c r="B2216" s="4"/>
      <c r="C2216" s="34"/>
      <c r="D2216" s="34"/>
    </row>
    <row r="2217" spans="1:4" hidden="1" x14ac:dyDescent="0.25">
      <c r="A2217" s="4">
        <v>36341</v>
      </c>
      <c r="B2217" t="s">
        <v>14</v>
      </c>
      <c r="C2217" s="36">
        <f>SUM(C2214:C2216)</f>
        <v>1625.4</v>
      </c>
      <c r="D2217" s="36">
        <f>SUM(D2214:D2216)</f>
        <v>1625.4</v>
      </c>
    </row>
    <row r="2218" spans="1:4" x14ac:dyDescent="0.25">
      <c r="A2218" s="4"/>
      <c r="B2218" s="4" t="s">
        <v>15</v>
      </c>
      <c r="C2218" s="34" t="str">
        <f>IF(C2217&gt;D2217,C2217-D2217," ")</f>
        <v xml:space="preserve"> </v>
      </c>
      <c r="D2218" s="34" t="str">
        <f>IF(D2217&gt;C2217,D2217-C2217," ")</f>
        <v xml:space="preserve"> </v>
      </c>
    </row>
    <row r="2219" spans="1:4" x14ac:dyDescent="0.25">
      <c r="C2219" s="34"/>
      <c r="D2219" s="34"/>
    </row>
    <row r="2220" spans="1:4" x14ac:dyDescent="0.25">
      <c r="A2220" s="30" t="s">
        <v>93</v>
      </c>
      <c r="C2220" s="34"/>
      <c r="D2220" s="34"/>
    </row>
    <row r="2221" spans="1:4" x14ac:dyDescent="0.25">
      <c r="A2221" s="30" t="s">
        <v>2</v>
      </c>
      <c r="B2221" s="1" t="s">
        <v>3</v>
      </c>
      <c r="C2221" s="35" t="s">
        <v>4</v>
      </c>
      <c r="D2221" s="35" t="s">
        <v>5</v>
      </c>
    </row>
    <row r="2222" spans="1:4" hidden="1" x14ac:dyDescent="0.25">
      <c r="A2222" s="4">
        <v>35936</v>
      </c>
      <c r="B2222" t="s">
        <v>6</v>
      </c>
      <c r="C2222" s="34"/>
      <c r="D2222" s="34">
        <v>58394.3</v>
      </c>
    </row>
    <row r="2223" spans="1:4" hidden="1" x14ac:dyDescent="0.25">
      <c r="A2223" s="4">
        <v>35964</v>
      </c>
      <c r="B2223" t="s">
        <v>23</v>
      </c>
      <c r="C2223" s="34"/>
      <c r="D2223" s="34">
        <v>900</v>
      </c>
    </row>
    <row r="2224" spans="1:4" hidden="1" x14ac:dyDescent="0.25">
      <c r="A2224" s="4">
        <v>35976</v>
      </c>
      <c r="B2224" t="s">
        <v>14</v>
      </c>
      <c r="C2224" s="36">
        <f>SUM(C2222:C2223)</f>
        <v>0</v>
      </c>
      <c r="D2224" s="36">
        <f>SUM(D2222:D2223)</f>
        <v>59294.3</v>
      </c>
    </row>
    <row r="2225" spans="1:4" hidden="1" x14ac:dyDescent="0.25">
      <c r="A2225" s="4"/>
      <c r="B2225" s="4" t="s">
        <v>15</v>
      </c>
      <c r="C2225" s="34" t="str">
        <f>IF(C2224&gt;D2224,C2224-D2224," ")</f>
        <v xml:space="preserve"> </v>
      </c>
      <c r="D2225" s="34">
        <f>IF(D2224&gt;C2224,D2224-C2224," ")</f>
        <v>59294.3</v>
      </c>
    </row>
    <row r="2226" spans="1:4" hidden="1" x14ac:dyDescent="0.25">
      <c r="A2226" s="4">
        <v>35977</v>
      </c>
      <c r="B2226" s="4" t="s">
        <v>94</v>
      </c>
      <c r="C2226" s="34">
        <v>605.49</v>
      </c>
      <c r="D2226" s="34"/>
    </row>
    <row r="2227" spans="1:4" hidden="1" x14ac:dyDescent="0.25">
      <c r="A2227" s="4">
        <v>36006</v>
      </c>
      <c r="B2227" t="s">
        <v>23</v>
      </c>
      <c r="C2227" s="34"/>
      <c r="D2227" s="34">
        <v>450</v>
      </c>
    </row>
    <row r="2228" spans="1:4" hidden="1" x14ac:dyDescent="0.25">
      <c r="A2228" s="4">
        <v>36006</v>
      </c>
      <c r="B2228" s="4" t="s">
        <v>95</v>
      </c>
      <c r="C2228" s="34"/>
      <c r="D2228" s="34">
        <v>3007.79</v>
      </c>
    </row>
    <row r="2229" spans="1:4" hidden="1" x14ac:dyDescent="0.25">
      <c r="A2229" s="4">
        <v>36089</v>
      </c>
      <c r="B2229" t="s">
        <v>23</v>
      </c>
      <c r="C2229" s="34"/>
      <c r="D2229" s="34">
        <v>1723.08</v>
      </c>
    </row>
    <row r="2230" spans="1:4" hidden="1" x14ac:dyDescent="0.25">
      <c r="A2230" s="4">
        <v>36209</v>
      </c>
      <c r="B2230" t="s">
        <v>23</v>
      </c>
      <c r="C2230" s="34"/>
      <c r="D2230" s="34">
        <v>1507.69</v>
      </c>
    </row>
    <row r="2231" spans="1:4" hidden="1" x14ac:dyDescent="0.25">
      <c r="A2231" s="4">
        <v>36250</v>
      </c>
      <c r="B2231" t="s">
        <v>23</v>
      </c>
      <c r="C2231" s="34"/>
      <c r="D2231" s="34">
        <v>710.76</v>
      </c>
    </row>
    <row r="2232" spans="1:4" hidden="1" x14ac:dyDescent="0.25">
      <c r="A2232" s="4"/>
      <c r="C2232" s="34"/>
      <c r="D2232" s="34"/>
    </row>
    <row r="2233" spans="1:4" hidden="1" x14ac:dyDescent="0.25">
      <c r="A2233" s="4">
        <v>36341</v>
      </c>
      <c r="B2233" t="s">
        <v>14</v>
      </c>
      <c r="C2233" s="36">
        <f>SUM(C2225:C2232)</f>
        <v>605.49</v>
      </c>
      <c r="D2233" s="36">
        <f>SUM(D2225:D2232)</f>
        <v>66693.62</v>
      </c>
    </row>
    <row r="2234" spans="1:4" hidden="1" x14ac:dyDescent="0.25">
      <c r="A2234" s="4"/>
      <c r="B2234" s="4" t="s">
        <v>15</v>
      </c>
      <c r="C2234" s="34" t="str">
        <f>IF(C2233&gt;D2233,C2233-D2233," ")</f>
        <v xml:space="preserve"> </v>
      </c>
      <c r="D2234" s="34">
        <f>IF(D2233&gt;C2233,D2233-C2233," ")</f>
        <v>66088.12999999999</v>
      </c>
    </row>
    <row r="2235" spans="1:4" hidden="1" x14ac:dyDescent="0.25">
      <c r="A2235" s="4">
        <v>36342</v>
      </c>
      <c r="B2235" s="4" t="s">
        <v>96</v>
      </c>
      <c r="C2235" s="34"/>
      <c r="D2235" s="34">
        <v>7187.49</v>
      </c>
    </row>
    <row r="2236" spans="1:4" hidden="1" x14ac:dyDescent="0.25">
      <c r="A2236" s="4"/>
      <c r="C2236" s="34"/>
      <c r="D2236" s="34"/>
    </row>
    <row r="2237" spans="1:4" hidden="1" x14ac:dyDescent="0.25">
      <c r="A2237" s="4">
        <v>36707</v>
      </c>
      <c r="B2237" t="s">
        <v>14</v>
      </c>
      <c r="C2237" s="36">
        <f>SUM(C2234:C2236)</f>
        <v>0</v>
      </c>
      <c r="D2237" s="36">
        <f>SUM(D2234:D2236)</f>
        <v>73275.62</v>
      </c>
    </row>
    <row r="2238" spans="1:4" hidden="1" x14ac:dyDescent="0.25">
      <c r="A2238" s="4"/>
      <c r="B2238" s="4" t="s">
        <v>15</v>
      </c>
      <c r="C2238" s="34" t="str">
        <f>IF(C2237&gt;D2237,C2237-D2237," ")</f>
        <v xml:space="preserve"> </v>
      </c>
      <c r="D2238" s="34">
        <f>IF(D2237&gt;C2237,D2237-C2237," ")</f>
        <v>73275.62</v>
      </c>
    </row>
    <row r="2239" spans="1:4" hidden="1" x14ac:dyDescent="0.25">
      <c r="A2239" s="4">
        <v>36708</v>
      </c>
      <c r="B2239" s="4" t="s">
        <v>97</v>
      </c>
      <c r="C2239" s="34"/>
      <c r="D2239" s="34">
        <v>1199.33</v>
      </c>
    </row>
    <row r="2240" spans="1:4" hidden="1" x14ac:dyDescent="0.25">
      <c r="A2240" s="4">
        <v>36829</v>
      </c>
      <c r="B2240" s="4" t="s">
        <v>49</v>
      </c>
      <c r="C2240" s="34"/>
      <c r="D2240" s="34">
        <v>8256.8799999999992</v>
      </c>
    </row>
    <row r="2241" spans="1:4" hidden="1" x14ac:dyDescent="0.25">
      <c r="A2241" s="4">
        <v>37071</v>
      </c>
      <c r="B2241" s="4" t="s">
        <v>49</v>
      </c>
      <c r="C2241" s="34"/>
      <c r="D2241" s="34">
        <v>5369.11</v>
      </c>
    </row>
    <row r="2242" spans="1:4" hidden="1" x14ac:dyDescent="0.25">
      <c r="A2242" s="4">
        <v>37072</v>
      </c>
      <c r="B2242" t="s">
        <v>14</v>
      </c>
      <c r="C2242" s="36">
        <f>SUM(C2238:C2241)</f>
        <v>0</v>
      </c>
      <c r="D2242" s="36">
        <f>SUM(D2238:D2241)</f>
        <v>88100.94</v>
      </c>
    </row>
    <row r="2243" spans="1:4" hidden="1" x14ac:dyDescent="0.25">
      <c r="A2243" s="4"/>
      <c r="B2243" s="4" t="s">
        <v>15</v>
      </c>
      <c r="C2243" s="34" t="str">
        <f>IF(C2242&gt;D2242,C2242-D2242," ")</f>
        <v xml:space="preserve"> </v>
      </c>
      <c r="D2243" s="34">
        <f>IF(D2242&gt;C2242,D2242-C2242," ")</f>
        <v>88100.94</v>
      </c>
    </row>
    <row r="2244" spans="1:4" hidden="1" x14ac:dyDescent="0.25">
      <c r="A2244" s="4">
        <v>37073</v>
      </c>
      <c r="B2244" s="4" t="s">
        <v>164</v>
      </c>
      <c r="C2244" s="34"/>
      <c r="D2244" s="34">
        <v>1446.72</v>
      </c>
    </row>
    <row r="2245" spans="1:4" s="23" customFormat="1" hidden="1" x14ac:dyDescent="0.25">
      <c r="A2245" s="24">
        <v>37432</v>
      </c>
      <c r="B2245" s="24" t="s">
        <v>175</v>
      </c>
      <c r="C2245" s="37"/>
      <c r="D2245" s="37">
        <v>7390.34</v>
      </c>
    </row>
    <row r="2246" spans="1:4" s="25" customFormat="1" hidden="1" x14ac:dyDescent="0.25">
      <c r="A2246" s="4">
        <v>37437</v>
      </c>
      <c r="B2246" t="s">
        <v>14</v>
      </c>
      <c r="C2246" s="36">
        <f>SUM(C2243:C2245)</f>
        <v>0</v>
      </c>
      <c r="D2246" s="36">
        <f>SUM(D2243:D2245)</f>
        <v>96938</v>
      </c>
    </row>
    <row r="2247" spans="1:4" s="23" customFormat="1" hidden="1" x14ac:dyDescent="0.25">
      <c r="A2247" s="4"/>
      <c r="B2247" s="4" t="s">
        <v>15</v>
      </c>
      <c r="C2247" s="34" t="str">
        <f>IF(C2246&gt;D2246,C2246-D2246," ")</f>
        <v xml:space="preserve"> </v>
      </c>
      <c r="D2247" s="34">
        <f>IF(D2246&gt;C2246,D2246-C2246," ")</f>
        <v>96938</v>
      </c>
    </row>
    <row r="2248" spans="1:4" s="23" customFormat="1" hidden="1" x14ac:dyDescent="0.25">
      <c r="A2248" s="4">
        <v>37789</v>
      </c>
      <c r="B2248" s="24" t="s">
        <v>175</v>
      </c>
      <c r="C2248" s="34"/>
      <c r="D2248" s="34">
        <v>8321.6</v>
      </c>
    </row>
    <row r="2249" spans="1:4" s="23" customFormat="1" hidden="1" x14ac:dyDescent="0.25">
      <c r="A2249" s="4">
        <v>37438</v>
      </c>
      <c r="B2249" s="4" t="s">
        <v>189</v>
      </c>
      <c r="C2249" s="34"/>
      <c r="D2249" s="34">
        <v>6174.44</v>
      </c>
    </row>
    <row r="2250" spans="1:4" s="23" customFormat="1" hidden="1" x14ac:dyDescent="0.25">
      <c r="A2250" s="4">
        <v>37802</v>
      </c>
      <c r="B2250" t="s">
        <v>14</v>
      </c>
      <c r="C2250" s="36">
        <f>SUM(C2247:C2249)</f>
        <v>0</v>
      </c>
      <c r="D2250" s="36">
        <f>SUM(D2247:D2249)</f>
        <v>111434.04000000001</v>
      </c>
    </row>
    <row r="2251" spans="1:4" s="23" customFormat="1" hidden="1" x14ac:dyDescent="0.25">
      <c r="A2251" s="4"/>
      <c r="B2251" s="4" t="s">
        <v>15</v>
      </c>
      <c r="C2251" s="34" t="str">
        <f>IF(C2250&gt;D2250,C2250-D2250," ")</f>
        <v xml:space="preserve"> </v>
      </c>
      <c r="D2251" s="34">
        <f>IF(D2250&gt;C2250,D2250-C2250," ")</f>
        <v>111434.04000000001</v>
      </c>
    </row>
    <row r="2252" spans="1:4" s="23" customFormat="1" hidden="1" x14ac:dyDescent="0.25">
      <c r="A2252" s="4">
        <v>38162</v>
      </c>
      <c r="B2252" s="24" t="s">
        <v>175</v>
      </c>
      <c r="C2252" s="34"/>
      <c r="D2252" s="34">
        <v>5000</v>
      </c>
    </row>
    <row r="2253" spans="1:4" s="23" customFormat="1" hidden="1" x14ac:dyDescent="0.25">
      <c r="A2253" s="4">
        <v>37803</v>
      </c>
      <c r="B2253" s="4" t="s">
        <v>192</v>
      </c>
      <c r="C2253" s="34"/>
      <c r="D2253" s="34">
        <v>5939.66</v>
      </c>
    </row>
    <row r="2254" spans="1:4" s="23" customFormat="1" hidden="1" x14ac:dyDescent="0.25">
      <c r="A2254" s="4">
        <v>38168</v>
      </c>
      <c r="B2254" t="s">
        <v>14</v>
      </c>
      <c r="C2254" s="36">
        <f>SUM(C2251:C2253)</f>
        <v>0</v>
      </c>
      <c r="D2254" s="36">
        <f>SUM(D2251:D2253)</f>
        <v>122373.70000000001</v>
      </c>
    </row>
    <row r="2255" spans="1:4" s="23" customFormat="1" hidden="1" x14ac:dyDescent="0.25">
      <c r="A2255" s="4"/>
      <c r="B2255" s="4" t="s">
        <v>15</v>
      </c>
      <c r="C2255" s="34" t="str">
        <f>IF(C2254&gt;D2254,C2254-D2254," ")</f>
        <v xml:space="preserve"> </v>
      </c>
      <c r="D2255" s="34">
        <f>IF(D2254&gt;C2254,D2254-C2254," ")</f>
        <v>122373.70000000001</v>
      </c>
    </row>
    <row r="2256" spans="1:4" s="23" customFormat="1" hidden="1" x14ac:dyDescent="0.25">
      <c r="A2256" s="4">
        <v>38169</v>
      </c>
      <c r="B2256" s="4" t="s">
        <v>207</v>
      </c>
      <c r="C2256" s="34"/>
      <c r="D2256" s="34">
        <v>19970.400000000001</v>
      </c>
    </row>
    <row r="2257" spans="1:4" s="23" customFormat="1" hidden="1" x14ac:dyDescent="0.25">
      <c r="A2257" s="4">
        <v>38533</v>
      </c>
      <c r="B2257" t="s">
        <v>14</v>
      </c>
      <c r="C2257" s="36">
        <f>SUM(C2255:C2256)</f>
        <v>0</v>
      </c>
      <c r="D2257" s="36">
        <f>SUM(D2255:D2256)</f>
        <v>142344.1</v>
      </c>
    </row>
    <row r="2258" spans="1:4" s="23" customFormat="1" hidden="1" x14ac:dyDescent="0.25">
      <c r="A2258" s="4"/>
      <c r="B2258" s="4" t="s">
        <v>15</v>
      </c>
      <c r="C2258" s="34" t="str">
        <f>IF(C2257&gt;D2257,C2257-D2257," ")</f>
        <v xml:space="preserve"> </v>
      </c>
      <c r="D2258" s="34">
        <f>IF(D2257&gt;C2257,D2257-C2257," ")</f>
        <v>142344.1</v>
      </c>
    </row>
    <row r="2259" spans="1:4" s="23" customFormat="1" hidden="1" x14ac:dyDescent="0.25">
      <c r="A2259" s="4">
        <v>38534</v>
      </c>
      <c r="B2259" s="4" t="s">
        <v>245</v>
      </c>
      <c r="C2259" s="34"/>
      <c r="D2259" s="34">
        <v>29988.16</v>
      </c>
    </row>
    <row r="2260" spans="1:4" s="23" customFormat="1" hidden="1" x14ac:dyDescent="0.25">
      <c r="A2260" s="4">
        <v>38636</v>
      </c>
      <c r="B2260" s="4" t="s">
        <v>230</v>
      </c>
      <c r="C2260" s="34"/>
      <c r="D2260" s="34">
        <v>776.56</v>
      </c>
    </row>
    <row r="2261" spans="1:4" s="23" customFormat="1" hidden="1" x14ac:dyDescent="0.25">
      <c r="A2261" s="4">
        <v>38649</v>
      </c>
      <c r="B2261" s="4" t="s">
        <v>236</v>
      </c>
      <c r="C2261" s="34"/>
      <c r="D2261" s="34">
        <v>18718.650000000001</v>
      </c>
    </row>
    <row r="2262" spans="1:4" s="23" customFormat="1" hidden="1" x14ac:dyDescent="0.25">
      <c r="A2262" s="4">
        <v>38714</v>
      </c>
      <c r="B2262" s="4" t="s">
        <v>230</v>
      </c>
      <c r="C2262" s="34"/>
      <c r="D2262" s="34">
        <v>851.95</v>
      </c>
    </row>
    <row r="2263" spans="1:4" s="23" customFormat="1" hidden="1" x14ac:dyDescent="0.25">
      <c r="A2263" s="4">
        <v>38744</v>
      </c>
      <c r="B2263" s="4" t="s">
        <v>230</v>
      </c>
      <c r="C2263" s="34"/>
      <c r="D2263" s="34">
        <f t="shared" ref="D2263:D2269" si="0">851.95/2</f>
        <v>425.97500000000002</v>
      </c>
    </row>
    <row r="2264" spans="1:4" s="23" customFormat="1" hidden="1" x14ac:dyDescent="0.25">
      <c r="A2264" s="4">
        <v>38762</v>
      </c>
      <c r="B2264" s="4" t="s">
        <v>230</v>
      </c>
      <c r="C2264" s="34"/>
      <c r="D2264" s="34">
        <f t="shared" si="0"/>
        <v>425.97500000000002</v>
      </c>
    </row>
    <row r="2265" spans="1:4" s="23" customFormat="1" hidden="1" x14ac:dyDescent="0.25">
      <c r="A2265" s="4">
        <v>38779</v>
      </c>
      <c r="B2265" s="4" t="s">
        <v>230</v>
      </c>
      <c r="C2265" s="34"/>
      <c r="D2265" s="34">
        <f t="shared" si="0"/>
        <v>425.97500000000002</v>
      </c>
    </row>
    <row r="2266" spans="1:4" s="23" customFormat="1" hidden="1" x14ac:dyDescent="0.25">
      <c r="A2266" s="4">
        <v>38805</v>
      </c>
      <c r="B2266" s="4" t="s">
        <v>230</v>
      </c>
      <c r="C2266" s="34"/>
      <c r="D2266" s="34">
        <f t="shared" si="0"/>
        <v>425.97500000000002</v>
      </c>
    </row>
    <row r="2267" spans="1:4" s="23" customFormat="1" hidden="1" x14ac:dyDescent="0.25">
      <c r="A2267" s="4">
        <v>38840</v>
      </c>
      <c r="B2267" s="4" t="s">
        <v>230</v>
      </c>
      <c r="C2267" s="34"/>
      <c r="D2267" s="34">
        <f t="shared" si="0"/>
        <v>425.97500000000002</v>
      </c>
    </row>
    <row r="2268" spans="1:4" s="23" customFormat="1" hidden="1" x14ac:dyDescent="0.25">
      <c r="A2268" s="4">
        <v>38884</v>
      </c>
      <c r="B2268" s="4" t="s">
        <v>230</v>
      </c>
      <c r="C2268" s="34"/>
      <c r="D2268" s="34">
        <f t="shared" si="0"/>
        <v>425.97500000000002</v>
      </c>
    </row>
    <row r="2269" spans="1:4" s="23" customFormat="1" hidden="1" x14ac:dyDescent="0.25">
      <c r="A2269" s="4">
        <v>38888</v>
      </c>
      <c r="B2269" s="4" t="s">
        <v>230</v>
      </c>
      <c r="C2269" s="34"/>
      <c r="D2269" s="34">
        <f t="shared" si="0"/>
        <v>425.97500000000002</v>
      </c>
    </row>
    <row r="2270" spans="1:4" s="23" customFormat="1" hidden="1" x14ac:dyDescent="0.25">
      <c r="A2270" s="4"/>
      <c r="B2270" s="4"/>
      <c r="C2270" s="34"/>
      <c r="D2270" s="34"/>
    </row>
    <row r="2271" spans="1:4" s="23" customFormat="1" hidden="1" x14ac:dyDescent="0.25">
      <c r="A2271" s="4">
        <v>38898</v>
      </c>
      <c r="B2271" t="s">
        <v>14</v>
      </c>
      <c r="C2271" s="36">
        <f>SUM(C2258:C2270)</f>
        <v>0</v>
      </c>
      <c r="D2271" s="36">
        <f>SUM(D2258:D2270)</f>
        <v>195661.24500000005</v>
      </c>
    </row>
    <row r="2272" spans="1:4" s="23" customFormat="1" hidden="1" x14ac:dyDescent="0.25">
      <c r="A2272" s="4"/>
      <c r="B2272" s="4" t="s">
        <v>15</v>
      </c>
      <c r="C2272" s="34" t="str">
        <f>IF(C2271&gt;D2271,C2271-D2271," ")</f>
        <v xml:space="preserve"> </v>
      </c>
      <c r="D2272" s="34">
        <f>IF(D2271&gt;C2271,D2271-C2271," ")</f>
        <v>195661.24500000005</v>
      </c>
    </row>
    <row r="2273" spans="1:4" s="23" customFormat="1" hidden="1" x14ac:dyDescent="0.25">
      <c r="A2273" s="4">
        <v>38899</v>
      </c>
      <c r="B2273" s="4" t="s">
        <v>252</v>
      </c>
      <c r="C2273" s="34"/>
      <c r="D2273" s="34">
        <v>11414.72</v>
      </c>
    </row>
    <row r="2274" spans="1:4" s="23" customFormat="1" hidden="1" x14ac:dyDescent="0.25">
      <c r="A2274" s="4">
        <v>38905</v>
      </c>
      <c r="B2274" s="4" t="s">
        <v>230</v>
      </c>
      <c r="C2274" s="34"/>
      <c r="D2274" s="34">
        <f>851.95/2</f>
        <v>425.97500000000002</v>
      </c>
    </row>
    <row r="2275" spans="1:4" s="23" customFormat="1" hidden="1" x14ac:dyDescent="0.25">
      <c r="A2275" s="4">
        <v>38937</v>
      </c>
      <c r="B2275" s="4" t="s">
        <v>230</v>
      </c>
      <c r="C2275" s="34"/>
      <c r="D2275" s="34">
        <f>1003.08/2</f>
        <v>501.54</v>
      </c>
    </row>
    <row r="2276" spans="1:4" s="23" customFormat="1" hidden="1" x14ac:dyDescent="0.25">
      <c r="A2276" s="4">
        <v>38957</v>
      </c>
      <c r="B2276" s="4" t="s">
        <v>230</v>
      </c>
      <c r="C2276" s="34"/>
      <c r="D2276" s="34">
        <f t="shared" ref="D2276:D2284" si="1">1047.9/2</f>
        <v>523.95000000000005</v>
      </c>
    </row>
    <row r="2277" spans="1:4" s="23" customFormat="1" hidden="1" x14ac:dyDescent="0.25">
      <c r="A2277" s="4">
        <v>38985</v>
      </c>
      <c r="B2277" s="4" t="s">
        <v>230</v>
      </c>
      <c r="C2277" s="34"/>
      <c r="D2277" s="34">
        <f t="shared" si="1"/>
        <v>523.95000000000005</v>
      </c>
    </row>
    <row r="2278" spans="1:4" s="23" customFormat="1" hidden="1" x14ac:dyDescent="0.25">
      <c r="A2278" s="4">
        <v>39021</v>
      </c>
      <c r="B2278" s="4" t="s">
        <v>230</v>
      </c>
      <c r="C2278" s="34"/>
      <c r="D2278" s="34">
        <f t="shared" si="1"/>
        <v>523.95000000000005</v>
      </c>
    </row>
    <row r="2279" spans="1:4" s="23" customFormat="1" hidden="1" x14ac:dyDescent="0.25">
      <c r="A2279" s="4">
        <v>39045</v>
      </c>
      <c r="B2279" s="4" t="s">
        <v>230</v>
      </c>
      <c r="C2279" s="34"/>
      <c r="D2279" s="34">
        <f t="shared" si="1"/>
        <v>523.95000000000005</v>
      </c>
    </row>
    <row r="2280" spans="1:4" s="23" customFormat="1" hidden="1" x14ac:dyDescent="0.25">
      <c r="A2280" s="4">
        <v>39072</v>
      </c>
      <c r="B2280" s="4" t="s">
        <v>230</v>
      </c>
      <c r="C2280" s="34"/>
      <c r="D2280" s="34">
        <f t="shared" si="1"/>
        <v>523.95000000000005</v>
      </c>
    </row>
    <row r="2281" spans="1:4" s="23" customFormat="1" hidden="1" x14ac:dyDescent="0.25">
      <c r="A2281" s="4">
        <v>39104</v>
      </c>
      <c r="B2281" s="4" t="s">
        <v>230</v>
      </c>
      <c r="C2281" s="34"/>
      <c r="D2281" s="34">
        <f t="shared" si="1"/>
        <v>523.95000000000005</v>
      </c>
    </row>
    <row r="2282" spans="1:4" s="23" customFormat="1" hidden="1" x14ac:dyDescent="0.25">
      <c r="A2282" s="4">
        <v>39140</v>
      </c>
      <c r="B2282" s="4" t="s">
        <v>230</v>
      </c>
      <c r="C2282" s="34"/>
      <c r="D2282" s="34">
        <f t="shared" si="1"/>
        <v>523.95000000000005</v>
      </c>
    </row>
    <row r="2283" spans="1:4" s="23" customFormat="1" hidden="1" x14ac:dyDescent="0.25">
      <c r="A2283" s="4">
        <v>39164</v>
      </c>
      <c r="B2283" s="4" t="s">
        <v>230</v>
      </c>
      <c r="C2283" s="34"/>
      <c r="D2283" s="34">
        <f t="shared" si="1"/>
        <v>523.95000000000005</v>
      </c>
    </row>
    <row r="2284" spans="1:4" s="23" customFormat="1" hidden="1" x14ac:dyDescent="0.25">
      <c r="A2284" s="4">
        <v>39195</v>
      </c>
      <c r="B2284" s="4" t="s">
        <v>230</v>
      </c>
      <c r="C2284" s="34"/>
      <c r="D2284" s="34">
        <f t="shared" si="1"/>
        <v>523.95000000000005</v>
      </c>
    </row>
    <row r="2285" spans="1:4" s="23" customFormat="1" hidden="1" x14ac:dyDescent="0.25">
      <c r="A2285" s="4">
        <v>39199</v>
      </c>
      <c r="B2285" s="4" t="s">
        <v>268</v>
      </c>
      <c r="C2285" s="34"/>
      <c r="D2285" s="34">
        <v>29.97</v>
      </c>
    </row>
    <row r="2286" spans="1:4" s="23" customFormat="1" hidden="1" x14ac:dyDescent="0.25">
      <c r="A2286" s="4">
        <v>39225</v>
      </c>
      <c r="B2286" s="4" t="s">
        <v>230</v>
      </c>
      <c r="C2286" s="34"/>
      <c r="D2286" s="34">
        <f>1047.9/2</f>
        <v>523.95000000000005</v>
      </c>
    </row>
    <row r="2287" spans="1:4" s="23" customFormat="1" hidden="1" x14ac:dyDescent="0.25">
      <c r="A2287" s="4">
        <v>39251</v>
      </c>
      <c r="B2287" s="4" t="s">
        <v>230</v>
      </c>
      <c r="C2287" s="34"/>
      <c r="D2287" s="34">
        <f>1047.9/2</f>
        <v>523.95000000000005</v>
      </c>
    </row>
    <row r="2288" spans="1:4" s="23" customFormat="1" hidden="1" x14ac:dyDescent="0.25">
      <c r="A2288" s="4">
        <v>39255</v>
      </c>
      <c r="B2288" s="4" t="s">
        <v>230</v>
      </c>
      <c r="C2288" s="34"/>
      <c r="D2288" s="34">
        <v>27.9</v>
      </c>
    </row>
    <row r="2289" spans="1:4" s="23" customFormat="1" hidden="1" x14ac:dyDescent="0.25">
      <c r="A2289" s="4">
        <v>39263</v>
      </c>
      <c r="B2289" t="s">
        <v>14</v>
      </c>
      <c r="C2289" s="36">
        <f>SUM(C2272:C2288)</f>
        <v>0</v>
      </c>
      <c r="D2289" s="36">
        <f>SUM(D2272:D2288)</f>
        <v>213824.80000000019</v>
      </c>
    </row>
    <row r="2290" spans="1:4" s="23" customFormat="1" hidden="1" x14ac:dyDescent="0.25">
      <c r="A2290" s="4"/>
      <c r="B2290" s="4" t="s">
        <v>15</v>
      </c>
      <c r="C2290" s="34" t="str">
        <f>IF(C2289&gt;D2289,C2289-D2289," ")</f>
        <v xml:space="preserve"> </v>
      </c>
      <c r="D2290" s="34">
        <f>IF(D2289&gt;C2289,D2289-C2289," ")</f>
        <v>213824.80000000019</v>
      </c>
    </row>
    <row r="2291" spans="1:4" s="23" customFormat="1" hidden="1" x14ac:dyDescent="0.25">
      <c r="A2291" s="4">
        <v>39264</v>
      </c>
      <c r="B2291" s="4" t="s">
        <v>285</v>
      </c>
      <c r="C2291" s="34"/>
      <c r="D2291" s="34">
        <v>61272.31</v>
      </c>
    </row>
    <row r="2292" spans="1:4" s="23" customFormat="1" hidden="1" x14ac:dyDescent="0.25">
      <c r="A2292" s="4">
        <v>39283</v>
      </c>
      <c r="B2292" s="4" t="s">
        <v>293</v>
      </c>
      <c r="C2292" s="34"/>
      <c r="D2292" s="34">
        <f>1396.86/2</f>
        <v>698.43</v>
      </c>
    </row>
    <row r="2293" spans="1:4" s="23" customFormat="1" hidden="1" x14ac:dyDescent="0.25">
      <c r="A2293" s="4">
        <v>39316</v>
      </c>
      <c r="B2293" s="4" t="s">
        <v>293</v>
      </c>
      <c r="C2293" s="34"/>
      <c r="D2293" s="34">
        <f>1396.86/2</f>
        <v>698.43</v>
      </c>
    </row>
    <row r="2294" spans="1:4" s="23" customFormat="1" hidden="1" x14ac:dyDescent="0.25">
      <c r="A2294" s="4">
        <v>39346</v>
      </c>
      <c r="B2294" s="4" t="s">
        <v>293</v>
      </c>
      <c r="C2294" s="34"/>
      <c r="D2294" s="34">
        <f>488.59/2</f>
        <v>244.29499999999999</v>
      </c>
    </row>
    <row r="2295" spans="1:4" s="23" customFormat="1" hidden="1" x14ac:dyDescent="0.25">
      <c r="A2295" s="4">
        <v>39378</v>
      </c>
      <c r="B2295" s="4" t="s">
        <v>293</v>
      </c>
      <c r="C2295" s="34"/>
      <c r="D2295" s="34">
        <f>1396.86/2</f>
        <v>698.43</v>
      </c>
    </row>
    <row r="2296" spans="1:4" s="23" customFormat="1" hidden="1" x14ac:dyDescent="0.25">
      <c r="A2296" s="4">
        <v>39408</v>
      </c>
      <c r="B2296" s="4" t="s">
        <v>293</v>
      </c>
      <c r="C2296" s="34"/>
      <c r="D2296" s="34">
        <f>1396.86/2</f>
        <v>698.43</v>
      </c>
    </row>
    <row r="2297" spans="1:4" s="23" customFormat="1" hidden="1" x14ac:dyDescent="0.25">
      <c r="A2297" s="4">
        <v>39437</v>
      </c>
      <c r="B2297" s="4" t="s">
        <v>293</v>
      </c>
      <c r="C2297" s="34"/>
      <c r="D2297" s="34">
        <f>488.59/2</f>
        <v>244.29499999999999</v>
      </c>
    </row>
    <row r="2298" spans="1:4" s="23" customFormat="1" hidden="1" x14ac:dyDescent="0.25">
      <c r="A2298" s="4">
        <v>39470</v>
      </c>
      <c r="B2298" s="4" t="s">
        <v>293</v>
      </c>
      <c r="C2298" s="34"/>
      <c r="D2298" s="34">
        <f>1396.86/2</f>
        <v>698.43</v>
      </c>
    </row>
    <row r="2299" spans="1:4" s="23" customFormat="1" hidden="1" x14ac:dyDescent="0.25">
      <c r="A2299" s="4">
        <v>39503</v>
      </c>
      <c r="B2299" s="4" t="s">
        <v>293</v>
      </c>
      <c r="C2299" s="34"/>
      <c r="D2299" s="34">
        <f>1396.86/2</f>
        <v>698.43</v>
      </c>
    </row>
    <row r="2300" spans="1:4" s="23" customFormat="1" hidden="1" x14ac:dyDescent="0.25">
      <c r="A2300" s="4">
        <v>39532</v>
      </c>
      <c r="B2300" s="4" t="s">
        <v>293</v>
      </c>
      <c r="C2300" s="34"/>
      <c r="D2300" s="34">
        <f>488.59/2</f>
        <v>244.29499999999999</v>
      </c>
    </row>
    <row r="2301" spans="1:4" s="23" customFormat="1" hidden="1" x14ac:dyDescent="0.25">
      <c r="A2301" s="4">
        <v>39570</v>
      </c>
      <c r="B2301" s="4" t="s">
        <v>293</v>
      </c>
      <c r="C2301" s="34"/>
      <c r="D2301" s="34">
        <f>1396.86/2</f>
        <v>698.43</v>
      </c>
    </row>
    <row r="2302" spans="1:4" s="23" customFormat="1" hidden="1" x14ac:dyDescent="0.25">
      <c r="A2302" s="4">
        <v>39591</v>
      </c>
      <c r="B2302" s="4" t="s">
        <v>293</v>
      </c>
      <c r="C2302" s="34"/>
      <c r="D2302" s="34">
        <f>1396.86/2</f>
        <v>698.43</v>
      </c>
    </row>
    <row r="2303" spans="1:4" s="23" customFormat="1" hidden="1" x14ac:dyDescent="0.25">
      <c r="A2303" s="4">
        <v>39612</v>
      </c>
      <c r="B2303" s="4" t="s">
        <v>293</v>
      </c>
      <c r="C2303" s="34"/>
      <c r="D2303" s="34">
        <f>319.5/2</f>
        <v>159.75</v>
      </c>
    </row>
    <row r="2304" spans="1:4" s="23" customFormat="1" hidden="1" x14ac:dyDescent="0.25">
      <c r="A2304" s="4">
        <v>39619</v>
      </c>
      <c r="B2304" s="4" t="s">
        <v>293</v>
      </c>
      <c r="C2304" s="34"/>
      <c r="D2304" s="34">
        <f>169.09/2</f>
        <v>84.545000000000002</v>
      </c>
    </row>
    <row r="2305" spans="1:4" s="23" customFormat="1" hidden="1" x14ac:dyDescent="0.25">
      <c r="A2305" s="4">
        <v>39629</v>
      </c>
      <c r="B2305" t="s">
        <v>14</v>
      </c>
      <c r="C2305" s="36">
        <f>SUM(C2290:C2304)</f>
        <v>0</v>
      </c>
      <c r="D2305" s="36">
        <f>SUM(D2290:D2304)</f>
        <v>281661.7300000001</v>
      </c>
    </row>
    <row r="2306" spans="1:4" s="23" customFormat="1" hidden="1" x14ac:dyDescent="0.25">
      <c r="A2306" s="4"/>
      <c r="B2306" s="4" t="s">
        <v>15</v>
      </c>
      <c r="C2306" s="34" t="str">
        <f>IF(C2305&gt;D2305,C2305-D2305," ")</f>
        <v xml:space="preserve"> </v>
      </c>
      <c r="D2306" s="34">
        <f>IF(D2305&gt;C2305,D2305-C2305," ")</f>
        <v>281661.7300000001</v>
      </c>
    </row>
    <row r="2307" spans="1:4" s="23" customFormat="1" hidden="1" x14ac:dyDescent="0.25">
      <c r="A2307" s="4">
        <v>39630</v>
      </c>
      <c r="B2307" s="4" t="s">
        <v>311</v>
      </c>
      <c r="C2307" s="34">
        <v>36569</v>
      </c>
      <c r="D2307" s="34"/>
    </row>
    <row r="2308" spans="1:4" s="23" customFormat="1" hidden="1" x14ac:dyDescent="0.25">
      <c r="A2308" s="4">
        <v>39644</v>
      </c>
      <c r="B2308" s="4" t="s">
        <v>315</v>
      </c>
      <c r="C2308" s="34"/>
      <c r="D2308" s="34">
        <f>3436.2/2</f>
        <v>1718.1</v>
      </c>
    </row>
    <row r="2309" spans="1:4" s="23" customFormat="1" hidden="1" x14ac:dyDescent="0.25">
      <c r="A2309" s="4">
        <v>39743</v>
      </c>
      <c r="B2309" s="4" t="s">
        <v>315</v>
      </c>
      <c r="C2309" s="34"/>
      <c r="D2309" s="34">
        <f>1732.87/2</f>
        <v>866.43499999999995</v>
      </c>
    </row>
    <row r="2310" spans="1:4" s="23" customFormat="1" hidden="1" x14ac:dyDescent="0.25">
      <c r="A2310" s="4">
        <v>39778</v>
      </c>
      <c r="B2310" s="4" t="s">
        <v>315</v>
      </c>
      <c r="C2310" s="34"/>
      <c r="D2310" s="34">
        <f>1703.33/2</f>
        <v>851.66499999999996</v>
      </c>
    </row>
    <row r="2311" spans="1:4" s="23" customFormat="1" hidden="1" x14ac:dyDescent="0.25">
      <c r="A2311" s="4">
        <v>39840</v>
      </c>
      <c r="B2311" s="4" t="s">
        <v>315</v>
      </c>
      <c r="C2311" s="34"/>
      <c r="D2311" s="34">
        <f>1732.87/2</f>
        <v>866.43499999999995</v>
      </c>
    </row>
    <row r="2312" spans="1:4" s="23" customFormat="1" hidden="1" x14ac:dyDescent="0.25">
      <c r="A2312" s="4">
        <v>39867</v>
      </c>
      <c r="B2312" s="4" t="s">
        <v>315</v>
      </c>
      <c r="C2312" s="34"/>
      <c r="D2312" s="34">
        <f>1703.33/2</f>
        <v>851.66499999999996</v>
      </c>
    </row>
    <row r="2313" spans="1:4" s="23" customFormat="1" hidden="1" x14ac:dyDescent="0.25">
      <c r="A2313" s="4">
        <v>39931</v>
      </c>
      <c r="B2313" s="4" t="s">
        <v>315</v>
      </c>
      <c r="C2313" s="34"/>
      <c r="D2313" s="34">
        <f>1732.87/2</f>
        <v>866.43499999999995</v>
      </c>
    </row>
    <row r="2314" spans="1:4" s="23" customFormat="1" hidden="1" x14ac:dyDescent="0.25">
      <c r="A2314" s="4">
        <v>39958</v>
      </c>
      <c r="B2314" s="4" t="s">
        <v>315</v>
      </c>
      <c r="C2314" s="34"/>
      <c r="D2314" s="34">
        <f>1703.33/2</f>
        <v>851.66499999999996</v>
      </c>
    </row>
    <row r="2315" spans="1:4" s="23" customFormat="1" hidden="1" x14ac:dyDescent="0.25">
      <c r="A2315" s="4"/>
      <c r="B2315" s="4"/>
      <c r="C2315" s="34"/>
      <c r="D2315" s="34"/>
    </row>
    <row r="2316" spans="1:4" s="23" customFormat="1" hidden="1" x14ac:dyDescent="0.25">
      <c r="A2316" s="4">
        <v>39994</v>
      </c>
      <c r="B2316" t="s">
        <v>14</v>
      </c>
      <c r="C2316" s="36">
        <f>SUM(C2306:C2315)</f>
        <v>36569</v>
      </c>
      <c r="D2316" s="36">
        <f>SUM(D2306:D2315)</f>
        <v>288534.13</v>
      </c>
    </row>
    <row r="2317" spans="1:4" s="23" customFormat="1" hidden="1" x14ac:dyDescent="0.25">
      <c r="A2317" s="4"/>
      <c r="B2317" s="4" t="s">
        <v>15</v>
      </c>
      <c r="C2317" s="34" t="str">
        <f>IF(C2316&gt;D2316,C2316-D2316," ")</f>
        <v xml:space="preserve"> </v>
      </c>
      <c r="D2317" s="34">
        <f>IF(D2316&gt;C2316,D2316-C2316," ")</f>
        <v>251965.13</v>
      </c>
    </row>
    <row r="2318" spans="1:4" s="23" customFormat="1" hidden="1" x14ac:dyDescent="0.25">
      <c r="A2318" s="4">
        <v>39995</v>
      </c>
      <c r="B2318" s="4" t="s">
        <v>328</v>
      </c>
      <c r="C2318" s="34">
        <v>33740.06</v>
      </c>
      <c r="D2318" s="34"/>
    </row>
    <row r="2319" spans="1:4" s="23" customFormat="1" hidden="1" x14ac:dyDescent="0.25">
      <c r="A2319" s="4">
        <v>40018</v>
      </c>
      <c r="B2319" s="4" t="s">
        <v>330</v>
      </c>
      <c r="C2319" s="34"/>
      <c r="D2319" s="34">
        <f>3615.3/2</f>
        <v>1807.65</v>
      </c>
    </row>
    <row r="2320" spans="1:4" s="23" customFormat="1" hidden="1" x14ac:dyDescent="0.25">
      <c r="A2320" s="4">
        <v>40109</v>
      </c>
      <c r="B2320" s="4" t="s">
        <v>330</v>
      </c>
      <c r="C2320" s="34"/>
      <c r="D2320" s="34">
        <f>1727.14/2</f>
        <v>863.57</v>
      </c>
    </row>
    <row r="2321" spans="1:4" s="23" customFormat="1" hidden="1" x14ac:dyDescent="0.25">
      <c r="A2321" s="4">
        <v>40141</v>
      </c>
      <c r="B2321" s="4" t="s">
        <v>330</v>
      </c>
      <c r="C2321" s="34"/>
      <c r="D2321" s="34">
        <f>1727.14/2</f>
        <v>863.57</v>
      </c>
    </row>
    <row r="2322" spans="1:4" s="23" customFormat="1" hidden="1" x14ac:dyDescent="0.25">
      <c r="A2322" s="4">
        <v>40170</v>
      </c>
      <c r="B2322" s="4" t="s">
        <v>330</v>
      </c>
      <c r="C2322" s="34"/>
      <c r="D2322" s="34">
        <f>161.02/2</f>
        <v>80.510000000000005</v>
      </c>
    </row>
    <row r="2323" spans="1:4" s="23" customFormat="1" hidden="1" x14ac:dyDescent="0.25">
      <c r="A2323" s="4">
        <v>40205</v>
      </c>
      <c r="B2323" s="4" t="s">
        <v>330</v>
      </c>
      <c r="C2323" s="34"/>
      <c r="D2323" s="34">
        <f>1727.14/2</f>
        <v>863.57</v>
      </c>
    </row>
    <row r="2324" spans="1:4" s="23" customFormat="1" hidden="1" x14ac:dyDescent="0.25">
      <c r="A2324" s="4">
        <v>40240</v>
      </c>
      <c r="B2324" s="4" t="s">
        <v>330</v>
      </c>
      <c r="C2324" s="34"/>
      <c r="D2324" s="34">
        <f>1888.16/2</f>
        <v>944.08</v>
      </c>
    </row>
    <row r="2325" spans="1:4" s="23" customFormat="1" hidden="1" x14ac:dyDescent="0.25">
      <c r="A2325" s="4">
        <v>40259</v>
      </c>
      <c r="B2325" s="4" t="s">
        <v>336</v>
      </c>
      <c r="C2325" s="34"/>
      <c r="D2325" s="34">
        <v>33.11</v>
      </c>
    </row>
    <row r="2326" spans="1:4" s="23" customFormat="1" hidden="1" x14ac:dyDescent="0.25">
      <c r="A2326" s="4">
        <v>40297</v>
      </c>
      <c r="B2326" s="4" t="s">
        <v>330</v>
      </c>
      <c r="C2326" s="34"/>
      <c r="D2326" s="34">
        <f>2364.41/2</f>
        <v>1182.2049999999999</v>
      </c>
    </row>
    <row r="2327" spans="1:4" s="23" customFormat="1" hidden="1" x14ac:dyDescent="0.25">
      <c r="A2327" s="4">
        <v>40326</v>
      </c>
      <c r="B2327" s="4" t="s">
        <v>330</v>
      </c>
      <c r="C2327" s="34"/>
      <c r="D2327" s="34">
        <f>1250.89/2</f>
        <v>625.44500000000005</v>
      </c>
    </row>
    <row r="2328" spans="1:4" s="23" customFormat="1" hidden="1" x14ac:dyDescent="0.25">
      <c r="A2328" s="4"/>
      <c r="B2328" s="4"/>
      <c r="C2328" s="34"/>
      <c r="D2328" s="34"/>
    </row>
    <row r="2329" spans="1:4" s="23" customFormat="1" hidden="1" x14ac:dyDescent="0.25">
      <c r="A2329" s="4">
        <v>40359</v>
      </c>
      <c r="B2329" t="s">
        <v>14</v>
      </c>
      <c r="C2329" s="36">
        <f>SUM(C2317:C2328)</f>
        <v>33740.06</v>
      </c>
      <c r="D2329" s="36">
        <f>SUM(D2317:D2328)</f>
        <v>259228.84</v>
      </c>
    </row>
    <row r="2330" spans="1:4" s="23" customFormat="1" hidden="1" x14ac:dyDescent="0.25">
      <c r="A2330" s="4"/>
      <c r="B2330" s="4" t="s">
        <v>15</v>
      </c>
      <c r="C2330" s="34" t="str">
        <f>IF(C2329&gt;D2329,C2329-D2329," ")</f>
        <v xml:space="preserve"> </v>
      </c>
      <c r="D2330" s="34">
        <f>IF(D2329&gt;C2329,D2329-C2329," ")</f>
        <v>225488.78</v>
      </c>
    </row>
    <row r="2331" spans="1:4" s="23" customFormat="1" hidden="1" x14ac:dyDescent="0.25">
      <c r="A2331" s="4">
        <v>40360</v>
      </c>
      <c r="B2331" s="4" t="s">
        <v>345</v>
      </c>
      <c r="C2331" s="34"/>
      <c r="D2331" s="34">
        <v>17695.02</v>
      </c>
    </row>
    <row r="2332" spans="1:4" s="23" customFormat="1" hidden="1" x14ac:dyDescent="0.25">
      <c r="A2332" s="4">
        <v>40387</v>
      </c>
      <c r="B2332" s="4" t="s">
        <v>350</v>
      </c>
      <c r="C2332" s="34"/>
      <c r="D2332" s="34">
        <f>2358.9/2</f>
        <v>1179.45</v>
      </c>
    </row>
    <row r="2333" spans="1:4" s="23" customFormat="1" hidden="1" x14ac:dyDescent="0.25">
      <c r="A2333" s="4">
        <v>40422</v>
      </c>
      <c r="B2333" s="4" t="s">
        <v>350</v>
      </c>
      <c r="C2333" s="34"/>
      <c r="D2333" s="34">
        <f>1440.9/2</f>
        <v>720.45</v>
      </c>
    </row>
    <row r="2334" spans="1:4" s="23" customFormat="1" hidden="1" x14ac:dyDescent="0.25">
      <c r="A2334" s="4">
        <v>40480</v>
      </c>
      <c r="B2334" s="4" t="s">
        <v>350</v>
      </c>
      <c r="C2334" s="34"/>
      <c r="D2334" s="34">
        <f>2358.9/2</f>
        <v>1179.45</v>
      </c>
    </row>
    <row r="2335" spans="1:4" s="23" customFormat="1" hidden="1" x14ac:dyDescent="0.25">
      <c r="A2335" s="4">
        <v>40512</v>
      </c>
      <c r="B2335" s="4" t="s">
        <v>350</v>
      </c>
      <c r="C2335" s="34"/>
      <c r="D2335" s="34">
        <f>1440.9/2</f>
        <v>720.45</v>
      </c>
    </row>
    <row r="2336" spans="1:4" s="23" customFormat="1" hidden="1" x14ac:dyDescent="0.25">
      <c r="A2336" s="4">
        <v>40575</v>
      </c>
      <c r="B2336" s="4" t="s">
        <v>350</v>
      </c>
      <c r="C2336" s="34"/>
      <c r="D2336" s="34">
        <f>2358.9/2</f>
        <v>1179.45</v>
      </c>
    </row>
    <row r="2337" spans="1:4" s="23" customFormat="1" hidden="1" x14ac:dyDescent="0.25">
      <c r="A2337" s="4">
        <v>40602</v>
      </c>
      <c r="B2337" s="4" t="s">
        <v>350</v>
      </c>
      <c r="C2337" s="34"/>
      <c r="D2337" s="34">
        <f>1440.9/2</f>
        <v>720.45</v>
      </c>
    </row>
    <row r="2338" spans="1:4" s="23" customFormat="1" hidden="1" x14ac:dyDescent="0.25">
      <c r="A2338" s="4">
        <v>40662</v>
      </c>
      <c r="B2338" s="4" t="s">
        <v>350</v>
      </c>
      <c r="C2338" s="34"/>
      <c r="D2338" s="34">
        <f>2358.9/2</f>
        <v>1179.45</v>
      </c>
    </row>
    <row r="2339" spans="1:4" s="23" customFormat="1" hidden="1" x14ac:dyDescent="0.25">
      <c r="A2339" s="4">
        <v>40688</v>
      </c>
      <c r="B2339" s="4" t="s">
        <v>350</v>
      </c>
      <c r="C2339" s="34"/>
      <c r="D2339" s="34">
        <f>1440.9/2</f>
        <v>720.45</v>
      </c>
    </row>
    <row r="2340" spans="1:4" s="23" customFormat="1" hidden="1" x14ac:dyDescent="0.25">
      <c r="A2340" s="4">
        <v>40724</v>
      </c>
      <c r="B2340" t="s">
        <v>14</v>
      </c>
      <c r="C2340" s="36">
        <f>SUM(C2330:C2339)</f>
        <v>0</v>
      </c>
      <c r="D2340" s="36">
        <f>SUM(D2330:D2339)</f>
        <v>250783.40000000008</v>
      </c>
    </row>
    <row r="2341" spans="1:4" s="23" customFormat="1" hidden="1" x14ac:dyDescent="0.25">
      <c r="A2341" s="4"/>
      <c r="B2341" s="4" t="s">
        <v>15</v>
      </c>
      <c r="C2341" s="34" t="str">
        <f>IF(C2340&gt;D2340,C2340-D2340," ")</f>
        <v xml:space="preserve"> </v>
      </c>
      <c r="D2341" s="34">
        <f>IF(D2340&gt;C2340,D2340-C2340," ")</f>
        <v>250783.40000000008</v>
      </c>
    </row>
    <row r="2342" spans="1:4" s="23" customFormat="1" hidden="1" x14ac:dyDescent="0.25">
      <c r="A2342" s="4">
        <v>40725</v>
      </c>
      <c r="B2342" s="4" t="s">
        <v>471</v>
      </c>
      <c r="C2342" s="34"/>
      <c r="D2342" s="34">
        <v>24724.46</v>
      </c>
    </row>
    <row r="2343" spans="1:4" s="23" customFormat="1" hidden="1" x14ac:dyDescent="0.25">
      <c r="A2343" s="4">
        <v>40756</v>
      </c>
      <c r="B2343" s="4" t="s">
        <v>373</v>
      </c>
      <c r="C2343" s="34"/>
      <c r="D2343" s="34">
        <f>2355.09/2</f>
        <v>1177.5450000000001</v>
      </c>
    </row>
    <row r="2344" spans="1:4" s="23" customFormat="1" hidden="1" x14ac:dyDescent="0.25">
      <c r="A2344" s="4">
        <v>40785</v>
      </c>
      <c r="B2344" s="4" t="s">
        <v>374</v>
      </c>
      <c r="C2344" s="34"/>
      <c r="D2344" s="34">
        <f>1588.71/2</f>
        <v>794.35500000000002</v>
      </c>
    </row>
    <row r="2345" spans="1:4" s="23" customFormat="1" hidden="1" x14ac:dyDescent="0.25">
      <c r="A2345" s="4">
        <v>40850</v>
      </c>
      <c r="B2345" s="4" t="s">
        <v>386</v>
      </c>
      <c r="C2345" s="34"/>
      <c r="D2345" s="34">
        <f>2355.09/2</f>
        <v>1177.5450000000001</v>
      </c>
    </row>
    <row r="2346" spans="1:4" s="23" customFormat="1" hidden="1" x14ac:dyDescent="0.25">
      <c r="A2346" s="4">
        <v>40875</v>
      </c>
      <c r="B2346" s="4" t="s">
        <v>387</v>
      </c>
      <c r="C2346" s="34"/>
      <c r="D2346" s="34">
        <f>1588.71/2</f>
        <v>794.35500000000002</v>
      </c>
    </row>
    <row r="2347" spans="1:4" s="23" customFormat="1" hidden="1" x14ac:dyDescent="0.25">
      <c r="A2347" s="4">
        <v>40940</v>
      </c>
      <c r="B2347" s="4" t="s">
        <v>392</v>
      </c>
      <c r="C2347" s="34"/>
      <c r="D2347" s="34">
        <f>2355.09/2</f>
        <v>1177.5450000000001</v>
      </c>
    </row>
    <row r="2348" spans="1:4" s="23" customFormat="1" hidden="1" x14ac:dyDescent="0.25">
      <c r="A2348" s="4">
        <v>40969</v>
      </c>
      <c r="B2348" s="4" t="s">
        <v>395</v>
      </c>
      <c r="C2348" s="34"/>
      <c r="D2348" s="34">
        <f>1588.71/2</f>
        <v>794.35500000000002</v>
      </c>
    </row>
    <row r="2349" spans="1:4" s="23" customFormat="1" hidden="1" x14ac:dyDescent="0.25">
      <c r="A2349" s="4">
        <v>41023</v>
      </c>
      <c r="B2349" s="4" t="s">
        <v>405</v>
      </c>
      <c r="C2349" s="34"/>
      <c r="D2349" s="34">
        <f>2355.09/2</f>
        <v>1177.5450000000001</v>
      </c>
    </row>
    <row r="2350" spans="1:4" s="23" customFormat="1" hidden="1" x14ac:dyDescent="0.25">
      <c r="A2350" s="4">
        <v>41057</v>
      </c>
      <c r="B2350" s="4" t="s">
        <v>411</v>
      </c>
      <c r="C2350" s="34"/>
      <c r="D2350" s="34">
        <f>1588.71/2</f>
        <v>794.35500000000002</v>
      </c>
    </row>
    <row r="2351" spans="1:4" s="23" customFormat="1" hidden="1" x14ac:dyDescent="0.25">
      <c r="A2351" s="4"/>
      <c r="B2351" s="4"/>
      <c r="C2351" s="34"/>
      <c r="D2351" s="34"/>
    </row>
    <row r="2352" spans="1:4" s="23" customFormat="1" hidden="1" x14ac:dyDescent="0.25">
      <c r="A2352" s="4"/>
      <c r="B2352" s="4"/>
      <c r="C2352" s="34"/>
      <c r="D2352" s="34"/>
    </row>
    <row r="2353" spans="1:4" s="23" customFormat="1" hidden="1" x14ac:dyDescent="0.25">
      <c r="A2353" s="4"/>
      <c r="B2353" s="4"/>
      <c r="C2353" s="34"/>
      <c r="D2353" s="34"/>
    </row>
    <row r="2354" spans="1:4" s="23" customFormat="1" hidden="1" x14ac:dyDescent="0.25">
      <c r="A2354" s="4">
        <v>41090</v>
      </c>
      <c r="B2354" t="s">
        <v>14</v>
      </c>
      <c r="C2354" s="36">
        <f>SUM(C2341:C2353)</f>
        <v>0</v>
      </c>
      <c r="D2354" s="36">
        <f>SUM(D2341:D2353)</f>
        <v>283395.45999999996</v>
      </c>
    </row>
    <row r="2355" spans="1:4" s="23" customFormat="1" hidden="1" x14ac:dyDescent="0.25">
      <c r="A2355" s="4"/>
      <c r="B2355" s="4" t="s">
        <v>15</v>
      </c>
      <c r="C2355" s="34" t="str">
        <f>IF(C2354&gt;D2354,C2354-D2354," ")</f>
        <v xml:space="preserve"> </v>
      </c>
      <c r="D2355" s="34">
        <f>IF(D2354&gt;C2354,D2354-C2354," ")</f>
        <v>283395.45999999996</v>
      </c>
    </row>
    <row r="2356" spans="1:4" s="23" customFormat="1" hidden="1" x14ac:dyDescent="0.25">
      <c r="A2356" s="4">
        <v>41091</v>
      </c>
      <c r="B2356" s="4" t="s">
        <v>413</v>
      </c>
      <c r="C2356" s="34">
        <v>7412.42</v>
      </c>
      <c r="D2356" s="34"/>
    </row>
    <row r="2357" spans="1:4" s="23" customFormat="1" hidden="1" x14ac:dyDescent="0.25">
      <c r="A2357" s="4">
        <v>41115</v>
      </c>
      <c r="B2357" s="3" t="s">
        <v>428</v>
      </c>
      <c r="C2357" s="34"/>
      <c r="D2357" s="34">
        <f>2329.89/2</f>
        <v>1164.9449999999999</v>
      </c>
    </row>
    <row r="2358" spans="1:4" s="23" customFormat="1" hidden="1" x14ac:dyDescent="0.25">
      <c r="A2358" s="4">
        <v>41149</v>
      </c>
      <c r="B2358" s="3" t="s">
        <v>429</v>
      </c>
      <c r="C2358" s="34"/>
      <c r="D2358" s="34">
        <f>1787.61/2</f>
        <v>893.80499999999995</v>
      </c>
    </row>
    <row r="2359" spans="1:4" s="23" customFormat="1" hidden="1" x14ac:dyDescent="0.25">
      <c r="A2359" s="4">
        <v>41222</v>
      </c>
      <c r="B2359" s="3" t="s">
        <v>441</v>
      </c>
      <c r="C2359" s="34"/>
      <c r="D2359" s="34">
        <f>2344.11/2</f>
        <v>1172.0550000000001</v>
      </c>
    </row>
    <row r="2360" spans="1:4" s="23" customFormat="1" hidden="1" x14ac:dyDescent="0.25">
      <c r="A2360" s="4">
        <v>41248</v>
      </c>
      <c r="B2360" s="3" t="s">
        <v>442</v>
      </c>
      <c r="C2360" s="34"/>
      <c r="D2360" s="34">
        <f>1773.39/2</f>
        <v>886.69500000000005</v>
      </c>
    </row>
    <row r="2361" spans="1:4" s="23" customFormat="1" hidden="1" x14ac:dyDescent="0.25">
      <c r="A2361" s="4">
        <v>41299</v>
      </c>
      <c r="B2361" s="3" t="s">
        <v>447</v>
      </c>
      <c r="C2361" s="34"/>
      <c r="D2361" s="34">
        <f>2344.11/2</f>
        <v>1172.0550000000001</v>
      </c>
    </row>
    <row r="2362" spans="1:4" s="23" customFormat="1" hidden="1" x14ac:dyDescent="0.25">
      <c r="A2362" s="4">
        <v>41332</v>
      </c>
      <c r="B2362" s="3" t="s">
        <v>448</v>
      </c>
      <c r="C2362" s="34"/>
      <c r="D2362" s="34">
        <f>1773.39/2</f>
        <v>886.69500000000005</v>
      </c>
    </row>
    <row r="2363" spans="1:4" s="23" customFormat="1" hidden="1" x14ac:dyDescent="0.25">
      <c r="A2363" s="4">
        <v>41386</v>
      </c>
      <c r="B2363" s="3" t="s">
        <v>459</v>
      </c>
      <c r="C2363" s="34"/>
      <c r="D2363" s="34">
        <f>2344.11/2</f>
        <v>1172.0550000000001</v>
      </c>
    </row>
    <row r="2364" spans="1:4" s="23" customFormat="1" hidden="1" x14ac:dyDescent="0.25">
      <c r="A2364" s="4">
        <v>41418</v>
      </c>
      <c r="B2364" s="3" t="s">
        <v>467</v>
      </c>
      <c r="C2364" s="34"/>
      <c r="D2364" s="34">
        <f>1773.39/2</f>
        <v>886.69500000000005</v>
      </c>
    </row>
    <row r="2365" spans="1:4" s="23" customFormat="1" hidden="1" x14ac:dyDescent="0.25">
      <c r="A2365" s="4"/>
      <c r="B2365" s="4"/>
      <c r="C2365" s="34"/>
      <c r="D2365" s="34"/>
    </row>
    <row r="2366" spans="1:4" s="23" customFormat="1" hidden="1" x14ac:dyDescent="0.25">
      <c r="A2366" s="4"/>
      <c r="B2366" s="4"/>
      <c r="C2366" s="34"/>
      <c r="D2366" s="34"/>
    </row>
    <row r="2367" spans="1:4" s="23" customFormat="1" hidden="1" x14ac:dyDescent="0.25">
      <c r="A2367" s="4">
        <v>41455</v>
      </c>
      <c r="B2367" t="s">
        <v>14</v>
      </c>
      <c r="C2367" s="36">
        <f>SUM(C2355:C2366)</f>
        <v>7412.42</v>
      </c>
      <c r="D2367" s="36">
        <f>SUM(D2355:D2366)</f>
        <v>291630.45999999996</v>
      </c>
    </row>
    <row r="2368" spans="1:4" s="23" customFormat="1" hidden="1" x14ac:dyDescent="0.25">
      <c r="A2368" s="4"/>
      <c r="B2368" s="4" t="s">
        <v>15</v>
      </c>
      <c r="C2368" s="34" t="str">
        <f>IF(C2367&gt;D2367,C2367-D2367," ")</f>
        <v xml:space="preserve"> </v>
      </c>
      <c r="D2368" s="34">
        <f>IF(D2367&gt;C2367,D2367-C2367," ")</f>
        <v>284218.03999999998</v>
      </c>
    </row>
    <row r="2369" spans="1:4" s="23" customFormat="1" hidden="1" x14ac:dyDescent="0.25">
      <c r="A2369" s="4">
        <v>41456</v>
      </c>
      <c r="B2369" s="4" t="s">
        <v>542</v>
      </c>
      <c r="C2369" s="34"/>
      <c r="D2369" s="34">
        <v>75632.289999999994</v>
      </c>
    </row>
    <row r="2370" spans="1:4" s="23" customFormat="1" hidden="1" x14ac:dyDescent="0.25">
      <c r="A2370" s="4">
        <v>41480</v>
      </c>
      <c r="B2370" s="4" t="s">
        <v>490</v>
      </c>
      <c r="C2370" s="34"/>
      <c r="D2370" s="34">
        <f>2398.99/2</f>
        <v>1199.4949999999999</v>
      </c>
    </row>
    <row r="2371" spans="1:4" s="23" customFormat="1" hidden="1" x14ac:dyDescent="0.25">
      <c r="A2371" s="4">
        <v>41509</v>
      </c>
      <c r="B2371" s="4" t="s">
        <v>491</v>
      </c>
      <c r="C2371" s="34"/>
      <c r="D2371" s="34">
        <f>2044.71/2</f>
        <v>1022.355</v>
      </c>
    </row>
    <row r="2372" spans="1:4" s="23" customFormat="1" hidden="1" x14ac:dyDescent="0.25">
      <c r="A2372" s="4">
        <v>41570</v>
      </c>
      <c r="B2372" s="4" t="s">
        <v>504</v>
      </c>
      <c r="C2372" s="34"/>
      <c r="D2372" s="34">
        <f>2398.99/2</f>
        <v>1199.4949999999999</v>
      </c>
    </row>
    <row r="2373" spans="1:4" s="23" customFormat="1" hidden="1" x14ac:dyDescent="0.25">
      <c r="A2373" s="4">
        <v>41603</v>
      </c>
      <c r="B2373" s="4" t="s">
        <v>509</v>
      </c>
      <c r="C2373" s="34"/>
      <c r="D2373" s="34">
        <f>2044.71/2</f>
        <v>1022.355</v>
      </c>
    </row>
    <row r="2374" spans="1:4" s="23" customFormat="1" hidden="1" x14ac:dyDescent="0.25">
      <c r="A2374" s="4">
        <v>41668</v>
      </c>
      <c r="B2374" s="4" t="s">
        <v>514</v>
      </c>
      <c r="C2374" s="34"/>
      <c r="D2374" s="34">
        <f>2398.99/2</f>
        <v>1199.4949999999999</v>
      </c>
    </row>
    <row r="2375" spans="1:4" s="23" customFormat="1" hidden="1" x14ac:dyDescent="0.25">
      <c r="A2375" s="4">
        <v>41696</v>
      </c>
      <c r="B2375" s="4" t="s">
        <v>515</v>
      </c>
      <c r="C2375" s="34"/>
      <c r="D2375" s="34">
        <f>2044.71/2</f>
        <v>1022.355</v>
      </c>
    </row>
    <row r="2376" spans="1:4" s="23" customFormat="1" hidden="1" x14ac:dyDescent="0.25">
      <c r="A2376" s="4">
        <v>41757</v>
      </c>
      <c r="B2376" s="4" t="s">
        <v>534</v>
      </c>
      <c r="C2376" s="34"/>
      <c r="D2376" s="34">
        <f>2398.99/2</f>
        <v>1199.4949999999999</v>
      </c>
    </row>
    <row r="2377" spans="1:4" s="23" customFormat="1" hidden="1" x14ac:dyDescent="0.25">
      <c r="A2377" s="4">
        <v>41786</v>
      </c>
      <c r="B2377" s="4" t="s">
        <v>537</v>
      </c>
      <c r="C2377" s="34"/>
      <c r="D2377" s="34">
        <f>2044.71/2</f>
        <v>1022.355</v>
      </c>
    </row>
    <row r="2378" spans="1:4" s="23" customFormat="1" hidden="1" x14ac:dyDescent="0.25">
      <c r="A2378" s="4"/>
      <c r="B2378" s="4"/>
      <c r="C2378" s="34"/>
      <c r="D2378" s="34"/>
    </row>
    <row r="2379" spans="1:4" s="23" customFormat="1" hidden="1" x14ac:dyDescent="0.25">
      <c r="A2379" s="4"/>
      <c r="B2379" s="4"/>
      <c r="C2379" s="34"/>
      <c r="D2379" s="34"/>
    </row>
    <row r="2380" spans="1:4" s="23" customFormat="1" hidden="1" x14ac:dyDescent="0.25">
      <c r="A2380" s="4">
        <v>41820</v>
      </c>
      <c r="B2380" t="s">
        <v>14</v>
      </c>
      <c r="C2380" s="36">
        <f>SUM(C2368:C2379)</f>
        <v>0</v>
      </c>
      <c r="D2380" s="36">
        <f>SUM(D2368:D2379)</f>
        <v>368737.72999999986</v>
      </c>
    </row>
    <row r="2381" spans="1:4" s="23" customFormat="1" hidden="1" x14ac:dyDescent="0.25">
      <c r="A2381" s="4"/>
      <c r="B2381" s="4" t="s">
        <v>15</v>
      </c>
      <c r="C2381" s="34" t="str">
        <f>IF(C2380&gt;D2380,C2380-D2380," ")</f>
        <v xml:space="preserve"> </v>
      </c>
      <c r="D2381" s="34">
        <f>IF(D2380&gt;C2380,D2380-C2380," ")</f>
        <v>368737.72999999986</v>
      </c>
    </row>
    <row r="2382" spans="1:4" s="23" customFormat="1" hidden="1" x14ac:dyDescent="0.25">
      <c r="A2382" s="4">
        <v>41821</v>
      </c>
      <c r="B2382" s="4" t="s">
        <v>551</v>
      </c>
      <c r="C2382" s="34"/>
      <c r="D2382" s="34">
        <v>47169.19</v>
      </c>
    </row>
    <row r="2383" spans="1:4" s="23" customFormat="1" hidden="1" x14ac:dyDescent="0.25">
      <c r="A2383" s="4">
        <v>41843</v>
      </c>
      <c r="B2383" t="s">
        <v>555</v>
      </c>
      <c r="C2383" s="34"/>
      <c r="D2383" s="34">
        <f>2455.85/2</f>
        <v>1227.925</v>
      </c>
    </row>
    <row r="2384" spans="1:4" s="23" customFormat="1" hidden="1" x14ac:dyDescent="0.25">
      <c r="A2384" s="4">
        <v>41877</v>
      </c>
      <c r="B2384" t="s">
        <v>556</v>
      </c>
      <c r="C2384" s="34"/>
      <c r="D2384" s="34">
        <f>2240/2</f>
        <v>1120</v>
      </c>
    </row>
    <row r="2385" spans="1:4" s="23" customFormat="1" hidden="1" x14ac:dyDescent="0.25">
      <c r="A2385" s="4">
        <v>41936</v>
      </c>
      <c r="B2385" t="s">
        <v>571</v>
      </c>
      <c r="C2385" s="34"/>
      <c r="D2385" s="34">
        <f>2455.85/2</f>
        <v>1227.925</v>
      </c>
    </row>
    <row r="2386" spans="1:4" s="23" customFormat="1" hidden="1" x14ac:dyDescent="0.25">
      <c r="A2386" s="4">
        <v>41968</v>
      </c>
      <c r="B2386" t="s">
        <v>572</v>
      </c>
      <c r="C2386" s="34"/>
      <c r="D2386" s="34">
        <f>2240/2</f>
        <v>1120</v>
      </c>
    </row>
    <row r="2387" spans="1:4" s="23" customFormat="1" hidden="1" x14ac:dyDescent="0.25">
      <c r="A2387" s="4">
        <v>42031</v>
      </c>
      <c r="B2387" t="s">
        <v>578</v>
      </c>
      <c r="C2387" s="34"/>
      <c r="D2387" s="34">
        <f>2455.85/2</f>
        <v>1227.925</v>
      </c>
    </row>
    <row r="2388" spans="1:4" s="23" customFormat="1" hidden="1" x14ac:dyDescent="0.25">
      <c r="A2388" s="4">
        <v>42061</v>
      </c>
      <c r="B2388" t="s">
        <v>579</v>
      </c>
      <c r="C2388" s="34"/>
      <c r="D2388" s="34">
        <f>2240/2</f>
        <v>1120</v>
      </c>
    </row>
    <row r="2389" spans="1:4" s="23" customFormat="1" hidden="1" x14ac:dyDescent="0.25">
      <c r="A2389" s="4">
        <v>42116</v>
      </c>
      <c r="B2389" t="s">
        <v>594</v>
      </c>
      <c r="C2389" s="34"/>
      <c r="D2389" s="34">
        <f>2455.85/2</f>
        <v>1227.925</v>
      </c>
    </row>
    <row r="2390" spans="1:4" s="23" customFormat="1" hidden="1" x14ac:dyDescent="0.25">
      <c r="A2390" s="4">
        <v>42146</v>
      </c>
      <c r="B2390" t="s">
        <v>596</v>
      </c>
      <c r="C2390" s="34"/>
      <c r="D2390" s="34">
        <f>2240/2</f>
        <v>1120</v>
      </c>
    </row>
    <row r="2391" spans="1:4" s="23" customFormat="1" hidden="1" x14ac:dyDescent="0.25">
      <c r="A2391" s="4"/>
      <c r="B2391" s="4"/>
      <c r="C2391" s="34"/>
      <c r="D2391" s="34"/>
    </row>
    <row r="2392" spans="1:4" s="23" customFormat="1" hidden="1" x14ac:dyDescent="0.25">
      <c r="A2392" s="4"/>
      <c r="B2392" s="4"/>
      <c r="C2392" s="34"/>
      <c r="D2392" s="34"/>
    </row>
    <row r="2393" spans="1:4" s="23" customFormat="1" hidden="1" x14ac:dyDescent="0.25">
      <c r="A2393" s="4">
        <v>42185</v>
      </c>
      <c r="B2393" t="s">
        <v>14</v>
      </c>
      <c r="C2393" s="36">
        <f>SUM(C2381:C2392)</f>
        <v>0</v>
      </c>
      <c r="D2393" s="36">
        <f>SUM(D2381:D2392)</f>
        <v>425298.61999999982</v>
      </c>
    </row>
    <row r="2394" spans="1:4" s="23" customFormat="1" hidden="1" x14ac:dyDescent="0.25">
      <c r="A2394" s="4"/>
      <c r="B2394" s="4" t="s">
        <v>15</v>
      </c>
      <c r="C2394" s="34" t="str">
        <f>IF(C2393&gt;D2393,C2393-D2393," ")</f>
        <v xml:space="preserve"> </v>
      </c>
      <c r="D2394" s="34">
        <f>IF(D2393&gt;C2393,D2393-C2393," ")</f>
        <v>425298.61999999982</v>
      </c>
    </row>
    <row r="2395" spans="1:4" s="23" customFormat="1" hidden="1" x14ac:dyDescent="0.25">
      <c r="A2395" s="4">
        <v>42186</v>
      </c>
      <c r="B2395" s="4" t="s">
        <v>611</v>
      </c>
      <c r="C2395" s="34"/>
      <c r="D2395" s="34">
        <v>37607.199999999997</v>
      </c>
    </row>
    <row r="2396" spans="1:4" s="23" customFormat="1" hidden="1" x14ac:dyDescent="0.25">
      <c r="A2396" s="4">
        <v>42209</v>
      </c>
      <c r="B2396" t="s">
        <v>616</v>
      </c>
      <c r="C2396" s="34"/>
      <c r="D2396" s="34">
        <f>2443.77/2</f>
        <v>1221.885</v>
      </c>
    </row>
    <row r="2397" spans="1:4" s="23" customFormat="1" hidden="1" x14ac:dyDescent="0.25">
      <c r="A2397" s="4">
        <v>42240</v>
      </c>
      <c r="B2397" t="s">
        <v>617</v>
      </c>
      <c r="C2397" s="34"/>
      <c r="D2397" s="34">
        <f>2383.18/2</f>
        <v>1191.5899999999999</v>
      </c>
    </row>
    <row r="2398" spans="1:4" s="23" customFormat="1" hidden="1" x14ac:dyDescent="0.25">
      <c r="A2398" s="4">
        <v>42299</v>
      </c>
      <c r="B2398" t="s">
        <v>631</v>
      </c>
      <c r="C2398" s="34"/>
      <c r="D2398" s="34">
        <f>2443.77/2</f>
        <v>1221.885</v>
      </c>
    </row>
    <row r="2399" spans="1:4" s="23" customFormat="1" hidden="1" x14ac:dyDescent="0.25">
      <c r="A2399" s="4">
        <v>42328</v>
      </c>
      <c r="B2399" t="s">
        <v>635</v>
      </c>
      <c r="C2399" s="34"/>
      <c r="D2399" s="34">
        <f>2383.18/2</f>
        <v>1191.5899999999999</v>
      </c>
    </row>
    <row r="2400" spans="1:4" s="23" customFormat="1" hidden="1" x14ac:dyDescent="0.25">
      <c r="A2400" s="4">
        <v>42391</v>
      </c>
      <c r="B2400" t="s">
        <v>642</v>
      </c>
      <c r="C2400" s="34"/>
      <c r="D2400" s="34">
        <f>2443.77/2</f>
        <v>1221.885</v>
      </c>
    </row>
    <row r="2401" spans="1:4" s="23" customFormat="1" hidden="1" x14ac:dyDescent="0.25">
      <c r="A2401" s="4">
        <v>42418</v>
      </c>
      <c r="B2401" t="s">
        <v>643</v>
      </c>
      <c r="C2401" s="34"/>
      <c r="D2401" s="34">
        <f>2383.18/2</f>
        <v>1191.5899999999999</v>
      </c>
    </row>
    <row r="2402" spans="1:4" s="23" customFormat="1" hidden="1" x14ac:dyDescent="0.25">
      <c r="A2402" s="4">
        <v>42486</v>
      </c>
      <c r="B2402" t="s">
        <v>658</v>
      </c>
      <c r="C2402" s="34"/>
      <c r="D2402" s="34">
        <f>2443.77/2</f>
        <v>1221.885</v>
      </c>
    </row>
    <row r="2403" spans="1:4" s="23" customFormat="1" hidden="1" x14ac:dyDescent="0.25">
      <c r="A2403" s="4">
        <v>42514</v>
      </c>
      <c r="B2403" t="s">
        <v>662</v>
      </c>
      <c r="C2403" s="34"/>
      <c r="D2403" s="34">
        <f>2383.18/2</f>
        <v>1191.5899999999999</v>
      </c>
    </row>
    <row r="2404" spans="1:4" s="23" customFormat="1" hidden="1" x14ac:dyDescent="0.25">
      <c r="A2404" s="4"/>
      <c r="B2404" s="4"/>
      <c r="C2404" s="34"/>
      <c r="D2404" s="34"/>
    </row>
    <row r="2405" spans="1:4" s="23" customFormat="1" hidden="1" x14ac:dyDescent="0.25">
      <c r="A2405" s="4">
        <v>42551</v>
      </c>
      <c r="B2405" t="s">
        <v>14</v>
      </c>
      <c r="C2405" s="36">
        <f>SUM(C2394:C2404)</f>
        <v>0</v>
      </c>
      <c r="D2405" s="36">
        <f>SUM(D2394:D2404)</f>
        <v>472559.72</v>
      </c>
    </row>
    <row r="2406" spans="1:4" s="23" customFormat="1" hidden="1" x14ac:dyDescent="0.25">
      <c r="A2406" s="4"/>
      <c r="B2406" s="4" t="s">
        <v>15</v>
      </c>
      <c r="C2406" s="34" t="str">
        <f>IF(C2405&gt;D2405,C2405-D2405," ")</f>
        <v xml:space="preserve"> </v>
      </c>
      <c r="D2406" s="34">
        <f>IF(D2405&gt;C2405,D2405-C2405," ")</f>
        <v>472559.72</v>
      </c>
    </row>
    <row r="2407" spans="1:4" s="23" customFormat="1" hidden="1" x14ac:dyDescent="0.25">
      <c r="A2407" s="4">
        <v>42552</v>
      </c>
      <c r="B2407" s="4" t="s">
        <v>721</v>
      </c>
      <c r="C2407" s="34">
        <v>512.1</v>
      </c>
      <c r="D2407" s="34"/>
    </row>
    <row r="2408" spans="1:4" s="23" customFormat="1" hidden="1" x14ac:dyDescent="0.25">
      <c r="A2408" s="4">
        <v>42577</v>
      </c>
      <c r="B2408" s="3" t="s">
        <v>670</v>
      </c>
      <c r="C2408" s="34"/>
      <c r="D2408" s="34">
        <f>2441.33/2</f>
        <v>1220.665</v>
      </c>
    </row>
    <row r="2409" spans="1:4" s="23" customFormat="1" hidden="1" x14ac:dyDescent="0.25">
      <c r="A2409" s="4">
        <v>42604</v>
      </c>
      <c r="B2409" s="3" t="s">
        <v>671</v>
      </c>
      <c r="C2409" s="34"/>
      <c r="D2409" s="34">
        <f>2441.33/2</f>
        <v>1220.665</v>
      </c>
    </row>
    <row r="2410" spans="1:4" s="23" customFormat="1" hidden="1" x14ac:dyDescent="0.25">
      <c r="A2410" s="4">
        <v>42636</v>
      </c>
      <c r="B2410" s="3" t="s">
        <v>679</v>
      </c>
      <c r="C2410" s="34"/>
      <c r="D2410" s="34">
        <f>21.23/2</f>
        <v>10.615</v>
      </c>
    </row>
    <row r="2411" spans="1:4" s="23" customFormat="1" hidden="1" x14ac:dyDescent="0.25">
      <c r="A2411" s="4">
        <v>42667</v>
      </c>
      <c r="B2411" s="3" t="s">
        <v>687</v>
      </c>
      <c r="C2411" s="34"/>
      <c r="D2411" s="34">
        <f>2441.33/2</f>
        <v>1220.665</v>
      </c>
    </row>
    <row r="2412" spans="1:4" s="23" customFormat="1" hidden="1" x14ac:dyDescent="0.25">
      <c r="A2412" s="4">
        <v>42699</v>
      </c>
      <c r="B2412" s="3" t="s">
        <v>688</v>
      </c>
      <c r="C2412" s="34"/>
      <c r="D2412" s="34">
        <f>2441.33/2</f>
        <v>1220.665</v>
      </c>
    </row>
    <row r="2413" spans="1:4" s="23" customFormat="1" hidden="1" x14ac:dyDescent="0.25">
      <c r="A2413" s="4">
        <v>42724</v>
      </c>
      <c r="B2413" s="3" t="s">
        <v>691</v>
      </c>
      <c r="C2413" s="34"/>
      <c r="D2413" s="34">
        <f>21.23/2</f>
        <v>10.615</v>
      </c>
    </row>
    <row r="2414" spans="1:4" s="23" customFormat="1" hidden="1" x14ac:dyDescent="0.25">
      <c r="A2414" s="4">
        <v>42759</v>
      </c>
      <c r="B2414" s="3" t="s">
        <v>694</v>
      </c>
      <c r="C2414" s="34"/>
      <c r="D2414" s="34">
        <f>2441.33/2</f>
        <v>1220.665</v>
      </c>
    </row>
    <row r="2415" spans="1:4" s="23" customFormat="1" hidden="1" x14ac:dyDescent="0.25">
      <c r="A2415" s="4">
        <v>42790</v>
      </c>
      <c r="B2415" s="3" t="s">
        <v>695</v>
      </c>
      <c r="C2415" s="34"/>
      <c r="D2415" s="34">
        <f>2441.33/2</f>
        <v>1220.665</v>
      </c>
    </row>
    <row r="2416" spans="1:4" s="23" customFormat="1" hidden="1" x14ac:dyDescent="0.25">
      <c r="A2416" s="4">
        <v>42817</v>
      </c>
      <c r="B2416" s="3" t="s">
        <v>699</v>
      </c>
      <c r="C2416" s="34"/>
      <c r="D2416" s="34">
        <f>21.23/2</f>
        <v>10.615</v>
      </c>
    </row>
    <row r="2417" spans="1:4" s="23" customFormat="1" hidden="1" x14ac:dyDescent="0.25">
      <c r="A2417" s="4">
        <v>42851</v>
      </c>
      <c r="B2417" s="3" t="s">
        <v>711</v>
      </c>
      <c r="C2417" s="34"/>
      <c r="D2417" s="34">
        <f>2441.33/2</f>
        <v>1220.665</v>
      </c>
    </row>
    <row r="2418" spans="1:4" s="23" customFormat="1" hidden="1" x14ac:dyDescent="0.25">
      <c r="A2418" s="4">
        <v>42880</v>
      </c>
      <c r="B2418" s="3" t="s">
        <v>715</v>
      </c>
      <c r="C2418" s="34"/>
      <c r="D2418" s="34">
        <f>2441.33/2</f>
        <v>1220.665</v>
      </c>
    </row>
    <row r="2419" spans="1:4" s="23" customFormat="1" hidden="1" x14ac:dyDescent="0.25">
      <c r="A2419" s="4">
        <v>42891</v>
      </c>
      <c r="B2419" s="3" t="s">
        <v>718</v>
      </c>
      <c r="C2419" s="34"/>
      <c r="D2419" s="34">
        <f>21.23/2</f>
        <v>10.615</v>
      </c>
    </row>
    <row r="2420" spans="1:4" s="23" customFormat="1" hidden="1" x14ac:dyDescent="0.25">
      <c r="A2420" s="4">
        <v>42907</v>
      </c>
      <c r="B2420" s="3" t="s">
        <v>720</v>
      </c>
      <c r="C2420" s="34"/>
      <c r="D2420" s="34">
        <f>1501.58/2</f>
        <v>750.79</v>
      </c>
    </row>
    <row r="2421" spans="1:4" s="23" customFormat="1" hidden="1" x14ac:dyDescent="0.25">
      <c r="A2421" s="4">
        <v>42916</v>
      </c>
      <c r="B2421" t="s">
        <v>14</v>
      </c>
      <c r="C2421" s="36">
        <f>SUM(C2406:C2420)</f>
        <v>512.1</v>
      </c>
      <c r="D2421" s="36">
        <f>SUM(D2406:D2420)</f>
        <v>483118.28999999975</v>
      </c>
    </row>
    <row r="2422" spans="1:4" s="23" customFormat="1" hidden="1" x14ac:dyDescent="0.25">
      <c r="A2422" s="4"/>
      <c r="B2422" s="4" t="s">
        <v>15</v>
      </c>
      <c r="C2422" s="34" t="str">
        <f>IF(C2421&gt;D2421,C2421-D2421," ")</f>
        <v xml:space="preserve"> </v>
      </c>
      <c r="D2422" s="34">
        <f>IF(D2421&gt;C2421,D2421-C2421," ")</f>
        <v>482606.18999999977</v>
      </c>
    </row>
    <row r="2423" spans="1:4" s="23" customFormat="1" hidden="1" x14ac:dyDescent="0.25">
      <c r="A2423" s="4">
        <v>42917</v>
      </c>
      <c r="B2423" s="4" t="s">
        <v>799</v>
      </c>
      <c r="C2423" s="34"/>
      <c r="D2423" s="34">
        <v>27617.05</v>
      </c>
    </row>
    <row r="2424" spans="1:4" s="23" customFormat="1" hidden="1" x14ac:dyDescent="0.25">
      <c r="A2424" s="4">
        <v>43031</v>
      </c>
      <c r="B2424" s="4" t="s">
        <v>755</v>
      </c>
      <c r="C2424" s="34"/>
      <c r="D2424" s="34">
        <f>5005.27/2</f>
        <v>2502.6350000000002</v>
      </c>
    </row>
    <row r="2425" spans="1:4" s="23" customFormat="1" hidden="1" x14ac:dyDescent="0.25">
      <c r="A2425" s="4">
        <v>43123</v>
      </c>
      <c r="B2425" s="4" t="s">
        <v>758</v>
      </c>
      <c r="C2425" s="34"/>
      <c r="D2425" s="34">
        <f>5012.2/2</f>
        <v>2506.1</v>
      </c>
    </row>
    <row r="2426" spans="1:4" s="23" customFormat="1" hidden="1" x14ac:dyDescent="0.25">
      <c r="A2426" s="4">
        <v>43213</v>
      </c>
      <c r="B2426" s="4" t="s">
        <v>760</v>
      </c>
      <c r="C2426" s="34"/>
      <c r="D2426" s="34">
        <f>5012.2/2</f>
        <v>2506.1</v>
      </c>
    </row>
    <row r="2427" spans="1:4" s="23" customFormat="1" hidden="1" x14ac:dyDescent="0.25">
      <c r="A2427" s="4">
        <v>43273</v>
      </c>
      <c r="B2427" s="4" t="s">
        <v>764</v>
      </c>
      <c r="C2427" s="34"/>
      <c r="D2427" s="34">
        <f>5012.2/2</f>
        <v>2506.1</v>
      </c>
    </row>
    <row r="2428" spans="1:4" s="23" customFormat="1" hidden="1" x14ac:dyDescent="0.25">
      <c r="A2428" s="4"/>
      <c r="B2428" s="4"/>
      <c r="C2428" s="34"/>
      <c r="D2428" s="34"/>
    </row>
    <row r="2429" spans="1:4" s="23" customFormat="1" hidden="1" x14ac:dyDescent="0.25">
      <c r="A2429" s="4"/>
      <c r="B2429" s="4"/>
      <c r="C2429" s="34"/>
      <c r="D2429" s="34"/>
    </row>
    <row r="2430" spans="1:4" s="23" customFormat="1" hidden="1" x14ac:dyDescent="0.25">
      <c r="A2430" s="4"/>
      <c r="B2430" s="4"/>
      <c r="C2430" s="34"/>
      <c r="D2430" s="34"/>
    </row>
    <row r="2431" spans="1:4" s="23" customFormat="1" hidden="1" x14ac:dyDescent="0.25">
      <c r="A2431" s="4"/>
      <c r="B2431" s="4"/>
      <c r="C2431" s="34"/>
      <c r="D2431" s="34"/>
    </row>
    <row r="2432" spans="1:4" s="23" customFormat="1" hidden="1" x14ac:dyDescent="0.25">
      <c r="A2432" s="4"/>
      <c r="B2432" s="4"/>
      <c r="C2432" s="34"/>
      <c r="D2432" s="34"/>
    </row>
    <row r="2433" spans="1:4" s="23" customFormat="1" hidden="1" x14ac:dyDescent="0.25">
      <c r="A2433" s="4"/>
      <c r="B2433" s="4"/>
      <c r="C2433" s="34"/>
      <c r="D2433" s="34"/>
    </row>
    <row r="2434" spans="1:4" s="23" customFormat="1" hidden="1" x14ac:dyDescent="0.25">
      <c r="A2434" s="4"/>
      <c r="B2434" s="4"/>
      <c r="C2434" s="34"/>
      <c r="D2434" s="34"/>
    </row>
    <row r="2435" spans="1:4" s="23" customFormat="1" hidden="1" x14ac:dyDescent="0.25">
      <c r="A2435" s="4"/>
      <c r="B2435" s="4"/>
      <c r="C2435" s="34"/>
      <c r="D2435" s="34"/>
    </row>
    <row r="2436" spans="1:4" s="23" customFormat="1" hidden="1" x14ac:dyDescent="0.25">
      <c r="A2436" s="4"/>
      <c r="B2436" s="4"/>
      <c r="C2436" s="34"/>
      <c r="D2436" s="34"/>
    </row>
    <row r="2437" spans="1:4" s="23" customFormat="1" hidden="1" x14ac:dyDescent="0.25">
      <c r="A2437" s="4"/>
      <c r="B2437" s="4"/>
      <c r="C2437" s="34"/>
      <c r="D2437" s="34"/>
    </row>
    <row r="2438" spans="1:4" s="23" customFormat="1" hidden="1" x14ac:dyDescent="0.25">
      <c r="A2438" s="4">
        <v>43281</v>
      </c>
      <c r="B2438" t="s">
        <v>14</v>
      </c>
      <c r="C2438" s="36">
        <f>SUM(C2422:C2437)</f>
        <v>0</v>
      </c>
      <c r="D2438" s="36">
        <f>SUM(D2422:D2437)</f>
        <v>520244.1749999997</v>
      </c>
    </row>
    <row r="2439" spans="1:4" s="23" customFormat="1" hidden="1" x14ac:dyDescent="0.25">
      <c r="A2439" s="4"/>
      <c r="B2439" s="4" t="s">
        <v>15</v>
      </c>
      <c r="C2439" s="34" t="str">
        <f>IF(C2438&gt;D2438,C2438-D2438," ")</f>
        <v xml:space="preserve"> </v>
      </c>
      <c r="D2439" s="34">
        <f>IF(D2438&gt;C2438,D2438-C2438," ")</f>
        <v>520244.1749999997</v>
      </c>
    </row>
    <row r="2440" spans="1:4" s="23" customFormat="1" hidden="1" x14ac:dyDescent="0.25">
      <c r="A2440" s="4">
        <v>43282</v>
      </c>
      <c r="B2440" s="4" t="s">
        <v>811</v>
      </c>
      <c r="C2440" s="34"/>
      <c r="D2440" s="34">
        <v>11116.68</v>
      </c>
    </row>
    <row r="2441" spans="1:4" s="23" customFormat="1" hidden="1" x14ac:dyDescent="0.25">
      <c r="A2441" s="4">
        <v>43396</v>
      </c>
      <c r="B2441" s="4" t="s">
        <v>813</v>
      </c>
      <c r="C2441" s="34"/>
      <c r="D2441" s="34">
        <f>5132.85/2</f>
        <v>2566.4250000000002</v>
      </c>
    </row>
    <row r="2442" spans="1:4" s="23" customFormat="1" hidden="1" x14ac:dyDescent="0.25">
      <c r="A2442" s="4">
        <v>43487</v>
      </c>
      <c r="B2442" s="4" t="s">
        <v>816</v>
      </c>
      <c r="C2442" s="34"/>
      <c r="D2442" s="34">
        <f>5132.85/2</f>
        <v>2566.4250000000002</v>
      </c>
    </row>
    <row r="2443" spans="1:4" s="23" customFormat="1" hidden="1" x14ac:dyDescent="0.25">
      <c r="A2443" s="4">
        <v>43578</v>
      </c>
      <c r="B2443" s="4" t="s">
        <v>819</v>
      </c>
      <c r="C2443" s="34"/>
      <c r="D2443" s="34">
        <f>5132.85/2</f>
        <v>2566.4250000000002</v>
      </c>
    </row>
    <row r="2444" spans="1:4" s="23" customFormat="1" hidden="1" x14ac:dyDescent="0.25">
      <c r="A2444" s="4">
        <v>43640</v>
      </c>
      <c r="B2444" s="4" t="s">
        <v>822</v>
      </c>
      <c r="C2444" s="34"/>
      <c r="D2444" s="34">
        <f>5132.85/2</f>
        <v>2566.4250000000002</v>
      </c>
    </row>
    <row r="2445" spans="1:4" s="23" customFormat="1" hidden="1" x14ac:dyDescent="0.25">
      <c r="A2445" s="4"/>
      <c r="B2445" s="4"/>
      <c r="C2445" s="34"/>
      <c r="D2445" s="34"/>
    </row>
    <row r="2446" spans="1:4" s="23" customFormat="1" hidden="1" x14ac:dyDescent="0.25">
      <c r="A2446" s="4">
        <v>43646</v>
      </c>
      <c r="B2446" t="s">
        <v>14</v>
      </c>
      <c r="C2446" s="36">
        <f>SUM(C2439:C2445)</f>
        <v>0</v>
      </c>
      <c r="D2446" s="36">
        <f>SUM(D2439:D2445)</f>
        <v>541626.55499999993</v>
      </c>
    </row>
    <row r="2447" spans="1:4" s="23" customFormat="1" hidden="1" x14ac:dyDescent="0.25">
      <c r="A2447" s="4"/>
      <c r="B2447" s="4" t="s">
        <v>15</v>
      </c>
      <c r="C2447" s="34" t="str">
        <f>IF(C2446&gt;D2446,C2446-D2446," ")</f>
        <v xml:space="preserve"> </v>
      </c>
      <c r="D2447" s="34">
        <f>IF(D2446&gt;C2446,D2446-C2446," ")</f>
        <v>541626.55499999993</v>
      </c>
    </row>
    <row r="2448" spans="1:4" s="23" customFormat="1" hidden="1" x14ac:dyDescent="0.25">
      <c r="A2448" s="4">
        <v>43647</v>
      </c>
      <c r="B2448" s="4" t="s">
        <v>913</v>
      </c>
      <c r="C2448" s="34"/>
      <c r="D2448" s="34">
        <v>63528.55</v>
      </c>
    </row>
    <row r="2449" spans="1:4" s="23" customFormat="1" hidden="1" x14ac:dyDescent="0.25">
      <c r="A2449" s="4">
        <v>43761</v>
      </c>
      <c r="B2449" s="4" t="s">
        <v>915</v>
      </c>
      <c r="C2449" s="34"/>
      <c r="D2449" s="34">
        <f>5132.85/2</f>
        <v>2566.4250000000002</v>
      </c>
    </row>
    <row r="2450" spans="1:4" s="23" customFormat="1" hidden="1" x14ac:dyDescent="0.25">
      <c r="A2450" s="4">
        <v>43859</v>
      </c>
      <c r="B2450" s="4" t="s">
        <v>916</v>
      </c>
      <c r="C2450" s="34"/>
      <c r="D2450" s="34">
        <f>5368.51/2</f>
        <v>2684.2550000000001</v>
      </c>
    </row>
    <row r="2451" spans="1:4" s="23" customFormat="1" hidden="1" x14ac:dyDescent="0.25">
      <c r="A2451" s="4">
        <v>43952</v>
      </c>
      <c r="B2451" s="4" t="s">
        <v>917</v>
      </c>
      <c r="C2451" s="34"/>
      <c r="D2451" s="34">
        <f>5250.66/2</f>
        <v>2625.33</v>
      </c>
    </row>
    <row r="2452" spans="1:4" s="23" customFormat="1" hidden="1" x14ac:dyDescent="0.25">
      <c r="A2452" s="4">
        <v>44007</v>
      </c>
      <c r="B2452" s="4" t="s">
        <v>918</v>
      </c>
      <c r="C2452" s="34"/>
      <c r="D2452" s="34">
        <f>5250.66/2</f>
        <v>2625.33</v>
      </c>
    </row>
    <row r="2453" spans="1:4" s="23" customFormat="1" hidden="1" x14ac:dyDescent="0.25">
      <c r="A2453" s="4"/>
      <c r="B2453" s="4"/>
      <c r="C2453" s="34"/>
      <c r="D2453" s="34"/>
    </row>
    <row r="2454" spans="1:4" s="23" customFormat="1" hidden="1" x14ac:dyDescent="0.25">
      <c r="A2454" s="4"/>
      <c r="B2454" s="4"/>
      <c r="C2454" s="34"/>
      <c r="D2454" s="34"/>
    </row>
    <row r="2455" spans="1:4" s="23" customFormat="1" hidden="1" x14ac:dyDescent="0.25">
      <c r="A2455" s="4">
        <v>44012</v>
      </c>
      <c r="B2455" t="s">
        <v>14</v>
      </c>
      <c r="C2455" s="36">
        <f>SUM(C2447:C2454)</f>
        <v>0</v>
      </c>
      <c r="D2455" s="36">
        <f>SUM(D2447:D2454)</f>
        <v>615656.44499999995</v>
      </c>
    </row>
    <row r="2456" spans="1:4" s="23" customFormat="1" hidden="1" x14ac:dyDescent="0.25">
      <c r="A2456" s="4"/>
      <c r="B2456" s="4" t="s">
        <v>15</v>
      </c>
      <c r="C2456" s="34" t="str">
        <f>IF(C2455&gt;D2455,C2455-D2455," ")</f>
        <v xml:space="preserve"> </v>
      </c>
      <c r="D2456" s="34">
        <f>IF(D2455&gt;C2455,D2455-C2455," ")</f>
        <v>615656.44499999995</v>
      </c>
    </row>
    <row r="2457" spans="1:4" s="23" customFormat="1" hidden="1" x14ac:dyDescent="0.25">
      <c r="A2457" s="4">
        <v>44013</v>
      </c>
      <c r="B2457" s="4" t="s">
        <v>1082</v>
      </c>
      <c r="C2457" s="34">
        <v>16402.68</v>
      </c>
      <c r="D2457" s="34"/>
    </row>
    <row r="2458" spans="1:4" s="23" customFormat="1" hidden="1" x14ac:dyDescent="0.25">
      <c r="A2458" s="4">
        <v>44125</v>
      </c>
      <c r="B2458" s="4" t="s">
        <v>1006</v>
      </c>
      <c r="C2458" s="34"/>
      <c r="D2458" s="34">
        <f>5423.55/2</f>
        <v>2711.7750000000001</v>
      </c>
    </row>
    <row r="2459" spans="1:4" s="23" customFormat="1" hidden="1" x14ac:dyDescent="0.25">
      <c r="A2459" s="4">
        <v>44225</v>
      </c>
      <c r="B2459" s="4" t="s">
        <v>1046</v>
      </c>
      <c r="C2459" s="34"/>
      <c r="D2459" s="34">
        <f>5423.55/2</f>
        <v>2711.7750000000001</v>
      </c>
    </row>
    <row r="2460" spans="1:4" s="23" customFormat="1" hidden="1" x14ac:dyDescent="0.25">
      <c r="A2460" s="4">
        <v>44320</v>
      </c>
      <c r="B2460" s="4" t="s">
        <v>1068</v>
      </c>
      <c r="C2460" s="34"/>
      <c r="D2460" s="34">
        <f>5423.55/2</f>
        <v>2711.7750000000001</v>
      </c>
    </row>
    <row r="2461" spans="1:4" s="23" customFormat="1" hidden="1" x14ac:dyDescent="0.25">
      <c r="A2461" s="4">
        <v>44369</v>
      </c>
      <c r="B2461" s="4" t="s">
        <v>1078</v>
      </c>
      <c r="C2461" s="34"/>
      <c r="D2461" s="34">
        <f>5423.55/2</f>
        <v>2711.7750000000001</v>
      </c>
    </row>
    <row r="2462" spans="1:4" s="23" customFormat="1" hidden="1" x14ac:dyDescent="0.25">
      <c r="A2462" s="4"/>
      <c r="B2462" s="4"/>
      <c r="C2462" s="34"/>
      <c r="D2462" s="34"/>
    </row>
    <row r="2463" spans="1:4" s="23" customFormat="1" hidden="1" x14ac:dyDescent="0.25">
      <c r="A2463" s="4"/>
      <c r="B2463" s="4"/>
      <c r="C2463" s="34"/>
      <c r="D2463" s="34"/>
    </row>
    <row r="2464" spans="1:4" s="23" customFormat="1" hidden="1" x14ac:dyDescent="0.25">
      <c r="A2464" s="4"/>
      <c r="B2464" s="4"/>
      <c r="C2464" s="34"/>
      <c r="D2464" s="34"/>
    </row>
    <row r="2465" spans="1:4" s="23" customFormat="1" hidden="1" x14ac:dyDescent="0.25">
      <c r="A2465" s="4">
        <v>44377</v>
      </c>
      <c r="B2465" t="s">
        <v>14</v>
      </c>
      <c r="C2465" s="36">
        <f>SUM(C2456:C2464)</f>
        <v>16402.68</v>
      </c>
      <c r="D2465" s="36">
        <f>SUM(D2456:D2464)</f>
        <v>626503.54500000004</v>
      </c>
    </row>
    <row r="2466" spans="1:4" s="23" customFormat="1" x14ac:dyDescent="0.25">
      <c r="A2466" s="4"/>
      <c r="B2466" s="4" t="s">
        <v>15</v>
      </c>
      <c r="C2466" s="34" t="str">
        <f>IF(C2465&gt;D2465,C2465-D2465," ")</f>
        <v xml:space="preserve"> </v>
      </c>
      <c r="D2466" s="34">
        <f>IF(D2465&gt;C2465,D2465-C2465," ")</f>
        <v>610100.86499999999</v>
      </c>
    </row>
    <row r="2467" spans="1:4" s="23" customFormat="1" x14ac:dyDescent="0.25">
      <c r="A2467" s="4">
        <v>44743</v>
      </c>
      <c r="B2467" s="4" t="s">
        <v>1092</v>
      </c>
      <c r="C2467" s="34"/>
      <c r="D2467" s="34">
        <v>76222.850000000006</v>
      </c>
    </row>
    <row r="2468" spans="1:4" s="23" customFormat="1" x14ac:dyDescent="0.25">
      <c r="A2468" s="4">
        <v>44491</v>
      </c>
      <c r="B2468" s="4" t="s">
        <v>1183</v>
      </c>
      <c r="C2468" s="34"/>
      <c r="D2468" s="34">
        <f>5892/2</f>
        <v>2946</v>
      </c>
    </row>
    <row r="2469" spans="1:4" s="23" customFormat="1" x14ac:dyDescent="0.25">
      <c r="A2469" s="4">
        <v>44582</v>
      </c>
      <c r="B2469" s="4" t="s">
        <v>1196</v>
      </c>
      <c r="C2469" s="34"/>
      <c r="D2469" s="34">
        <f>5892/2</f>
        <v>2946</v>
      </c>
    </row>
    <row r="2470" spans="1:4" s="23" customFormat="1" x14ac:dyDescent="0.25">
      <c r="A2470" s="4">
        <v>44608</v>
      </c>
      <c r="B2470" s="4" t="s">
        <v>1198</v>
      </c>
      <c r="C2470" s="34"/>
      <c r="D2470" s="34">
        <f t="shared" ref="D2470:D2475" si="2">1964/2</f>
        <v>982</v>
      </c>
    </row>
    <row r="2471" spans="1:4" s="23" customFormat="1" x14ac:dyDescent="0.25">
      <c r="A2471" s="4">
        <v>44636</v>
      </c>
      <c r="B2471" s="4" t="s">
        <v>1200</v>
      </c>
      <c r="C2471" s="34"/>
      <c r="D2471" s="34">
        <f t="shared" si="2"/>
        <v>982</v>
      </c>
    </row>
    <row r="2472" spans="1:4" s="23" customFormat="1" x14ac:dyDescent="0.25">
      <c r="A2472" s="4">
        <v>44680</v>
      </c>
      <c r="B2472" s="4" t="s">
        <v>1210</v>
      </c>
      <c r="C2472" s="34"/>
      <c r="D2472" s="34">
        <f t="shared" si="2"/>
        <v>982</v>
      </c>
    </row>
    <row r="2473" spans="1:4" s="23" customFormat="1" x14ac:dyDescent="0.25">
      <c r="A2473" s="4">
        <v>44700</v>
      </c>
      <c r="B2473" s="4" t="s">
        <v>1211</v>
      </c>
      <c r="C2473" s="34"/>
      <c r="D2473" s="34">
        <f t="shared" si="2"/>
        <v>982</v>
      </c>
    </row>
    <row r="2474" spans="1:4" s="23" customFormat="1" x14ac:dyDescent="0.25">
      <c r="A2474" s="4">
        <v>44734</v>
      </c>
      <c r="B2474" s="4" t="s">
        <v>1219</v>
      </c>
      <c r="C2474" s="34"/>
      <c r="D2474" s="34">
        <f t="shared" si="2"/>
        <v>982</v>
      </c>
    </row>
    <row r="2475" spans="1:4" s="23" customFormat="1" x14ac:dyDescent="0.25">
      <c r="A2475" s="4">
        <v>44734</v>
      </c>
      <c r="B2475" s="4" t="s">
        <v>1220</v>
      </c>
      <c r="C2475" s="34"/>
      <c r="D2475" s="34">
        <f t="shared" si="2"/>
        <v>982</v>
      </c>
    </row>
    <row r="2476" spans="1:4" s="23" customFormat="1" x14ac:dyDescent="0.25">
      <c r="A2476" s="4"/>
      <c r="B2476" s="4"/>
      <c r="C2476" s="34"/>
      <c r="D2476" s="34"/>
    </row>
    <row r="2477" spans="1:4" s="23" customFormat="1" x14ac:dyDescent="0.25">
      <c r="A2477" s="4">
        <v>44742</v>
      </c>
      <c r="B2477" t="s">
        <v>14</v>
      </c>
      <c r="C2477" s="36">
        <f>SUM(C2466:C2476)</f>
        <v>0</v>
      </c>
      <c r="D2477" s="36">
        <f>SUM(D2466:D2476)</f>
        <v>698107.71499999997</v>
      </c>
    </row>
    <row r="2478" spans="1:4" s="23" customFormat="1" x14ac:dyDescent="0.25">
      <c r="A2478" s="4"/>
      <c r="B2478" s="4" t="s">
        <v>15</v>
      </c>
      <c r="C2478" s="34" t="str">
        <f>IF(C2477&gt;D2477,C2477-D2477," ")</f>
        <v xml:space="preserve"> </v>
      </c>
      <c r="D2478" s="34">
        <f>IF(D2477&gt;C2477,D2477-C2477," ")</f>
        <v>698107.71499999997</v>
      </c>
    </row>
    <row r="2479" spans="1:4" s="23" customFormat="1" x14ac:dyDescent="0.25">
      <c r="A2479" s="4"/>
      <c r="B2479" s="4"/>
      <c r="C2479" s="34"/>
      <c r="D2479" s="34"/>
    </row>
    <row r="2480" spans="1:4" x14ac:dyDescent="0.25">
      <c r="A2480" s="30" t="s">
        <v>98</v>
      </c>
      <c r="C2480" s="34"/>
      <c r="D2480" s="34"/>
    </row>
    <row r="2481" spans="1:4" x14ac:dyDescent="0.25">
      <c r="A2481" s="30" t="s">
        <v>2</v>
      </c>
      <c r="B2481" s="1" t="s">
        <v>3</v>
      </c>
      <c r="C2481" s="35" t="s">
        <v>4</v>
      </c>
      <c r="D2481" s="35" t="s">
        <v>5</v>
      </c>
    </row>
    <row r="2482" spans="1:4" hidden="1" x14ac:dyDescent="0.25">
      <c r="A2482" s="4">
        <v>35964</v>
      </c>
      <c r="B2482" t="s">
        <v>99</v>
      </c>
      <c r="C2482" s="34"/>
      <c r="D2482" s="34">
        <v>1000</v>
      </c>
    </row>
    <row r="2483" spans="1:4" hidden="1" x14ac:dyDescent="0.25">
      <c r="A2483" s="4">
        <v>35976</v>
      </c>
      <c r="B2483" t="s">
        <v>14</v>
      </c>
      <c r="C2483" s="36">
        <f>SUM(C2482:C2482)</f>
        <v>0</v>
      </c>
      <c r="D2483" s="36">
        <f>SUM(D2482:D2482)</f>
        <v>1000</v>
      </c>
    </row>
    <row r="2484" spans="1:4" hidden="1" x14ac:dyDescent="0.25">
      <c r="A2484" s="4"/>
      <c r="B2484" s="4" t="s">
        <v>15</v>
      </c>
      <c r="C2484" s="34" t="str">
        <f>IF(C2483&gt;D2483,C2483-D2483," ")</f>
        <v xml:space="preserve"> </v>
      </c>
      <c r="D2484" s="34">
        <f>IF(D2483&gt;C2483,D2483-C2483," ")</f>
        <v>1000</v>
      </c>
    </row>
    <row r="2485" spans="1:4" hidden="1" x14ac:dyDescent="0.25">
      <c r="A2485" s="4">
        <v>36342</v>
      </c>
      <c r="B2485" s="4" t="s">
        <v>94</v>
      </c>
      <c r="C2485" s="34">
        <v>583.62</v>
      </c>
      <c r="D2485" s="34"/>
    </row>
    <row r="2486" spans="1:4" hidden="1" x14ac:dyDescent="0.25">
      <c r="A2486" s="4">
        <v>36341</v>
      </c>
      <c r="B2486" t="s">
        <v>99</v>
      </c>
      <c r="C2486" s="34"/>
      <c r="D2486" s="34">
        <v>200</v>
      </c>
    </row>
    <row r="2487" spans="1:4" hidden="1" x14ac:dyDescent="0.25">
      <c r="A2487" s="4">
        <v>36341</v>
      </c>
      <c r="B2487" t="s">
        <v>14</v>
      </c>
      <c r="C2487" s="36">
        <f>SUM(C2484:C2486)</f>
        <v>583.62</v>
      </c>
      <c r="D2487" s="36">
        <f>SUM(D2484:D2486)</f>
        <v>1200</v>
      </c>
    </row>
    <row r="2488" spans="1:4" hidden="1" x14ac:dyDescent="0.25">
      <c r="A2488" s="4"/>
      <c r="B2488" s="4" t="s">
        <v>15</v>
      </c>
      <c r="C2488" s="34" t="str">
        <f>IF(C2487&gt;D2487,C2487-D2487," ")</f>
        <v xml:space="preserve"> </v>
      </c>
      <c r="D2488" s="34">
        <f>IF(D2487&gt;C2487,D2487-C2487," ")</f>
        <v>616.38</v>
      </c>
    </row>
    <row r="2489" spans="1:4" hidden="1" x14ac:dyDescent="0.25">
      <c r="A2489" s="4">
        <v>36342</v>
      </c>
      <c r="B2489" s="4" t="s">
        <v>94</v>
      </c>
      <c r="C2489" s="34">
        <v>491.84</v>
      </c>
      <c r="D2489" s="34"/>
    </row>
    <row r="2490" spans="1:4" hidden="1" x14ac:dyDescent="0.25">
      <c r="A2490" s="4"/>
      <c r="C2490" s="34"/>
      <c r="D2490" s="34"/>
    </row>
    <row r="2491" spans="1:4" hidden="1" x14ac:dyDescent="0.25">
      <c r="A2491" s="4">
        <v>36707</v>
      </c>
      <c r="B2491" t="s">
        <v>14</v>
      </c>
      <c r="C2491" s="36">
        <f>SUM(C2488:C2490)</f>
        <v>491.84</v>
      </c>
      <c r="D2491" s="36">
        <f>SUM(D2488:D2490)</f>
        <v>616.38</v>
      </c>
    </row>
    <row r="2492" spans="1:4" hidden="1" x14ac:dyDescent="0.25">
      <c r="A2492" s="4"/>
      <c r="B2492" s="4" t="s">
        <v>15</v>
      </c>
      <c r="C2492" s="34" t="str">
        <f>IF(C2491&gt;D2491,C2491-D2491," ")</f>
        <v xml:space="preserve"> </v>
      </c>
      <c r="D2492" s="34">
        <f>IF(D2491&gt;C2491,D2491-C2491," ")</f>
        <v>124.54000000000002</v>
      </c>
    </row>
    <row r="2493" spans="1:4" hidden="1" x14ac:dyDescent="0.25">
      <c r="A2493" s="4">
        <v>36708</v>
      </c>
      <c r="B2493" s="4" t="s">
        <v>97</v>
      </c>
      <c r="C2493" s="34">
        <v>555.1</v>
      </c>
      <c r="D2493" s="34"/>
    </row>
    <row r="2494" spans="1:4" hidden="1" x14ac:dyDescent="0.25">
      <c r="A2494" s="4">
        <v>37072</v>
      </c>
      <c r="B2494" t="s">
        <v>14</v>
      </c>
      <c r="C2494" s="36">
        <f>SUM(C2492:C2493)</f>
        <v>555.1</v>
      </c>
      <c r="D2494" s="36">
        <f>SUM(D2492:D2493)</f>
        <v>124.54000000000002</v>
      </c>
    </row>
    <row r="2495" spans="1:4" hidden="1" x14ac:dyDescent="0.25">
      <c r="A2495" s="4"/>
      <c r="B2495" s="4" t="s">
        <v>15</v>
      </c>
      <c r="C2495" s="34">
        <f>IF(C2494&gt;D2494,C2494-D2494," ")</f>
        <v>430.56</v>
      </c>
      <c r="D2495" s="34" t="str">
        <f>IF(D2494&gt;C2494,D2494-C2494," ")</f>
        <v xml:space="preserve"> </v>
      </c>
    </row>
    <row r="2496" spans="1:4" hidden="1" x14ac:dyDescent="0.25">
      <c r="A2496" s="4">
        <v>37073</v>
      </c>
      <c r="B2496" s="4" t="s">
        <v>164</v>
      </c>
      <c r="C2496" s="34"/>
      <c r="D2496" s="34">
        <v>1564.19</v>
      </c>
    </row>
    <row r="2497" spans="1:4" s="23" customFormat="1" hidden="1" x14ac:dyDescent="0.25">
      <c r="A2497" s="4">
        <v>37437</v>
      </c>
      <c r="B2497" t="s">
        <v>14</v>
      </c>
      <c r="C2497" s="36">
        <f>SUM(C2495:C2496)</f>
        <v>430.56</v>
      </c>
      <c r="D2497" s="36">
        <f>SUM(D2495:D2496)</f>
        <v>1564.19</v>
      </c>
    </row>
    <row r="2498" spans="1:4" s="23" customFormat="1" hidden="1" x14ac:dyDescent="0.25">
      <c r="A2498" s="4"/>
      <c r="B2498" s="4" t="s">
        <v>15</v>
      </c>
      <c r="C2498" s="34" t="str">
        <f>IF(C2497&gt;D2497,C2497-D2497," ")</f>
        <v xml:space="preserve"> </v>
      </c>
      <c r="D2498" s="34">
        <f>IF(D2497&gt;C2497,D2497-C2497," ")</f>
        <v>1133.6300000000001</v>
      </c>
    </row>
    <row r="2499" spans="1:4" s="23" customFormat="1" hidden="1" x14ac:dyDescent="0.25">
      <c r="A2499" s="4">
        <v>37438</v>
      </c>
      <c r="B2499" s="4" t="s">
        <v>189</v>
      </c>
      <c r="C2499" s="37">
        <v>638</v>
      </c>
      <c r="D2499" s="38"/>
    </row>
    <row r="2500" spans="1:4" s="23" customFormat="1" hidden="1" x14ac:dyDescent="0.25">
      <c r="A2500" s="4">
        <v>37802</v>
      </c>
      <c r="B2500" t="s">
        <v>14</v>
      </c>
      <c r="C2500" s="36">
        <f>SUM(C2498:C2499)</f>
        <v>638</v>
      </c>
      <c r="D2500" s="36">
        <f>SUM(D2498:D2499)</f>
        <v>1133.6300000000001</v>
      </c>
    </row>
    <row r="2501" spans="1:4" s="23" customFormat="1" hidden="1" x14ac:dyDescent="0.25">
      <c r="A2501" s="4"/>
      <c r="B2501" s="4" t="s">
        <v>15</v>
      </c>
      <c r="C2501" s="34" t="str">
        <f>IF(C2500&gt;D2500,C2500-D2500," ")</f>
        <v xml:space="preserve"> </v>
      </c>
      <c r="D2501" s="34">
        <f>IF(D2500&gt;C2500,D2500-C2500," ")</f>
        <v>495.63000000000011</v>
      </c>
    </row>
    <row r="2502" spans="1:4" s="23" customFormat="1" hidden="1" x14ac:dyDescent="0.25">
      <c r="A2502" s="4">
        <v>37803</v>
      </c>
      <c r="B2502" s="4" t="s">
        <v>192</v>
      </c>
      <c r="C2502" s="34">
        <v>742.35</v>
      </c>
      <c r="D2502" s="34"/>
    </row>
    <row r="2503" spans="1:4" s="23" customFormat="1" hidden="1" x14ac:dyDescent="0.25">
      <c r="A2503" s="4">
        <v>37824</v>
      </c>
      <c r="B2503" s="4" t="s">
        <v>194</v>
      </c>
      <c r="C2503" s="34"/>
      <c r="D2503" s="34">
        <v>654.89</v>
      </c>
    </row>
    <row r="2504" spans="1:4" s="23" customFormat="1" hidden="1" x14ac:dyDescent="0.25">
      <c r="A2504" s="4">
        <v>37831</v>
      </c>
      <c r="B2504" s="4" t="s">
        <v>197</v>
      </c>
      <c r="C2504" s="34"/>
      <c r="D2504" s="34">
        <v>3515</v>
      </c>
    </row>
    <row r="2505" spans="1:4" s="23" customFormat="1" hidden="1" x14ac:dyDescent="0.25">
      <c r="A2505" s="4">
        <v>37833</v>
      </c>
      <c r="B2505" s="4" t="s">
        <v>196</v>
      </c>
      <c r="C2505" s="34"/>
      <c r="D2505" s="34">
        <v>35.020000000000003</v>
      </c>
    </row>
    <row r="2506" spans="1:4" s="23" customFormat="1" hidden="1" x14ac:dyDescent="0.25">
      <c r="A2506" s="4">
        <v>38168</v>
      </c>
      <c r="B2506" t="s">
        <v>14</v>
      </c>
      <c r="C2506" s="36">
        <f>SUM(C2501:C2505)</f>
        <v>742.35</v>
      </c>
      <c r="D2506" s="36">
        <f>SUM(D2501:D2505)</f>
        <v>4700.5400000000009</v>
      </c>
    </row>
    <row r="2507" spans="1:4" s="23" customFormat="1" hidden="1" x14ac:dyDescent="0.25">
      <c r="A2507" s="4"/>
      <c r="B2507" s="4" t="s">
        <v>15</v>
      </c>
      <c r="C2507" s="34" t="str">
        <f>IF(C2506&gt;D2506,C2506-D2506," ")</f>
        <v xml:space="preserve"> </v>
      </c>
      <c r="D2507" s="34">
        <f>IF(D2506&gt;C2506,D2506-C2506," ")</f>
        <v>3958.190000000001</v>
      </c>
    </row>
    <row r="2508" spans="1:4" s="23" customFormat="1" hidden="1" x14ac:dyDescent="0.25">
      <c r="A2508" s="4">
        <v>38169</v>
      </c>
      <c r="B2508" s="4" t="s">
        <v>207</v>
      </c>
      <c r="C2508" s="34"/>
      <c r="D2508" s="34">
        <v>36.32</v>
      </c>
    </row>
    <row r="2509" spans="1:4" s="23" customFormat="1" hidden="1" x14ac:dyDescent="0.25">
      <c r="A2509" s="4">
        <v>38533</v>
      </c>
      <c r="B2509" t="s">
        <v>14</v>
      </c>
      <c r="C2509" s="36">
        <f>SUM(C2507:C2508)</f>
        <v>0</v>
      </c>
      <c r="D2509" s="36">
        <f>SUM(D2507:D2508)</f>
        <v>3994.5100000000011</v>
      </c>
    </row>
    <row r="2510" spans="1:4" s="23" customFormat="1" hidden="1" x14ac:dyDescent="0.25">
      <c r="A2510" s="4"/>
      <c r="B2510" s="4" t="s">
        <v>15</v>
      </c>
      <c r="C2510" s="34" t="str">
        <f>IF(C2509&gt;D2509,C2509-D2509," ")</f>
        <v xml:space="preserve"> </v>
      </c>
      <c r="D2510" s="34">
        <f>IF(D2509&gt;C2509,D2509-C2509," ")</f>
        <v>3994.5100000000011</v>
      </c>
    </row>
    <row r="2511" spans="1:4" s="23" customFormat="1" hidden="1" x14ac:dyDescent="0.25">
      <c r="A2511" s="4">
        <v>38534</v>
      </c>
      <c r="B2511" s="4" t="s">
        <v>245</v>
      </c>
      <c r="C2511" s="34"/>
      <c r="D2511" s="34">
        <v>51.94</v>
      </c>
    </row>
    <row r="2512" spans="1:4" s="23" customFormat="1" hidden="1" x14ac:dyDescent="0.25">
      <c r="A2512" s="4">
        <v>38744</v>
      </c>
      <c r="B2512" s="4" t="s">
        <v>230</v>
      </c>
      <c r="C2512" s="34"/>
      <c r="D2512" s="34">
        <f t="shared" ref="D2512:D2518" si="3">851.95/2</f>
        <v>425.97500000000002</v>
      </c>
    </row>
    <row r="2513" spans="1:4" s="23" customFormat="1" hidden="1" x14ac:dyDescent="0.25">
      <c r="A2513" s="4">
        <v>38762</v>
      </c>
      <c r="B2513" s="4" t="s">
        <v>230</v>
      </c>
      <c r="C2513" s="34"/>
      <c r="D2513" s="34">
        <f t="shared" si="3"/>
        <v>425.97500000000002</v>
      </c>
    </row>
    <row r="2514" spans="1:4" s="23" customFormat="1" hidden="1" x14ac:dyDescent="0.25">
      <c r="A2514" s="4">
        <v>38779</v>
      </c>
      <c r="B2514" s="4" t="s">
        <v>230</v>
      </c>
      <c r="C2514" s="34"/>
      <c r="D2514" s="34">
        <f t="shared" si="3"/>
        <v>425.97500000000002</v>
      </c>
    </row>
    <row r="2515" spans="1:4" s="23" customFormat="1" hidden="1" x14ac:dyDescent="0.25">
      <c r="A2515" s="4">
        <v>38805</v>
      </c>
      <c r="B2515" s="4" t="s">
        <v>230</v>
      </c>
      <c r="C2515" s="34"/>
      <c r="D2515" s="34">
        <f t="shared" si="3"/>
        <v>425.97500000000002</v>
      </c>
    </row>
    <row r="2516" spans="1:4" s="23" customFormat="1" hidden="1" x14ac:dyDescent="0.25">
      <c r="A2516" s="4">
        <v>38840</v>
      </c>
      <c r="B2516" s="4" t="s">
        <v>230</v>
      </c>
      <c r="C2516" s="34"/>
      <c r="D2516" s="34">
        <f t="shared" si="3"/>
        <v>425.97500000000002</v>
      </c>
    </row>
    <row r="2517" spans="1:4" s="23" customFormat="1" hidden="1" x14ac:dyDescent="0.25">
      <c r="A2517" s="4">
        <v>38884</v>
      </c>
      <c r="B2517" s="4" t="s">
        <v>230</v>
      </c>
      <c r="C2517" s="34"/>
      <c r="D2517" s="34">
        <f t="shared" si="3"/>
        <v>425.97500000000002</v>
      </c>
    </row>
    <row r="2518" spans="1:4" s="23" customFormat="1" hidden="1" x14ac:dyDescent="0.25">
      <c r="A2518" s="4">
        <v>38888</v>
      </c>
      <c r="B2518" s="4" t="s">
        <v>230</v>
      </c>
      <c r="C2518" s="34"/>
      <c r="D2518" s="34">
        <f t="shared" si="3"/>
        <v>425.97500000000002</v>
      </c>
    </row>
    <row r="2519" spans="1:4" s="23" customFormat="1" hidden="1" x14ac:dyDescent="0.25">
      <c r="A2519" s="4"/>
      <c r="B2519" s="4"/>
      <c r="C2519" s="34"/>
      <c r="D2519" s="34"/>
    </row>
    <row r="2520" spans="1:4" s="23" customFormat="1" hidden="1" x14ac:dyDescent="0.25">
      <c r="A2520" s="4">
        <v>38898</v>
      </c>
      <c r="B2520" t="s">
        <v>14</v>
      </c>
      <c r="C2520" s="36">
        <f>SUM(C2510:C2519)</f>
        <v>0</v>
      </c>
      <c r="D2520" s="36">
        <f>SUM(D2510:D2519)</f>
        <v>7028.2750000000033</v>
      </c>
    </row>
    <row r="2521" spans="1:4" s="23" customFormat="1" hidden="1" x14ac:dyDescent="0.25">
      <c r="A2521" s="4"/>
      <c r="B2521" s="4" t="s">
        <v>15</v>
      </c>
      <c r="C2521" s="34" t="str">
        <f>IF(C2520&gt;D2520,C2520-D2520," ")</f>
        <v xml:space="preserve"> </v>
      </c>
      <c r="D2521" s="34">
        <f>IF(D2520&gt;C2520,D2520-C2520," ")</f>
        <v>7028.2750000000033</v>
      </c>
    </row>
    <row r="2522" spans="1:4" s="23" customFormat="1" hidden="1" x14ac:dyDescent="0.25">
      <c r="A2522" s="4">
        <v>38899</v>
      </c>
      <c r="B2522" s="4" t="s">
        <v>252</v>
      </c>
      <c r="C2522" s="34">
        <v>940.03</v>
      </c>
      <c r="D2522" s="34"/>
    </row>
    <row r="2523" spans="1:4" s="23" customFormat="1" hidden="1" x14ac:dyDescent="0.25">
      <c r="A2523" s="4">
        <v>38905</v>
      </c>
      <c r="B2523" s="4" t="s">
        <v>230</v>
      </c>
      <c r="C2523" s="34"/>
      <c r="D2523" s="34">
        <f>851.95/2</f>
        <v>425.97500000000002</v>
      </c>
    </row>
    <row r="2524" spans="1:4" s="23" customFormat="1" hidden="1" x14ac:dyDescent="0.25">
      <c r="A2524" s="4">
        <v>38937</v>
      </c>
      <c r="B2524" s="4" t="s">
        <v>230</v>
      </c>
      <c r="C2524" s="34"/>
      <c r="D2524" s="34">
        <f>1003.08/2</f>
        <v>501.54</v>
      </c>
    </row>
    <row r="2525" spans="1:4" s="23" customFormat="1" hidden="1" x14ac:dyDescent="0.25">
      <c r="A2525" s="4">
        <v>38957</v>
      </c>
      <c r="B2525" s="4" t="s">
        <v>230</v>
      </c>
      <c r="C2525" s="34"/>
      <c r="D2525" s="34">
        <f t="shared" ref="D2525:D2535" si="4">1047.9/2</f>
        <v>523.95000000000005</v>
      </c>
    </row>
    <row r="2526" spans="1:4" s="23" customFormat="1" hidden="1" x14ac:dyDescent="0.25">
      <c r="A2526" s="4">
        <v>38985</v>
      </c>
      <c r="B2526" s="4" t="s">
        <v>230</v>
      </c>
      <c r="C2526" s="34"/>
      <c r="D2526" s="34">
        <f t="shared" si="4"/>
        <v>523.95000000000005</v>
      </c>
    </row>
    <row r="2527" spans="1:4" s="23" customFormat="1" hidden="1" x14ac:dyDescent="0.25">
      <c r="A2527" s="4">
        <v>39021</v>
      </c>
      <c r="B2527" s="4" t="s">
        <v>230</v>
      </c>
      <c r="C2527" s="34"/>
      <c r="D2527" s="34">
        <f t="shared" si="4"/>
        <v>523.95000000000005</v>
      </c>
    </row>
    <row r="2528" spans="1:4" s="23" customFormat="1" hidden="1" x14ac:dyDescent="0.25">
      <c r="A2528" s="4">
        <v>39045</v>
      </c>
      <c r="B2528" s="4" t="s">
        <v>230</v>
      </c>
      <c r="C2528" s="34"/>
      <c r="D2528" s="34">
        <f t="shared" si="4"/>
        <v>523.95000000000005</v>
      </c>
    </row>
    <row r="2529" spans="1:4" s="23" customFormat="1" hidden="1" x14ac:dyDescent="0.25">
      <c r="A2529" s="4">
        <v>39072</v>
      </c>
      <c r="B2529" s="4" t="s">
        <v>230</v>
      </c>
      <c r="C2529" s="34"/>
      <c r="D2529" s="34">
        <f t="shared" si="4"/>
        <v>523.95000000000005</v>
      </c>
    </row>
    <row r="2530" spans="1:4" s="23" customFormat="1" hidden="1" x14ac:dyDescent="0.25">
      <c r="A2530" s="4">
        <v>39104</v>
      </c>
      <c r="B2530" s="4" t="s">
        <v>230</v>
      </c>
      <c r="C2530" s="34"/>
      <c r="D2530" s="34">
        <f t="shared" si="4"/>
        <v>523.95000000000005</v>
      </c>
    </row>
    <row r="2531" spans="1:4" s="23" customFormat="1" hidden="1" x14ac:dyDescent="0.25">
      <c r="A2531" s="4">
        <v>39140</v>
      </c>
      <c r="B2531" s="4" t="s">
        <v>230</v>
      </c>
      <c r="C2531" s="34"/>
      <c r="D2531" s="34">
        <f t="shared" si="4"/>
        <v>523.95000000000005</v>
      </c>
    </row>
    <row r="2532" spans="1:4" s="23" customFormat="1" hidden="1" x14ac:dyDescent="0.25">
      <c r="A2532" s="4">
        <v>39164</v>
      </c>
      <c r="B2532" s="4" t="s">
        <v>230</v>
      </c>
      <c r="C2532" s="34"/>
      <c r="D2532" s="34">
        <f t="shared" si="4"/>
        <v>523.95000000000005</v>
      </c>
    </row>
    <row r="2533" spans="1:4" s="23" customFormat="1" hidden="1" x14ac:dyDescent="0.25">
      <c r="A2533" s="4">
        <v>39195</v>
      </c>
      <c r="B2533" s="4" t="s">
        <v>230</v>
      </c>
      <c r="C2533" s="34"/>
      <c r="D2533" s="34">
        <f t="shared" si="4"/>
        <v>523.95000000000005</v>
      </c>
    </row>
    <row r="2534" spans="1:4" s="23" customFormat="1" hidden="1" x14ac:dyDescent="0.25">
      <c r="A2534" s="4">
        <v>39225</v>
      </c>
      <c r="B2534" s="4" t="s">
        <v>230</v>
      </c>
      <c r="C2534" s="34"/>
      <c r="D2534" s="34">
        <f t="shared" si="4"/>
        <v>523.95000000000005</v>
      </c>
    </row>
    <row r="2535" spans="1:4" s="23" customFormat="1" hidden="1" x14ac:dyDescent="0.25">
      <c r="A2535" s="4">
        <v>39251</v>
      </c>
      <c r="B2535" s="4" t="s">
        <v>230</v>
      </c>
      <c r="C2535" s="34"/>
      <c r="D2535" s="34">
        <f t="shared" si="4"/>
        <v>523.95000000000005</v>
      </c>
    </row>
    <row r="2536" spans="1:4" s="23" customFormat="1" hidden="1" x14ac:dyDescent="0.25">
      <c r="A2536" s="4"/>
      <c r="B2536" s="4"/>
      <c r="C2536" s="34"/>
      <c r="D2536" s="34"/>
    </row>
    <row r="2537" spans="1:4" s="23" customFormat="1" hidden="1" x14ac:dyDescent="0.25">
      <c r="A2537" s="4"/>
      <c r="B2537" s="4"/>
      <c r="C2537" s="34"/>
      <c r="D2537" s="34"/>
    </row>
    <row r="2538" spans="1:4" s="23" customFormat="1" hidden="1" x14ac:dyDescent="0.25">
      <c r="A2538" s="4">
        <v>39263</v>
      </c>
      <c r="B2538" t="s">
        <v>14</v>
      </c>
      <c r="C2538" s="36">
        <f>SUM(C2521:C2537)</f>
        <v>940.03</v>
      </c>
      <c r="D2538" s="36">
        <f>SUM(D2521:D2537)</f>
        <v>13719.240000000011</v>
      </c>
    </row>
    <row r="2539" spans="1:4" s="23" customFormat="1" hidden="1" x14ac:dyDescent="0.25">
      <c r="A2539" s="4"/>
      <c r="B2539" s="4" t="s">
        <v>15</v>
      </c>
      <c r="C2539" s="34" t="str">
        <f>IF(C2538&gt;D2538,C2538-D2538," ")</f>
        <v xml:space="preserve"> </v>
      </c>
      <c r="D2539" s="34">
        <f>IF(D2538&gt;C2538,D2538-C2538," ")</f>
        <v>12779.21000000001</v>
      </c>
    </row>
    <row r="2540" spans="1:4" s="23" customFormat="1" hidden="1" x14ac:dyDescent="0.25">
      <c r="A2540" s="4">
        <v>39264</v>
      </c>
      <c r="B2540" s="4" t="s">
        <v>285</v>
      </c>
      <c r="C2540" s="34"/>
      <c r="D2540" s="34">
        <v>608.86</v>
      </c>
    </row>
    <row r="2541" spans="1:4" s="23" customFormat="1" hidden="1" x14ac:dyDescent="0.25">
      <c r="A2541" s="4">
        <v>39283</v>
      </c>
      <c r="B2541" s="4" t="s">
        <v>293</v>
      </c>
      <c r="C2541" s="34"/>
      <c r="D2541" s="34">
        <f>1396.86/2</f>
        <v>698.43</v>
      </c>
    </row>
    <row r="2542" spans="1:4" s="23" customFormat="1" hidden="1" x14ac:dyDescent="0.25">
      <c r="A2542" s="4">
        <v>39316</v>
      </c>
      <c r="B2542" s="4" t="s">
        <v>293</v>
      </c>
      <c r="C2542" s="34"/>
      <c r="D2542" s="34">
        <f>1396.86/2</f>
        <v>698.43</v>
      </c>
    </row>
    <row r="2543" spans="1:4" s="23" customFormat="1" hidden="1" x14ac:dyDescent="0.25">
      <c r="A2543" s="4">
        <v>39346</v>
      </c>
      <c r="B2543" s="4" t="s">
        <v>293</v>
      </c>
      <c r="C2543" s="34"/>
      <c r="D2543" s="34">
        <f>488.59/2</f>
        <v>244.29499999999999</v>
      </c>
    </row>
    <row r="2544" spans="1:4" s="23" customFormat="1" hidden="1" x14ac:dyDescent="0.25">
      <c r="A2544" s="4">
        <v>39378</v>
      </c>
      <c r="B2544" s="4" t="s">
        <v>293</v>
      </c>
      <c r="C2544" s="34"/>
      <c r="D2544" s="34">
        <f>1396.86/2</f>
        <v>698.43</v>
      </c>
    </row>
    <row r="2545" spans="1:4" s="23" customFormat="1" hidden="1" x14ac:dyDescent="0.25">
      <c r="A2545" s="4">
        <v>39408</v>
      </c>
      <c r="B2545" s="4" t="s">
        <v>293</v>
      </c>
      <c r="C2545" s="34"/>
      <c r="D2545" s="34">
        <f>1396.86/2</f>
        <v>698.43</v>
      </c>
    </row>
    <row r="2546" spans="1:4" s="23" customFormat="1" hidden="1" x14ac:dyDescent="0.25">
      <c r="A2546" s="4">
        <v>39437</v>
      </c>
      <c r="B2546" s="4" t="s">
        <v>293</v>
      </c>
      <c r="C2546" s="34"/>
      <c r="D2546" s="34">
        <f>488.59/2</f>
        <v>244.29499999999999</v>
      </c>
    </row>
    <row r="2547" spans="1:4" s="23" customFormat="1" hidden="1" x14ac:dyDescent="0.25">
      <c r="A2547" s="4">
        <v>39470</v>
      </c>
      <c r="B2547" s="4" t="s">
        <v>293</v>
      </c>
      <c r="C2547" s="34"/>
      <c r="D2547" s="34">
        <f>1396.86/2</f>
        <v>698.43</v>
      </c>
    </row>
    <row r="2548" spans="1:4" s="23" customFormat="1" hidden="1" x14ac:dyDescent="0.25">
      <c r="A2548" s="4">
        <v>39503</v>
      </c>
      <c r="B2548" s="4" t="s">
        <v>293</v>
      </c>
      <c r="C2548" s="34"/>
      <c r="D2548" s="34">
        <f>1396.86/2</f>
        <v>698.43</v>
      </c>
    </row>
    <row r="2549" spans="1:4" s="23" customFormat="1" hidden="1" x14ac:dyDescent="0.25">
      <c r="A2549" s="4">
        <v>39512</v>
      </c>
      <c r="B2549" s="4" t="s">
        <v>299</v>
      </c>
      <c r="C2549" s="34"/>
      <c r="D2549" s="34">
        <v>544.51</v>
      </c>
    </row>
    <row r="2550" spans="1:4" s="23" customFormat="1" hidden="1" x14ac:dyDescent="0.25">
      <c r="A2550" s="4">
        <v>39532</v>
      </c>
      <c r="B2550" s="4" t="s">
        <v>293</v>
      </c>
      <c r="C2550" s="34"/>
      <c r="D2550" s="34">
        <f>488.59/2</f>
        <v>244.29499999999999</v>
      </c>
    </row>
    <row r="2551" spans="1:4" s="23" customFormat="1" hidden="1" x14ac:dyDescent="0.25">
      <c r="A2551" s="4">
        <v>39556</v>
      </c>
      <c r="B2551" s="4" t="s">
        <v>299</v>
      </c>
      <c r="C2551" s="34"/>
      <c r="D2551" s="34">
        <v>416.26</v>
      </c>
    </row>
    <row r="2552" spans="1:4" s="23" customFormat="1" hidden="1" x14ac:dyDescent="0.25">
      <c r="A2552" s="4">
        <v>39570</v>
      </c>
      <c r="B2552" s="4" t="s">
        <v>293</v>
      </c>
      <c r="C2552" s="34"/>
      <c r="D2552" s="34">
        <f>1396.86/2</f>
        <v>698.43</v>
      </c>
    </row>
    <row r="2553" spans="1:4" s="23" customFormat="1" hidden="1" x14ac:dyDescent="0.25">
      <c r="A2553" s="4">
        <v>39591</v>
      </c>
      <c r="B2553" s="4" t="s">
        <v>293</v>
      </c>
      <c r="C2553" s="34"/>
      <c r="D2553" s="34">
        <f>1396.86/2</f>
        <v>698.43</v>
      </c>
    </row>
    <row r="2554" spans="1:4" s="23" customFormat="1" hidden="1" x14ac:dyDescent="0.25">
      <c r="A2554" s="4">
        <v>39612</v>
      </c>
      <c r="B2554" s="4" t="s">
        <v>293</v>
      </c>
      <c r="C2554" s="34"/>
      <c r="D2554" s="34">
        <f>319.5/2</f>
        <v>159.75</v>
      </c>
    </row>
    <row r="2555" spans="1:4" s="23" customFormat="1" hidden="1" x14ac:dyDescent="0.25">
      <c r="A2555" s="4">
        <v>39619</v>
      </c>
      <c r="B2555" s="4" t="s">
        <v>293</v>
      </c>
      <c r="C2555" s="34"/>
      <c r="D2555" s="34">
        <f>169.09/2</f>
        <v>84.545000000000002</v>
      </c>
    </row>
    <row r="2556" spans="1:4" s="23" customFormat="1" hidden="1" x14ac:dyDescent="0.25">
      <c r="A2556" s="4">
        <v>39629</v>
      </c>
      <c r="B2556" t="s">
        <v>14</v>
      </c>
      <c r="C2556" s="36">
        <f>SUM(C2539:C2555)</f>
        <v>0</v>
      </c>
      <c r="D2556" s="36">
        <f>SUM(D2539:D2555)</f>
        <v>20913.460000000003</v>
      </c>
    </row>
    <row r="2557" spans="1:4" s="23" customFormat="1" hidden="1" x14ac:dyDescent="0.25">
      <c r="A2557" s="4"/>
      <c r="B2557" s="4" t="s">
        <v>15</v>
      </c>
      <c r="C2557" s="34" t="str">
        <f>IF(C2556&gt;D2556,C2556-D2556," ")</f>
        <v xml:space="preserve"> </v>
      </c>
      <c r="D2557" s="34">
        <f>IF(D2556&gt;C2556,D2556-C2556," ")</f>
        <v>20913.460000000003</v>
      </c>
    </row>
    <row r="2558" spans="1:4" s="23" customFormat="1" hidden="1" x14ac:dyDescent="0.25">
      <c r="A2558" s="4">
        <v>39630</v>
      </c>
      <c r="B2558" s="4" t="s">
        <v>311</v>
      </c>
      <c r="C2558" s="34">
        <v>7519.71</v>
      </c>
      <c r="D2558" s="34"/>
    </row>
    <row r="2559" spans="1:4" s="23" customFormat="1" hidden="1" x14ac:dyDescent="0.25">
      <c r="A2559" s="4">
        <v>39644</v>
      </c>
      <c r="B2559" s="4" t="s">
        <v>315</v>
      </c>
      <c r="C2559" s="34"/>
      <c r="D2559" s="34">
        <f>3436.2/2</f>
        <v>1718.1</v>
      </c>
    </row>
    <row r="2560" spans="1:4" s="23" customFormat="1" hidden="1" x14ac:dyDescent="0.25">
      <c r="A2560" s="4">
        <v>39692</v>
      </c>
      <c r="B2560" s="4" t="s">
        <v>299</v>
      </c>
      <c r="C2560" s="34"/>
      <c r="D2560" s="34">
        <v>447.75</v>
      </c>
    </row>
    <row r="2561" spans="1:4" s="23" customFormat="1" hidden="1" x14ac:dyDescent="0.25">
      <c r="A2561" s="4">
        <v>39743</v>
      </c>
      <c r="B2561" s="4" t="s">
        <v>315</v>
      </c>
      <c r="C2561" s="34"/>
      <c r="D2561" s="34">
        <f>1732.87/2</f>
        <v>866.43499999999995</v>
      </c>
    </row>
    <row r="2562" spans="1:4" s="23" customFormat="1" hidden="1" x14ac:dyDescent="0.25">
      <c r="A2562" s="4">
        <v>39778</v>
      </c>
      <c r="B2562" s="4" t="s">
        <v>315</v>
      </c>
      <c r="C2562" s="34"/>
      <c r="D2562" s="34">
        <f>1703.33/2</f>
        <v>851.66499999999996</v>
      </c>
    </row>
    <row r="2563" spans="1:4" s="23" customFormat="1" hidden="1" x14ac:dyDescent="0.25">
      <c r="A2563" s="4">
        <v>39787</v>
      </c>
      <c r="B2563" s="4" t="s">
        <v>299</v>
      </c>
      <c r="C2563" s="34"/>
      <c r="D2563" s="34">
        <v>408.25</v>
      </c>
    </row>
    <row r="2564" spans="1:4" s="23" customFormat="1" hidden="1" x14ac:dyDescent="0.25">
      <c r="A2564" s="4">
        <v>39840</v>
      </c>
      <c r="B2564" s="4" t="s">
        <v>315</v>
      </c>
      <c r="C2564" s="34"/>
      <c r="D2564" s="34">
        <f>1732.87/2</f>
        <v>866.43499999999995</v>
      </c>
    </row>
    <row r="2565" spans="1:4" s="23" customFormat="1" hidden="1" x14ac:dyDescent="0.25">
      <c r="A2565" s="4">
        <v>39867</v>
      </c>
      <c r="B2565" s="4" t="s">
        <v>315</v>
      </c>
      <c r="C2565" s="34"/>
      <c r="D2565" s="34">
        <f>1703.33/2</f>
        <v>851.66499999999996</v>
      </c>
    </row>
    <row r="2566" spans="1:4" s="23" customFormat="1" hidden="1" x14ac:dyDescent="0.25">
      <c r="A2566" s="4">
        <v>39871</v>
      </c>
      <c r="B2566" s="4" t="s">
        <v>299</v>
      </c>
      <c r="C2566" s="34"/>
      <c r="D2566" s="34">
        <v>264.87</v>
      </c>
    </row>
    <row r="2567" spans="1:4" s="23" customFormat="1" hidden="1" x14ac:dyDescent="0.25">
      <c r="A2567" s="4">
        <v>39931</v>
      </c>
      <c r="B2567" s="4" t="s">
        <v>315</v>
      </c>
      <c r="C2567" s="34"/>
      <c r="D2567" s="34">
        <f>1732.87/2</f>
        <v>866.43499999999995</v>
      </c>
    </row>
    <row r="2568" spans="1:4" s="23" customFormat="1" hidden="1" x14ac:dyDescent="0.25">
      <c r="A2568" s="4">
        <v>39958</v>
      </c>
      <c r="B2568" s="4" t="s">
        <v>315</v>
      </c>
      <c r="C2568" s="34"/>
      <c r="D2568" s="34">
        <f>1703.33/2</f>
        <v>851.66499999999996</v>
      </c>
    </row>
    <row r="2569" spans="1:4" s="23" customFormat="1" hidden="1" x14ac:dyDescent="0.25">
      <c r="A2569" s="4">
        <v>39979</v>
      </c>
      <c r="B2569" s="4" t="s">
        <v>299</v>
      </c>
      <c r="C2569" s="34"/>
      <c r="D2569" s="34">
        <v>229.64</v>
      </c>
    </row>
    <row r="2570" spans="1:4" s="23" customFormat="1" hidden="1" x14ac:dyDescent="0.25">
      <c r="A2570" s="4"/>
      <c r="B2570" s="4"/>
      <c r="C2570" s="34"/>
      <c r="D2570" s="34"/>
    </row>
    <row r="2571" spans="1:4" s="23" customFormat="1" hidden="1" x14ac:dyDescent="0.25">
      <c r="A2571" s="4">
        <v>39994</v>
      </c>
      <c r="B2571" t="s">
        <v>14</v>
      </c>
      <c r="C2571" s="36">
        <f>SUM(C2557:C2570)</f>
        <v>7519.71</v>
      </c>
      <c r="D2571" s="36">
        <f>SUM(D2557:D2570)</f>
        <v>29136.370000000006</v>
      </c>
    </row>
    <row r="2572" spans="1:4" s="23" customFormat="1" hidden="1" x14ac:dyDescent="0.25">
      <c r="A2572" s="4"/>
      <c r="B2572" s="4" t="s">
        <v>15</v>
      </c>
      <c r="C2572" s="34" t="str">
        <f>IF(C2571&gt;D2571,C2571-D2571," ")</f>
        <v xml:space="preserve"> </v>
      </c>
      <c r="D2572" s="34">
        <f>IF(D2571&gt;C2571,D2571-C2571," ")</f>
        <v>21616.660000000007</v>
      </c>
    </row>
    <row r="2573" spans="1:4" s="23" customFormat="1" hidden="1" x14ac:dyDescent="0.25">
      <c r="A2573" s="4">
        <v>39995</v>
      </c>
      <c r="B2573" s="4" t="s">
        <v>328</v>
      </c>
      <c r="C2573" s="34">
        <v>3312.2</v>
      </c>
      <c r="D2573" s="34"/>
    </row>
    <row r="2574" spans="1:4" s="23" customFormat="1" hidden="1" x14ac:dyDescent="0.25">
      <c r="A2574" s="4">
        <v>40018</v>
      </c>
      <c r="B2574" s="4" t="s">
        <v>330</v>
      </c>
      <c r="C2574" s="34"/>
      <c r="D2574" s="34">
        <f>3615.3/2</f>
        <v>1807.65</v>
      </c>
    </row>
    <row r="2575" spans="1:4" s="23" customFormat="1" hidden="1" x14ac:dyDescent="0.25">
      <c r="A2575" s="4">
        <v>40042</v>
      </c>
      <c r="B2575" s="4" t="s">
        <v>331</v>
      </c>
      <c r="C2575" s="34"/>
      <c r="D2575" s="34">
        <v>383.6</v>
      </c>
    </row>
    <row r="2576" spans="1:4" s="23" customFormat="1" hidden="1" x14ac:dyDescent="0.25">
      <c r="A2576" s="4">
        <v>40058</v>
      </c>
      <c r="B2576" s="4" t="s">
        <v>332</v>
      </c>
      <c r="C2576" s="34"/>
      <c r="D2576" s="34">
        <v>254.25</v>
      </c>
    </row>
    <row r="2577" spans="1:4" s="23" customFormat="1" hidden="1" x14ac:dyDescent="0.25">
      <c r="A2577" s="4">
        <v>40109</v>
      </c>
      <c r="B2577" s="4" t="s">
        <v>330</v>
      </c>
      <c r="C2577" s="34"/>
      <c r="D2577" s="34">
        <f>1727.14/2</f>
        <v>863.57</v>
      </c>
    </row>
    <row r="2578" spans="1:4" s="23" customFormat="1" hidden="1" x14ac:dyDescent="0.25">
      <c r="A2578" s="4">
        <v>40141</v>
      </c>
      <c r="B2578" s="4" t="s">
        <v>330</v>
      </c>
      <c r="C2578" s="34"/>
      <c r="D2578" s="34">
        <f>1727.14/2</f>
        <v>863.57</v>
      </c>
    </row>
    <row r="2579" spans="1:4" s="23" customFormat="1" hidden="1" x14ac:dyDescent="0.25">
      <c r="A2579" s="4">
        <v>40147</v>
      </c>
      <c r="B2579" s="4" t="s">
        <v>332</v>
      </c>
      <c r="C2579" s="34"/>
      <c r="D2579" s="34">
        <v>263.66000000000003</v>
      </c>
    </row>
    <row r="2580" spans="1:4" s="23" customFormat="1" hidden="1" x14ac:dyDescent="0.25">
      <c r="A2580" s="4">
        <v>40170</v>
      </c>
      <c r="B2580" s="4" t="s">
        <v>330</v>
      </c>
      <c r="C2580" s="34"/>
      <c r="D2580" s="34">
        <f>161.02/2</f>
        <v>80.510000000000005</v>
      </c>
    </row>
    <row r="2581" spans="1:4" s="23" customFormat="1" hidden="1" x14ac:dyDescent="0.25">
      <c r="A2581" s="4">
        <v>40205</v>
      </c>
      <c r="B2581" s="4" t="s">
        <v>330</v>
      </c>
      <c r="C2581" s="34"/>
      <c r="D2581" s="34">
        <f>1727.14/2</f>
        <v>863.57</v>
      </c>
    </row>
    <row r="2582" spans="1:4" s="23" customFormat="1" hidden="1" x14ac:dyDescent="0.25">
      <c r="A2582" s="4">
        <v>40240</v>
      </c>
      <c r="B2582" s="4" t="s">
        <v>330</v>
      </c>
      <c r="C2582" s="34"/>
      <c r="D2582" s="34">
        <f>1888.16/2</f>
        <v>944.08</v>
      </c>
    </row>
    <row r="2583" spans="1:4" s="23" customFormat="1" hidden="1" x14ac:dyDescent="0.25">
      <c r="A2583" s="4">
        <v>40259</v>
      </c>
      <c r="B2583" s="4" t="s">
        <v>332</v>
      </c>
      <c r="C2583" s="34"/>
      <c r="D2583" s="34">
        <v>178.61</v>
      </c>
    </row>
    <row r="2584" spans="1:4" s="23" customFormat="1" hidden="1" x14ac:dyDescent="0.25">
      <c r="A2584" s="4">
        <v>40297</v>
      </c>
      <c r="B2584" s="4" t="s">
        <v>330</v>
      </c>
      <c r="C2584" s="34"/>
      <c r="D2584" s="34">
        <f>2364.41/2</f>
        <v>1182.2049999999999</v>
      </c>
    </row>
    <row r="2585" spans="1:4" s="23" customFormat="1" hidden="1" x14ac:dyDescent="0.25">
      <c r="A2585" s="4">
        <v>40326</v>
      </c>
      <c r="B2585" s="4" t="s">
        <v>330</v>
      </c>
      <c r="C2585" s="34"/>
      <c r="D2585" s="34">
        <f>1250.89/2</f>
        <v>625.44500000000005</v>
      </c>
    </row>
    <row r="2586" spans="1:4" s="23" customFormat="1" hidden="1" x14ac:dyDescent="0.25">
      <c r="A2586" s="4"/>
      <c r="B2586" s="4"/>
      <c r="C2586" s="34"/>
      <c r="D2586" s="34"/>
    </row>
    <row r="2587" spans="1:4" s="23" customFormat="1" hidden="1" x14ac:dyDescent="0.25">
      <c r="A2587" s="4">
        <v>40359</v>
      </c>
      <c r="B2587" t="s">
        <v>14</v>
      </c>
      <c r="C2587" s="36">
        <f>SUM(C2572:C2586)</f>
        <v>3312.2</v>
      </c>
      <c r="D2587" s="36">
        <f>SUM(D2572:D2586)</f>
        <v>29927.380000000005</v>
      </c>
    </row>
    <row r="2588" spans="1:4" s="23" customFormat="1" hidden="1" x14ac:dyDescent="0.25">
      <c r="A2588" s="4"/>
      <c r="B2588" s="4" t="s">
        <v>15</v>
      </c>
      <c r="C2588" s="34" t="str">
        <f>IF(C2587&gt;D2587,C2587-D2587," ")</f>
        <v xml:space="preserve"> </v>
      </c>
      <c r="D2588" s="34">
        <f>IF(D2587&gt;C2587,D2587-C2587," ")</f>
        <v>26615.180000000004</v>
      </c>
    </row>
    <row r="2589" spans="1:4" s="23" customFormat="1" hidden="1" x14ac:dyDescent="0.25">
      <c r="A2589" s="4">
        <v>40360</v>
      </c>
      <c r="B2589" s="4" t="s">
        <v>345</v>
      </c>
      <c r="C2589" s="34">
        <v>90.86</v>
      </c>
      <c r="D2589" s="34"/>
    </row>
    <row r="2590" spans="1:4" s="23" customFormat="1" hidden="1" x14ac:dyDescent="0.25">
      <c r="A2590" s="4">
        <v>40387</v>
      </c>
      <c r="B2590" s="4" t="s">
        <v>350</v>
      </c>
      <c r="C2590" s="34"/>
      <c r="D2590" s="34">
        <f>2358.9/2</f>
        <v>1179.45</v>
      </c>
    </row>
    <row r="2591" spans="1:4" s="23" customFormat="1" hidden="1" x14ac:dyDescent="0.25">
      <c r="A2591" s="4">
        <v>40422</v>
      </c>
      <c r="B2591" s="4" t="s">
        <v>350</v>
      </c>
      <c r="C2591" s="34"/>
      <c r="D2591" s="34">
        <f>1440.9/2</f>
        <v>720.45</v>
      </c>
    </row>
    <row r="2592" spans="1:4" s="23" customFormat="1" hidden="1" x14ac:dyDescent="0.25">
      <c r="A2592" s="4">
        <v>40480</v>
      </c>
      <c r="B2592" s="4" t="s">
        <v>350</v>
      </c>
      <c r="C2592" s="34"/>
      <c r="D2592" s="34">
        <f>2358.9/2</f>
        <v>1179.45</v>
      </c>
    </row>
    <row r="2593" spans="1:4" s="23" customFormat="1" hidden="1" x14ac:dyDescent="0.25">
      <c r="A2593" s="4">
        <v>40512</v>
      </c>
      <c r="B2593" s="4" t="s">
        <v>350</v>
      </c>
      <c r="C2593" s="34"/>
      <c r="D2593" s="34">
        <f>1440.9/2</f>
        <v>720.45</v>
      </c>
    </row>
    <row r="2594" spans="1:4" s="23" customFormat="1" hidden="1" x14ac:dyDescent="0.25">
      <c r="A2594" s="4">
        <v>40575</v>
      </c>
      <c r="B2594" s="4" t="s">
        <v>350</v>
      </c>
      <c r="C2594" s="34"/>
      <c r="D2594" s="34">
        <f>2358.9/2</f>
        <v>1179.45</v>
      </c>
    </row>
    <row r="2595" spans="1:4" s="23" customFormat="1" hidden="1" x14ac:dyDescent="0.25">
      <c r="A2595" s="4">
        <v>40602</v>
      </c>
      <c r="B2595" s="4" t="s">
        <v>350</v>
      </c>
      <c r="C2595" s="34"/>
      <c r="D2595" s="34">
        <f>1440.9/2</f>
        <v>720.45</v>
      </c>
    </row>
    <row r="2596" spans="1:4" s="23" customFormat="1" hidden="1" x14ac:dyDescent="0.25">
      <c r="A2596" s="4">
        <v>40662</v>
      </c>
      <c r="B2596" s="4" t="s">
        <v>350</v>
      </c>
      <c r="C2596" s="34"/>
      <c r="D2596" s="34">
        <f>2358.9/2</f>
        <v>1179.45</v>
      </c>
    </row>
    <row r="2597" spans="1:4" s="23" customFormat="1" hidden="1" x14ac:dyDescent="0.25">
      <c r="A2597" s="4">
        <v>40688</v>
      </c>
      <c r="B2597" s="4" t="s">
        <v>350</v>
      </c>
      <c r="C2597" s="34"/>
      <c r="D2597" s="34">
        <f>1440.9/2</f>
        <v>720.45</v>
      </c>
    </row>
    <row r="2598" spans="1:4" s="23" customFormat="1" hidden="1" x14ac:dyDescent="0.25">
      <c r="A2598" s="4">
        <v>40724</v>
      </c>
      <c r="B2598" t="s">
        <v>14</v>
      </c>
      <c r="C2598" s="36">
        <f>SUM(C2588:C2597)</f>
        <v>90.86</v>
      </c>
      <c r="D2598" s="36">
        <f>SUM(D2588:D2597)</f>
        <v>34214.780000000006</v>
      </c>
    </row>
    <row r="2599" spans="1:4" s="23" customFormat="1" hidden="1" x14ac:dyDescent="0.25">
      <c r="A2599" s="4"/>
      <c r="B2599" s="4" t="s">
        <v>15</v>
      </c>
      <c r="C2599" s="34" t="str">
        <f>IF(C2598&gt;D2598,C2598-D2598," ")</f>
        <v xml:space="preserve"> </v>
      </c>
      <c r="D2599" s="34">
        <f>IF(D2598&gt;C2598,D2598-C2598," ")</f>
        <v>34123.920000000006</v>
      </c>
    </row>
    <row r="2600" spans="1:4" s="23" customFormat="1" hidden="1" x14ac:dyDescent="0.25">
      <c r="A2600" s="4">
        <v>40725</v>
      </c>
      <c r="B2600" s="4" t="s">
        <v>471</v>
      </c>
      <c r="C2600" s="34"/>
      <c r="D2600" s="34">
        <v>1222.69</v>
      </c>
    </row>
    <row r="2601" spans="1:4" s="23" customFormat="1" hidden="1" x14ac:dyDescent="0.25">
      <c r="A2601" s="4">
        <v>40756</v>
      </c>
      <c r="B2601" s="4" t="s">
        <v>373</v>
      </c>
      <c r="C2601" s="34"/>
      <c r="D2601" s="34">
        <f>2355.09/2</f>
        <v>1177.5450000000001</v>
      </c>
    </row>
    <row r="2602" spans="1:4" s="23" customFormat="1" hidden="1" x14ac:dyDescent="0.25">
      <c r="A2602" s="4">
        <v>40785</v>
      </c>
      <c r="B2602" s="4" t="s">
        <v>374</v>
      </c>
      <c r="C2602" s="34"/>
      <c r="D2602" s="34">
        <f>1588.71/2</f>
        <v>794.35500000000002</v>
      </c>
    </row>
    <row r="2603" spans="1:4" s="23" customFormat="1" hidden="1" x14ac:dyDescent="0.25">
      <c r="A2603" s="4">
        <v>40850</v>
      </c>
      <c r="B2603" s="4" t="s">
        <v>386</v>
      </c>
      <c r="C2603" s="34"/>
      <c r="D2603" s="34">
        <f>2355.09/2</f>
        <v>1177.5450000000001</v>
      </c>
    </row>
    <row r="2604" spans="1:4" s="23" customFormat="1" hidden="1" x14ac:dyDescent="0.25">
      <c r="A2604" s="4">
        <v>40875</v>
      </c>
      <c r="B2604" s="4" t="s">
        <v>387</v>
      </c>
      <c r="C2604" s="34"/>
      <c r="D2604" s="34">
        <f>1588.71/2</f>
        <v>794.35500000000002</v>
      </c>
    </row>
    <row r="2605" spans="1:4" s="23" customFormat="1" hidden="1" x14ac:dyDescent="0.25">
      <c r="A2605" s="4">
        <v>40940</v>
      </c>
      <c r="B2605" s="4" t="s">
        <v>392</v>
      </c>
      <c r="C2605" s="34"/>
      <c r="D2605" s="34">
        <f>2355.09/2</f>
        <v>1177.5450000000001</v>
      </c>
    </row>
    <row r="2606" spans="1:4" s="23" customFormat="1" hidden="1" x14ac:dyDescent="0.25">
      <c r="A2606" s="4">
        <v>40969</v>
      </c>
      <c r="B2606" s="4" t="s">
        <v>395</v>
      </c>
      <c r="C2606" s="34"/>
      <c r="D2606" s="34">
        <f>1588.71/2</f>
        <v>794.35500000000002</v>
      </c>
    </row>
    <row r="2607" spans="1:4" s="23" customFormat="1" hidden="1" x14ac:dyDescent="0.25">
      <c r="A2607" s="4">
        <v>41023</v>
      </c>
      <c r="B2607" s="4" t="s">
        <v>405</v>
      </c>
      <c r="C2607" s="34"/>
      <c r="D2607" s="34">
        <f>2355.09/2</f>
        <v>1177.5450000000001</v>
      </c>
    </row>
    <row r="2608" spans="1:4" s="23" customFormat="1" hidden="1" x14ac:dyDescent="0.25">
      <c r="A2608" s="4">
        <v>41057</v>
      </c>
      <c r="B2608" s="4" t="s">
        <v>411</v>
      </c>
      <c r="C2608" s="34"/>
      <c r="D2608" s="34">
        <f>1588.71/2</f>
        <v>794.35500000000002</v>
      </c>
    </row>
    <row r="2609" spans="1:4" s="23" customFormat="1" hidden="1" x14ac:dyDescent="0.25">
      <c r="A2609" s="4"/>
      <c r="B2609" s="4"/>
      <c r="C2609" s="34"/>
      <c r="D2609" s="34"/>
    </row>
    <row r="2610" spans="1:4" s="23" customFormat="1" hidden="1" x14ac:dyDescent="0.25">
      <c r="A2610" s="4"/>
      <c r="B2610" s="4"/>
      <c r="C2610" s="34"/>
      <c r="D2610" s="34"/>
    </row>
    <row r="2611" spans="1:4" s="23" customFormat="1" hidden="1" x14ac:dyDescent="0.25">
      <c r="A2611" s="4">
        <v>41090</v>
      </c>
      <c r="B2611" t="s">
        <v>14</v>
      </c>
      <c r="C2611" s="36">
        <f>SUM(C2599:C2610)</f>
        <v>0</v>
      </c>
      <c r="D2611" s="36">
        <f>SUM(D2599:D2610)</f>
        <v>43234.210000000014</v>
      </c>
    </row>
    <row r="2612" spans="1:4" s="23" customFormat="1" hidden="1" x14ac:dyDescent="0.25">
      <c r="A2612" s="4"/>
      <c r="B2612" s="4" t="s">
        <v>15</v>
      </c>
      <c r="C2612" s="34" t="str">
        <f>IF(C2611&gt;D2611,C2611-D2611," ")</f>
        <v xml:space="preserve"> </v>
      </c>
      <c r="D2612" s="34">
        <f>IF(D2611&gt;C2611,D2611-C2611," ")</f>
        <v>43234.210000000014</v>
      </c>
    </row>
    <row r="2613" spans="1:4" s="23" customFormat="1" hidden="1" x14ac:dyDescent="0.25">
      <c r="A2613" s="4">
        <v>41091</v>
      </c>
      <c r="B2613" s="4" t="s">
        <v>413</v>
      </c>
      <c r="C2613" s="34">
        <v>2766.52</v>
      </c>
      <c r="D2613" s="34"/>
    </row>
    <row r="2614" spans="1:4" s="23" customFormat="1" hidden="1" x14ac:dyDescent="0.25">
      <c r="A2614" s="4">
        <v>41115</v>
      </c>
      <c r="B2614" s="3" t="s">
        <v>428</v>
      </c>
      <c r="C2614" s="34"/>
      <c r="D2614" s="34">
        <f>2329.89/2</f>
        <v>1164.9449999999999</v>
      </c>
    </row>
    <row r="2615" spans="1:4" s="23" customFormat="1" hidden="1" x14ac:dyDescent="0.25">
      <c r="A2615" s="4">
        <v>41149</v>
      </c>
      <c r="B2615" s="3" t="s">
        <v>429</v>
      </c>
      <c r="C2615" s="34"/>
      <c r="D2615" s="34">
        <f>1787.61/2</f>
        <v>893.80499999999995</v>
      </c>
    </row>
    <row r="2616" spans="1:4" s="23" customFormat="1" hidden="1" x14ac:dyDescent="0.25">
      <c r="A2616" s="4">
        <v>41222</v>
      </c>
      <c r="B2616" s="3" t="s">
        <v>441</v>
      </c>
      <c r="C2616" s="34"/>
      <c r="D2616" s="34">
        <f>2344.11/2</f>
        <v>1172.0550000000001</v>
      </c>
    </row>
    <row r="2617" spans="1:4" s="23" customFormat="1" hidden="1" x14ac:dyDescent="0.25">
      <c r="A2617" s="4">
        <v>41248</v>
      </c>
      <c r="B2617" s="3" t="s">
        <v>442</v>
      </c>
      <c r="C2617" s="34"/>
      <c r="D2617" s="34">
        <f>1773.39/2</f>
        <v>886.69500000000005</v>
      </c>
    </row>
    <row r="2618" spans="1:4" s="23" customFormat="1" hidden="1" x14ac:dyDescent="0.25">
      <c r="A2618" s="4">
        <v>41299</v>
      </c>
      <c r="B2618" s="3" t="s">
        <v>447</v>
      </c>
      <c r="C2618" s="34"/>
      <c r="D2618" s="34">
        <f>2344.11/2</f>
        <v>1172.0550000000001</v>
      </c>
    </row>
    <row r="2619" spans="1:4" s="23" customFormat="1" hidden="1" x14ac:dyDescent="0.25">
      <c r="A2619" s="4">
        <v>41332</v>
      </c>
      <c r="B2619" s="3" t="s">
        <v>448</v>
      </c>
      <c r="C2619" s="34"/>
      <c r="D2619" s="34">
        <f>1773.39/2</f>
        <v>886.69500000000005</v>
      </c>
    </row>
    <row r="2620" spans="1:4" s="23" customFormat="1" hidden="1" x14ac:dyDescent="0.25">
      <c r="A2620" s="4">
        <v>41386</v>
      </c>
      <c r="B2620" s="3" t="s">
        <v>459</v>
      </c>
      <c r="C2620" s="34"/>
      <c r="D2620" s="34">
        <f>2344.11/2</f>
        <v>1172.0550000000001</v>
      </c>
    </row>
    <row r="2621" spans="1:4" s="23" customFormat="1" hidden="1" x14ac:dyDescent="0.25">
      <c r="A2621" s="4">
        <v>41418</v>
      </c>
      <c r="B2621" s="3" t="s">
        <v>467</v>
      </c>
      <c r="C2621" s="34"/>
      <c r="D2621" s="34">
        <f>1773.39/2</f>
        <v>886.69500000000005</v>
      </c>
    </row>
    <row r="2622" spans="1:4" s="23" customFormat="1" hidden="1" x14ac:dyDescent="0.25">
      <c r="A2622" s="4"/>
      <c r="B2622" s="4"/>
      <c r="C2622" s="34"/>
      <c r="D2622" s="34"/>
    </row>
    <row r="2623" spans="1:4" s="23" customFormat="1" hidden="1" x14ac:dyDescent="0.25">
      <c r="A2623" s="4"/>
      <c r="B2623" s="4"/>
      <c r="C2623" s="34"/>
      <c r="D2623" s="34"/>
    </row>
    <row r="2624" spans="1:4" s="23" customFormat="1" hidden="1" x14ac:dyDescent="0.25">
      <c r="A2624" s="4">
        <v>41455</v>
      </c>
      <c r="B2624" t="s">
        <v>14</v>
      </c>
      <c r="C2624" s="36">
        <f>SUM(C2612:C2623)</f>
        <v>2766.52</v>
      </c>
      <c r="D2624" s="36">
        <f>SUM(D2612:D2623)</f>
        <v>51469.210000000014</v>
      </c>
    </row>
    <row r="2625" spans="1:4" s="23" customFormat="1" hidden="1" x14ac:dyDescent="0.25">
      <c r="A2625" s="4"/>
      <c r="B2625" s="4" t="s">
        <v>15</v>
      </c>
      <c r="C2625" s="34" t="str">
        <f>IF(C2624&gt;D2624,C2624-D2624," ")</f>
        <v xml:space="preserve"> </v>
      </c>
      <c r="D2625" s="34">
        <f>IF(D2624&gt;C2624,D2624-C2624," ")</f>
        <v>48702.690000000017</v>
      </c>
    </row>
    <row r="2626" spans="1:4" s="23" customFormat="1" hidden="1" x14ac:dyDescent="0.25">
      <c r="A2626" s="4">
        <v>41456</v>
      </c>
      <c r="B2626" s="4" t="s">
        <v>542</v>
      </c>
      <c r="C2626" s="34"/>
      <c r="D2626" s="34">
        <v>9132.44</v>
      </c>
    </row>
    <row r="2627" spans="1:4" s="23" customFormat="1" hidden="1" x14ac:dyDescent="0.25">
      <c r="A2627" s="4">
        <v>41480</v>
      </c>
      <c r="B2627" s="4" t="s">
        <v>490</v>
      </c>
      <c r="C2627" s="34"/>
      <c r="D2627" s="34">
        <f>2398.99/2</f>
        <v>1199.4949999999999</v>
      </c>
    </row>
    <row r="2628" spans="1:4" s="23" customFormat="1" hidden="1" x14ac:dyDescent="0.25">
      <c r="A2628" s="4">
        <v>41509</v>
      </c>
      <c r="B2628" s="4" t="s">
        <v>491</v>
      </c>
      <c r="C2628" s="34"/>
      <c r="D2628" s="34">
        <f>2044.71/2</f>
        <v>1022.355</v>
      </c>
    </row>
    <row r="2629" spans="1:4" s="23" customFormat="1" hidden="1" x14ac:dyDescent="0.25">
      <c r="A2629" s="4">
        <v>41570</v>
      </c>
      <c r="B2629" s="4" t="s">
        <v>504</v>
      </c>
      <c r="C2629" s="34"/>
      <c r="D2629" s="34">
        <f>2398.99/2</f>
        <v>1199.4949999999999</v>
      </c>
    </row>
    <row r="2630" spans="1:4" s="23" customFormat="1" hidden="1" x14ac:dyDescent="0.25">
      <c r="A2630" s="4">
        <v>41603</v>
      </c>
      <c r="B2630" s="4" t="s">
        <v>509</v>
      </c>
      <c r="C2630" s="34"/>
      <c r="D2630" s="34">
        <f>2044.71/2</f>
        <v>1022.355</v>
      </c>
    </row>
    <row r="2631" spans="1:4" s="23" customFormat="1" hidden="1" x14ac:dyDescent="0.25">
      <c r="A2631" s="4">
        <v>41668</v>
      </c>
      <c r="B2631" s="4" t="s">
        <v>514</v>
      </c>
      <c r="C2631" s="34"/>
      <c r="D2631" s="34">
        <f>2398.99/2</f>
        <v>1199.4949999999999</v>
      </c>
    </row>
    <row r="2632" spans="1:4" s="23" customFormat="1" hidden="1" x14ac:dyDescent="0.25">
      <c r="A2632" s="4">
        <v>41696</v>
      </c>
      <c r="B2632" s="4" t="s">
        <v>515</v>
      </c>
      <c r="C2632" s="34"/>
      <c r="D2632" s="34">
        <f>2044.71/2</f>
        <v>1022.355</v>
      </c>
    </row>
    <row r="2633" spans="1:4" s="23" customFormat="1" hidden="1" x14ac:dyDescent="0.25">
      <c r="A2633" s="4">
        <v>41757</v>
      </c>
      <c r="B2633" s="4" t="s">
        <v>534</v>
      </c>
      <c r="C2633" s="34"/>
      <c r="D2633" s="34">
        <f>2398.99/2</f>
        <v>1199.4949999999999</v>
      </c>
    </row>
    <row r="2634" spans="1:4" s="23" customFormat="1" hidden="1" x14ac:dyDescent="0.25">
      <c r="A2634" s="4">
        <v>41786</v>
      </c>
      <c r="B2634" s="4" t="s">
        <v>537</v>
      </c>
      <c r="C2634" s="34"/>
      <c r="D2634" s="34">
        <f>2044.71/2</f>
        <v>1022.355</v>
      </c>
    </row>
    <row r="2635" spans="1:4" s="23" customFormat="1" hidden="1" x14ac:dyDescent="0.25">
      <c r="A2635" s="4"/>
      <c r="B2635" s="4"/>
      <c r="C2635" s="34"/>
      <c r="D2635" s="34"/>
    </row>
    <row r="2636" spans="1:4" s="23" customFormat="1" hidden="1" x14ac:dyDescent="0.25">
      <c r="A2636" s="4">
        <v>41820</v>
      </c>
      <c r="B2636" t="s">
        <v>14</v>
      </c>
      <c r="C2636" s="36">
        <f>SUM(C2625:C2635)</f>
        <v>0</v>
      </c>
      <c r="D2636" s="36">
        <f>SUM(D2625:D2635)</f>
        <v>66722.530000000028</v>
      </c>
    </row>
    <row r="2637" spans="1:4" s="23" customFormat="1" hidden="1" x14ac:dyDescent="0.25">
      <c r="A2637" s="4"/>
      <c r="B2637" s="4" t="s">
        <v>15</v>
      </c>
      <c r="C2637" s="34" t="str">
        <f>IF(C2636&gt;D2636,C2636-D2636," ")</f>
        <v xml:space="preserve"> </v>
      </c>
      <c r="D2637" s="34">
        <f>IF(D2636&gt;C2636,D2636-C2636," ")</f>
        <v>66722.530000000028</v>
      </c>
    </row>
    <row r="2638" spans="1:4" s="23" customFormat="1" hidden="1" x14ac:dyDescent="0.25">
      <c r="A2638" s="4">
        <v>41821</v>
      </c>
      <c r="B2638" s="4" t="s">
        <v>551</v>
      </c>
      <c r="C2638" s="34"/>
      <c r="D2638" s="34">
        <v>12508.73</v>
      </c>
    </row>
    <row r="2639" spans="1:4" s="23" customFormat="1" hidden="1" x14ac:dyDescent="0.25">
      <c r="A2639" s="4">
        <v>41843</v>
      </c>
      <c r="B2639" t="s">
        <v>555</v>
      </c>
      <c r="C2639" s="34"/>
      <c r="D2639" s="34">
        <f>2455.85/2</f>
        <v>1227.925</v>
      </c>
    </row>
    <row r="2640" spans="1:4" s="23" customFormat="1" hidden="1" x14ac:dyDescent="0.25">
      <c r="A2640" s="4">
        <v>41877</v>
      </c>
      <c r="B2640" t="s">
        <v>556</v>
      </c>
      <c r="C2640" s="34"/>
      <c r="D2640" s="34">
        <f>2240/2</f>
        <v>1120</v>
      </c>
    </row>
    <row r="2641" spans="1:4" s="23" customFormat="1" hidden="1" x14ac:dyDescent="0.25">
      <c r="A2641" s="4">
        <v>41936</v>
      </c>
      <c r="B2641" t="s">
        <v>571</v>
      </c>
      <c r="C2641" s="34"/>
      <c r="D2641" s="34">
        <f>2455.85/2</f>
        <v>1227.925</v>
      </c>
    </row>
    <row r="2642" spans="1:4" s="23" customFormat="1" hidden="1" x14ac:dyDescent="0.25">
      <c r="A2642" s="4">
        <v>41968</v>
      </c>
      <c r="B2642" t="s">
        <v>572</v>
      </c>
      <c r="C2642" s="34"/>
      <c r="D2642" s="34">
        <f>2240/2</f>
        <v>1120</v>
      </c>
    </row>
    <row r="2643" spans="1:4" s="23" customFormat="1" hidden="1" x14ac:dyDescent="0.25">
      <c r="A2643" s="4">
        <v>42031</v>
      </c>
      <c r="B2643" t="s">
        <v>578</v>
      </c>
      <c r="C2643" s="34"/>
      <c r="D2643" s="34">
        <f>2455.85/2</f>
        <v>1227.925</v>
      </c>
    </row>
    <row r="2644" spans="1:4" s="23" customFormat="1" hidden="1" x14ac:dyDescent="0.25">
      <c r="A2644" s="4">
        <v>42061</v>
      </c>
      <c r="B2644" t="s">
        <v>579</v>
      </c>
      <c r="C2644" s="34"/>
      <c r="D2644" s="34">
        <f>2240/2</f>
        <v>1120</v>
      </c>
    </row>
    <row r="2645" spans="1:4" s="23" customFormat="1" hidden="1" x14ac:dyDescent="0.25">
      <c r="A2645" s="4">
        <v>42116</v>
      </c>
      <c r="B2645" t="s">
        <v>594</v>
      </c>
      <c r="C2645" s="34"/>
      <c r="D2645" s="34">
        <f>2455.85/2</f>
        <v>1227.925</v>
      </c>
    </row>
    <row r="2646" spans="1:4" s="23" customFormat="1" hidden="1" x14ac:dyDescent="0.25">
      <c r="A2646" s="4">
        <v>42146</v>
      </c>
      <c r="B2646" t="s">
        <v>596</v>
      </c>
      <c r="C2646" s="34"/>
      <c r="D2646" s="34">
        <f>2240/2</f>
        <v>1120</v>
      </c>
    </row>
    <row r="2647" spans="1:4" s="23" customFormat="1" hidden="1" x14ac:dyDescent="0.25">
      <c r="A2647" s="4"/>
      <c r="B2647"/>
      <c r="C2647" s="34"/>
      <c r="D2647" s="34"/>
    </row>
    <row r="2648" spans="1:4" s="23" customFormat="1" hidden="1" x14ac:dyDescent="0.25">
      <c r="A2648" s="4">
        <v>42185</v>
      </c>
      <c r="B2648" t="s">
        <v>14</v>
      </c>
      <c r="C2648" s="36">
        <f>SUM(C2637:C2647)</f>
        <v>0</v>
      </c>
      <c r="D2648" s="36">
        <f>SUM(D2637:D2647)</f>
        <v>88622.960000000036</v>
      </c>
    </row>
    <row r="2649" spans="1:4" s="23" customFormat="1" hidden="1" x14ac:dyDescent="0.25">
      <c r="A2649" s="4"/>
      <c r="B2649" s="4" t="s">
        <v>15</v>
      </c>
      <c r="C2649" s="34" t="str">
        <f>IF(C2648&gt;D2648,C2648-D2648," ")</f>
        <v xml:space="preserve"> </v>
      </c>
      <c r="D2649" s="34">
        <f>IF(D2648&gt;C2648,D2648-C2648," ")</f>
        <v>88622.960000000036</v>
      </c>
    </row>
    <row r="2650" spans="1:4" s="23" customFormat="1" hidden="1" x14ac:dyDescent="0.25">
      <c r="A2650" s="4">
        <v>42186</v>
      </c>
      <c r="B2650" s="4" t="s">
        <v>611</v>
      </c>
      <c r="C2650" s="34"/>
      <c r="D2650" s="34">
        <v>4783.51</v>
      </c>
    </row>
    <row r="2651" spans="1:4" s="23" customFormat="1" hidden="1" x14ac:dyDescent="0.25">
      <c r="A2651" s="4">
        <v>42209</v>
      </c>
      <c r="B2651" t="s">
        <v>616</v>
      </c>
      <c r="C2651" s="34"/>
      <c r="D2651" s="34">
        <f>2443.77/2</f>
        <v>1221.885</v>
      </c>
    </row>
    <row r="2652" spans="1:4" s="23" customFormat="1" hidden="1" x14ac:dyDescent="0.25">
      <c r="A2652" s="4">
        <v>42240</v>
      </c>
      <c r="B2652" t="s">
        <v>617</v>
      </c>
      <c r="C2652" s="34"/>
      <c r="D2652" s="34">
        <f>2383.18/2</f>
        <v>1191.5899999999999</v>
      </c>
    </row>
    <row r="2653" spans="1:4" s="23" customFormat="1" hidden="1" x14ac:dyDescent="0.25">
      <c r="A2653" s="4">
        <v>42299</v>
      </c>
      <c r="B2653" t="s">
        <v>631</v>
      </c>
      <c r="C2653" s="34"/>
      <c r="D2653" s="34">
        <f>2443.77/2</f>
        <v>1221.885</v>
      </c>
    </row>
    <row r="2654" spans="1:4" s="23" customFormat="1" hidden="1" x14ac:dyDescent="0.25">
      <c r="A2654" s="4">
        <v>42328</v>
      </c>
      <c r="B2654" t="s">
        <v>635</v>
      </c>
      <c r="C2654" s="34"/>
      <c r="D2654" s="34">
        <f>2383.18/2</f>
        <v>1191.5899999999999</v>
      </c>
    </row>
    <row r="2655" spans="1:4" s="23" customFormat="1" hidden="1" x14ac:dyDescent="0.25">
      <c r="A2655" s="4">
        <v>42391</v>
      </c>
      <c r="B2655" t="s">
        <v>642</v>
      </c>
      <c r="C2655" s="34"/>
      <c r="D2655" s="34">
        <f>2443.77/2</f>
        <v>1221.885</v>
      </c>
    </row>
    <row r="2656" spans="1:4" s="23" customFormat="1" hidden="1" x14ac:dyDescent="0.25">
      <c r="A2656" s="4">
        <v>42418</v>
      </c>
      <c r="B2656" t="s">
        <v>643</v>
      </c>
      <c r="C2656" s="34"/>
      <c r="D2656" s="34">
        <f>2383.18/2</f>
        <v>1191.5899999999999</v>
      </c>
    </row>
    <row r="2657" spans="1:4" s="23" customFormat="1" hidden="1" x14ac:dyDescent="0.25">
      <c r="A2657" s="4">
        <v>42486</v>
      </c>
      <c r="B2657" t="s">
        <v>658</v>
      </c>
      <c r="C2657" s="34"/>
      <c r="D2657" s="34">
        <f>2443.77/2</f>
        <v>1221.885</v>
      </c>
    </row>
    <row r="2658" spans="1:4" s="23" customFormat="1" hidden="1" x14ac:dyDescent="0.25">
      <c r="A2658" s="4">
        <v>42514</v>
      </c>
      <c r="B2658" t="s">
        <v>662</v>
      </c>
      <c r="C2658" s="34"/>
      <c r="D2658" s="34">
        <f>2383.18/2</f>
        <v>1191.5899999999999</v>
      </c>
    </row>
    <row r="2659" spans="1:4" s="23" customFormat="1" hidden="1" x14ac:dyDescent="0.25">
      <c r="A2659" s="4"/>
      <c r="B2659" s="4"/>
      <c r="C2659" s="34"/>
      <c r="D2659" s="34"/>
    </row>
    <row r="2660" spans="1:4" s="23" customFormat="1" hidden="1" x14ac:dyDescent="0.25">
      <c r="A2660" s="4">
        <v>42551</v>
      </c>
      <c r="B2660" t="s">
        <v>14</v>
      </c>
      <c r="C2660" s="36">
        <f>SUM(C2649:C2659)</f>
        <v>0</v>
      </c>
      <c r="D2660" s="36">
        <f>SUM(D2649:D2659)</f>
        <v>103060.37</v>
      </c>
    </row>
    <row r="2661" spans="1:4" s="23" customFormat="1" hidden="1" x14ac:dyDescent="0.25">
      <c r="A2661" s="4"/>
      <c r="B2661" s="4" t="s">
        <v>15</v>
      </c>
      <c r="C2661" s="34" t="str">
        <f>IF(C2660&gt;D2660,C2660-D2660," ")</f>
        <v xml:space="preserve"> </v>
      </c>
      <c r="D2661" s="34">
        <f>IF(D2660&gt;C2660,D2660-C2660," ")</f>
        <v>103060.37</v>
      </c>
    </row>
    <row r="2662" spans="1:4" s="23" customFormat="1" hidden="1" x14ac:dyDescent="0.25">
      <c r="A2662" s="4">
        <v>42552</v>
      </c>
      <c r="B2662" s="4" t="s">
        <v>721</v>
      </c>
      <c r="C2662" s="34">
        <v>2771.33</v>
      </c>
      <c r="D2662" s="34"/>
    </row>
    <row r="2663" spans="1:4" s="23" customFormat="1" hidden="1" x14ac:dyDescent="0.25">
      <c r="A2663" s="4">
        <v>42577</v>
      </c>
      <c r="B2663" s="3" t="s">
        <v>670</v>
      </c>
      <c r="C2663" s="34"/>
      <c r="D2663" s="34">
        <f>2441.33/2</f>
        <v>1220.665</v>
      </c>
    </row>
    <row r="2664" spans="1:4" s="23" customFormat="1" hidden="1" x14ac:dyDescent="0.25">
      <c r="A2664" s="4">
        <v>42604</v>
      </c>
      <c r="B2664" s="3" t="s">
        <v>671</v>
      </c>
      <c r="C2664" s="34"/>
      <c r="D2664" s="34">
        <f>2441.33/2</f>
        <v>1220.665</v>
      </c>
    </row>
    <row r="2665" spans="1:4" s="23" customFormat="1" hidden="1" x14ac:dyDescent="0.25">
      <c r="A2665" s="4">
        <v>42636</v>
      </c>
      <c r="B2665" s="3" t="s">
        <v>679</v>
      </c>
      <c r="C2665" s="34"/>
      <c r="D2665" s="34">
        <f>21.23/2</f>
        <v>10.615</v>
      </c>
    </row>
    <row r="2666" spans="1:4" s="23" customFormat="1" hidden="1" x14ac:dyDescent="0.25">
      <c r="A2666" s="4">
        <v>42667</v>
      </c>
      <c r="B2666" s="3" t="s">
        <v>687</v>
      </c>
      <c r="C2666" s="34"/>
      <c r="D2666" s="34">
        <f>2441.33/2</f>
        <v>1220.665</v>
      </c>
    </row>
    <row r="2667" spans="1:4" s="23" customFormat="1" hidden="1" x14ac:dyDescent="0.25">
      <c r="A2667" s="4">
        <v>42699</v>
      </c>
      <c r="B2667" s="3" t="s">
        <v>688</v>
      </c>
      <c r="C2667" s="34"/>
      <c r="D2667" s="34">
        <f>2441.33/2</f>
        <v>1220.665</v>
      </c>
    </row>
    <row r="2668" spans="1:4" s="23" customFormat="1" hidden="1" x14ac:dyDescent="0.25">
      <c r="A2668" s="4">
        <v>42724</v>
      </c>
      <c r="B2668" s="3" t="s">
        <v>691</v>
      </c>
      <c r="C2668" s="34"/>
      <c r="D2668" s="34">
        <f>21.23/2</f>
        <v>10.615</v>
      </c>
    </row>
    <row r="2669" spans="1:4" s="23" customFormat="1" hidden="1" x14ac:dyDescent="0.25">
      <c r="A2669" s="4">
        <v>42759</v>
      </c>
      <c r="B2669" s="3" t="s">
        <v>694</v>
      </c>
      <c r="C2669" s="34"/>
      <c r="D2669" s="34">
        <f>2441.33/2</f>
        <v>1220.665</v>
      </c>
    </row>
    <row r="2670" spans="1:4" s="23" customFormat="1" hidden="1" x14ac:dyDescent="0.25">
      <c r="A2670" s="4">
        <v>42790</v>
      </c>
      <c r="B2670" s="3" t="s">
        <v>695</v>
      </c>
      <c r="C2670" s="34"/>
      <c r="D2670" s="34">
        <f>2441.33/2</f>
        <v>1220.665</v>
      </c>
    </row>
    <row r="2671" spans="1:4" s="23" customFormat="1" hidden="1" x14ac:dyDescent="0.25">
      <c r="A2671" s="4">
        <v>42817</v>
      </c>
      <c r="B2671" s="3" t="s">
        <v>699</v>
      </c>
      <c r="C2671" s="34"/>
      <c r="D2671" s="34">
        <f>21.23/2</f>
        <v>10.615</v>
      </c>
    </row>
    <row r="2672" spans="1:4" s="23" customFormat="1" hidden="1" x14ac:dyDescent="0.25">
      <c r="A2672" s="4">
        <v>42851</v>
      </c>
      <c r="B2672" s="3" t="s">
        <v>711</v>
      </c>
      <c r="C2672" s="34"/>
      <c r="D2672" s="34">
        <f>2441.33/2</f>
        <v>1220.665</v>
      </c>
    </row>
    <row r="2673" spans="1:4" s="23" customFormat="1" hidden="1" x14ac:dyDescent="0.25">
      <c r="A2673" s="4">
        <v>42880</v>
      </c>
      <c r="B2673" s="3" t="s">
        <v>715</v>
      </c>
      <c r="C2673" s="34"/>
      <c r="D2673" s="34">
        <f>2441.33/2</f>
        <v>1220.665</v>
      </c>
    </row>
    <row r="2674" spans="1:4" s="23" customFormat="1" hidden="1" x14ac:dyDescent="0.25">
      <c r="A2674" s="4">
        <v>42891</v>
      </c>
      <c r="B2674" s="3" t="s">
        <v>718</v>
      </c>
      <c r="C2674" s="34"/>
      <c r="D2674" s="34">
        <f>21.23/2</f>
        <v>10.615</v>
      </c>
    </row>
    <row r="2675" spans="1:4" s="23" customFormat="1" hidden="1" x14ac:dyDescent="0.25">
      <c r="A2675" s="4">
        <v>42907</v>
      </c>
      <c r="B2675" s="3" t="s">
        <v>720</v>
      </c>
      <c r="C2675" s="34"/>
      <c r="D2675" s="34">
        <f>1501.58/2</f>
        <v>750.79</v>
      </c>
    </row>
    <row r="2676" spans="1:4" s="23" customFormat="1" hidden="1" x14ac:dyDescent="0.25">
      <c r="A2676" s="4">
        <v>42916</v>
      </c>
      <c r="B2676" t="s">
        <v>14</v>
      </c>
      <c r="C2676" s="36">
        <f>SUM(C2661:C2675)</f>
        <v>2771.33</v>
      </c>
      <c r="D2676" s="36">
        <f>SUM(D2661:D2675)</f>
        <v>113618.93999999996</v>
      </c>
    </row>
    <row r="2677" spans="1:4" s="23" customFormat="1" hidden="1" x14ac:dyDescent="0.25">
      <c r="A2677" s="4"/>
      <c r="B2677" s="4" t="s">
        <v>15</v>
      </c>
      <c r="C2677" s="34" t="str">
        <f>IF(C2676&gt;D2676,C2676-D2676," ")</f>
        <v xml:space="preserve"> </v>
      </c>
      <c r="D2677" s="34">
        <f>IF(D2676&gt;C2676,D2676-C2676," ")</f>
        <v>110847.60999999996</v>
      </c>
    </row>
    <row r="2678" spans="1:4" s="23" customFormat="1" hidden="1" x14ac:dyDescent="0.25">
      <c r="A2678" s="4">
        <v>42917</v>
      </c>
      <c r="B2678" s="4" t="s">
        <v>799</v>
      </c>
      <c r="C2678" s="34"/>
      <c r="D2678" s="34">
        <v>2850.75</v>
      </c>
    </row>
    <row r="2679" spans="1:4" s="23" customFormat="1" hidden="1" x14ac:dyDescent="0.25">
      <c r="A2679" s="4">
        <v>43031</v>
      </c>
      <c r="B2679" s="4" t="s">
        <v>755</v>
      </c>
      <c r="C2679" s="34"/>
      <c r="D2679" s="34">
        <f>5005.27/2</f>
        <v>2502.6350000000002</v>
      </c>
    </row>
    <row r="2680" spans="1:4" s="23" customFormat="1" hidden="1" x14ac:dyDescent="0.25">
      <c r="A2680" s="4">
        <v>43123</v>
      </c>
      <c r="B2680" s="4" t="s">
        <v>758</v>
      </c>
      <c r="C2680" s="34"/>
      <c r="D2680" s="34">
        <f>5012.2/2</f>
        <v>2506.1</v>
      </c>
    </row>
    <row r="2681" spans="1:4" s="23" customFormat="1" hidden="1" x14ac:dyDescent="0.25">
      <c r="A2681" s="4">
        <v>43213</v>
      </c>
      <c r="B2681" s="4" t="s">
        <v>760</v>
      </c>
      <c r="C2681" s="34"/>
      <c r="D2681" s="34">
        <f>5012.2/2</f>
        <v>2506.1</v>
      </c>
    </row>
    <row r="2682" spans="1:4" s="23" customFormat="1" hidden="1" x14ac:dyDescent="0.25">
      <c r="A2682" s="4">
        <v>43273</v>
      </c>
      <c r="B2682" s="4" t="s">
        <v>764</v>
      </c>
      <c r="C2682" s="34"/>
      <c r="D2682" s="34">
        <f>5012.2/2</f>
        <v>2506.1</v>
      </c>
    </row>
    <row r="2683" spans="1:4" s="23" customFormat="1" hidden="1" x14ac:dyDescent="0.25">
      <c r="A2683" s="4"/>
      <c r="B2683" s="4"/>
      <c r="C2683" s="34"/>
      <c r="D2683" s="34"/>
    </row>
    <row r="2684" spans="1:4" s="23" customFormat="1" hidden="1" x14ac:dyDescent="0.25">
      <c r="A2684" s="4"/>
      <c r="B2684" s="4"/>
      <c r="C2684" s="34"/>
      <c r="D2684" s="34"/>
    </row>
    <row r="2685" spans="1:4" s="23" customFormat="1" hidden="1" x14ac:dyDescent="0.25">
      <c r="A2685" s="4"/>
      <c r="B2685" s="4"/>
      <c r="C2685" s="34"/>
      <c r="D2685" s="34"/>
    </row>
    <row r="2686" spans="1:4" s="23" customFormat="1" hidden="1" x14ac:dyDescent="0.25">
      <c r="A2686" s="4"/>
      <c r="B2686" s="4"/>
      <c r="C2686" s="34"/>
      <c r="D2686" s="34"/>
    </row>
    <row r="2687" spans="1:4" s="23" customFormat="1" hidden="1" x14ac:dyDescent="0.25">
      <c r="A2687" s="4"/>
      <c r="B2687" s="4"/>
      <c r="C2687" s="34"/>
      <c r="D2687" s="34"/>
    </row>
    <row r="2688" spans="1:4" s="23" customFormat="1" hidden="1" x14ac:dyDescent="0.25">
      <c r="A2688" s="4"/>
      <c r="B2688" s="4"/>
      <c r="C2688" s="34"/>
      <c r="D2688" s="34"/>
    </row>
    <row r="2689" spans="1:4" s="23" customFormat="1" hidden="1" x14ac:dyDescent="0.25">
      <c r="A2689" s="4"/>
      <c r="B2689" s="4"/>
      <c r="C2689" s="34"/>
      <c r="D2689" s="34"/>
    </row>
    <row r="2690" spans="1:4" s="23" customFormat="1" hidden="1" x14ac:dyDescent="0.25">
      <c r="A2690" s="4"/>
      <c r="B2690" s="4"/>
      <c r="C2690" s="34"/>
      <c r="D2690" s="34"/>
    </row>
    <row r="2691" spans="1:4" s="23" customFormat="1" hidden="1" x14ac:dyDescent="0.25">
      <c r="A2691" s="4"/>
      <c r="B2691" s="4"/>
      <c r="C2691" s="34"/>
      <c r="D2691" s="34"/>
    </row>
    <row r="2692" spans="1:4" s="23" customFormat="1" hidden="1" x14ac:dyDescent="0.25">
      <c r="A2692" s="4"/>
      <c r="B2692" s="4"/>
      <c r="C2692" s="34"/>
      <c r="D2692" s="34"/>
    </row>
    <row r="2693" spans="1:4" s="23" customFormat="1" hidden="1" x14ac:dyDescent="0.25">
      <c r="A2693" s="4"/>
      <c r="B2693" s="4"/>
      <c r="C2693" s="34"/>
      <c r="D2693" s="34"/>
    </row>
    <row r="2694" spans="1:4" s="23" customFormat="1" hidden="1" x14ac:dyDescent="0.25">
      <c r="A2694" s="4">
        <v>43281</v>
      </c>
      <c r="B2694" t="s">
        <v>14</v>
      </c>
      <c r="C2694" s="36">
        <f>SUM(C2677:C2693)</f>
        <v>0</v>
      </c>
      <c r="D2694" s="36">
        <f>SUM(D2677:D2693)</f>
        <v>123719.29499999997</v>
      </c>
    </row>
    <row r="2695" spans="1:4" s="23" customFormat="1" hidden="1" x14ac:dyDescent="0.25">
      <c r="A2695" s="4"/>
      <c r="B2695" s="4" t="s">
        <v>15</v>
      </c>
      <c r="C2695" s="34" t="str">
        <f>IF(C2694&gt;D2694,C2694-D2694," ")</f>
        <v xml:space="preserve"> </v>
      </c>
      <c r="D2695" s="34">
        <f>IF(D2694&gt;C2694,D2694-C2694," ")</f>
        <v>123719.29499999997</v>
      </c>
    </row>
    <row r="2696" spans="1:4" s="23" customFormat="1" hidden="1" x14ac:dyDescent="0.25">
      <c r="A2696" s="4">
        <v>43282</v>
      </c>
      <c r="B2696" s="4" t="s">
        <v>811</v>
      </c>
      <c r="C2696" s="34">
        <v>986.94</v>
      </c>
      <c r="D2696" s="34"/>
    </row>
    <row r="2697" spans="1:4" s="23" customFormat="1" hidden="1" x14ac:dyDescent="0.25">
      <c r="A2697" s="4">
        <v>43396</v>
      </c>
      <c r="B2697" s="4" t="s">
        <v>813</v>
      </c>
      <c r="C2697" s="34"/>
      <c r="D2697" s="34">
        <f>5132.85/2</f>
        <v>2566.4250000000002</v>
      </c>
    </row>
    <row r="2698" spans="1:4" s="23" customFormat="1" hidden="1" x14ac:dyDescent="0.25">
      <c r="A2698" s="4">
        <v>43487</v>
      </c>
      <c r="B2698" s="4" t="s">
        <v>816</v>
      </c>
      <c r="C2698" s="34"/>
      <c r="D2698" s="34">
        <f>5132.85/2</f>
        <v>2566.4250000000002</v>
      </c>
    </row>
    <row r="2699" spans="1:4" s="23" customFormat="1" hidden="1" x14ac:dyDescent="0.25">
      <c r="A2699" s="4">
        <v>43578</v>
      </c>
      <c r="B2699" s="4" t="s">
        <v>819</v>
      </c>
      <c r="C2699" s="34"/>
      <c r="D2699" s="34">
        <f>5132.85/2</f>
        <v>2566.4250000000002</v>
      </c>
    </row>
    <row r="2700" spans="1:4" s="23" customFormat="1" hidden="1" x14ac:dyDescent="0.25">
      <c r="A2700" s="4">
        <v>43640</v>
      </c>
      <c r="B2700" s="4" t="s">
        <v>822</v>
      </c>
      <c r="C2700" s="34"/>
      <c r="D2700" s="34">
        <f>5132.85/2</f>
        <v>2566.4250000000002</v>
      </c>
    </row>
    <row r="2701" spans="1:4" s="23" customFormat="1" hidden="1" x14ac:dyDescent="0.25">
      <c r="A2701" s="4"/>
      <c r="B2701" s="4"/>
      <c r="C2701" s="34"/>
      <c r="D2701" s="34"/>
    </row>
    <row r="2702" spans="1:4" s="23" customFormat="1" hidden="1" x14ac:dyDescent="0.25">
      <c r="A2702" s="4">
        <v>43646</v>
      </c>
      <c r="B2702" t="s">
        <v>14</v>
      </c>
      <c r="C2702" s="36">
        <f>SUM(C2695:C2701)</f>
        <v>986.94</v>
      </c>
      <c r="D2702" s="36">
        <f>SUM(D2695:D2701)</f>
        <v>133984.99499999997</v>
      </c>
    </row>
    <row r="2703" spans="1:4" s="23" customFormat="1" hidden="1" x14ac:dyDescent="0.25">
      <c r="A2703" s="4"/>
      <c r="B2703" s="4" t="s">
        <v>15</v>
      </c>
      <c r="C2703" s="34" t="str">
        <f>IF(C2702&gt;D2702,C2702-D2702," ")</f>
        <v xml:space="preserve"> </v>
      </c>
      <c r="D2703" s="34">
        <f>IF(D2702&gt;C2702,D2702-C2702," ")</f>
        <v>132998.05499999996</v>
      </c>
    </row>
    <row r="2704" spans="1:4" s="23" customFormat="1" hidden="1" x14ac:dyDescent="0.25">
      <c r="A2704" s="4">
        <v>43282</v>
      </c>
      <c r="B2704" s="4" t="s">
        <v>913</v>
      </c>
      <c r="C2704" s="34"/>
      <c r="D2704" s="34">
        <v>10674.67</v>
      </c>
    </row>
    <row r="2705" spans="1:4" s="23" customFormat="1" hidden="1" x14ac:dyDescent="0.25">
      <c r="A2705" s="4">
        <v>43761</v>
      </c>
      <c r="B2705" s="4" t="s">
        <v>915</v>
      </c>
      <c r="C2705" s="34"/>
      <c r="D2705" s="34">
        <f>5132.85/2</f>
        <v>2566.4250000000002</v>
      </c>
    </row>
    <row r="2706" spans="1:4" s="23" customFormat="1" hidden="1" x14ac:dyDescent="0.25">
      <c r="A2706" s="4">
        <v>43859</v>
      </c>
      <c r="B2706" s="4" t="s">
        <v>916</v>
      </c>
      <c r="C2706" s="34"/>
      <c r="D2706" s="34">
        <f>5368.51/2</f>
        <v>2684.2550000000001</v>
      </c>
    </row>
    <row r="2707" spans="1:4" s="23" customFormat="1" hidden="1" x14ac:dyDescent="0.25">
      <c r="A2707" s="4">
        <v>43952</v>
      </c>
      <c r="B2707" s="4" t="s">
        <v>917</v>
      </c>
      <c r="C2707" s="34"/>
      <c r="D2707" s="34">
        <f>5250.66/2</f>
        <v>2625.33</v>
      </c>
    </row>
    <row r="2708" spans="1:4" s="23" customFormat="1" hidden="1" x14ac:dyDescent="0.25">
      <c r="A2708" s="4">
        <v>44007</v>
      </c>
      <c r="B2708" s="4" t="s">
        <v>918</v>
      </c>
      <c r="C2708" s="34"/>
      <c r="D2708" s="34">
        <f>5250.66/2</f>
        <v>2625.33</v>
      </c>
    </row>
    <row r="2709" spans="1:4" s="23" customFormat="1" hidden="1" x14ac:dyDescent="0.25">
      <c r="A2709" s="4"/>
      <c r="B2709" s="4"/>
      <c r="C2709" s="34"/>
      <c r="D2709" s="34"/>
    </row>
    <row r="2710" spans="1:4" s="23" customFormat="1" hidden="1" x14ac:dyDescent="0.25">
      <c r="A2710" s="4"/>
      <c r="B2710" s="4"/>
      <c r="C2710" s="34"/>
      <c r="D2710" s="34"/>
    </row>
    <row r="2711" spans="1:4" s="23" customFormat="1" hidden="1" x14ac:dyDescent="0.25">
      <c r="A2711" s="4">
        <v>44012</v>
      </c>
      <c r="B2711" t="s">
        <v>14</v>
      </c>
      <c r="C2711" s="36">
        <f>SUM(C2703:C2710)</f>
        <v>0</v>
      </c>
      <c r="D2711" s="36">
        <f>SUM(D2703:D2710)</f>
        <v>154174.06499999994</v>
      </c>
    </row>
    <row r="2712" spans="1:4" s="23" customFormat="1" hidden="1" x14ac:dyDescent="0.25">
      <c r="A2712" s="4"/>
      <c r="B2712" s="4" t="s">
        <v>15</v>
      </c>
      <c r="C2712" s="34" t="str">
        <f>IF(C2711&gt;D2711,C2711-D2711," ")</f>
        <v xml:space="preserve"> </v>
      </c>
      <c r="D2712" s="34">
        <f>IF(D2711&gt;C2711,D2711-C2711," ")</f>
        <v>154174.06499999994</v>
      </c>
    </row>
    <row r="2713" spans="1:4" s="23" customFormat="1" hidden="1" x14ac:dyDescent="0.25">
      <c r="A2713" s="4">
        <v>44013</v>
      </c>
      <c r="B2713" s="4" t="s">
        <v>1082</v>
      </c>
      <c r="C2713" s="34">
        <v>4584.32</v>
      </c>
      <c r="D2713" s="34"/>
    </row>
    <row r="2714" spans="1:4" s="23" customFormat="1" hidden="1" x14ac:dyDescent="0.25">
      <c r="A2714" s="4">
        <v>44125</v>
      </c>
      <c r="B2714" s="4" t="s">
        <v>1006</v>
      </c>
      <c r="C2714" s="34"/>
      <c r="D2714" s="34">
        <f>5423.55/2</f>
        <v>2711.7750000000001</v>
      </c>
    </row>
    <row r="2715" spans="1:4" s="23" customFormat="1" hidden="1" x14ac:dyDescent="0.25">
      <c r="A2715" s="4">
        <v>44225</v>
      </c>
      <c r="B2715" s="4" t="s">
        <v>1046</v>
      </c>
      <c r="C2715" s="34"/>
      <c r="D2715" s="34">
        <f>5423.55/2</f>
        <v>2711.7750000000001</v>
      </c>
    </row>
    <row r="2716" spans="1:4" s="23" customFormat="1" hidden="1" x14ac:dyDescent="0.25">
      <c r="A2716" s="4">
        <v>44320</v>
      </c>
      <c r="B2716" s="4" t="s">
        <v>1068</v>
      </c>
      <c r="C2716" s="34"/>
      <c r="D2716" s="34">
        <f>5423.55/2</f>
        <v>2711.7750000000001</v>
      </c>
    </row>
    <row r="2717" spans="1:4" s="23" customFormat="1" hidden="1" x14ac:dyDescent="0.25">
      <c r="A2717" s="4">
        <v>44369</v>
      </c>
      <c r="B2717" s="4" t="s">
        <v>1078</v>
      </c>
      <c r="C2717" s="34"/>
      <c r="D2717" s="34">
        <f>5423.55/2</f>
        <v>2711.7750000000001</v>
      </c>
    </row>
    <row r="2718" spans="1:4" s="23" customFormat="1" hidden="1" x14ac:dyDescent="0.25">
      <c r="A2718" s="4"/>
      <c r="B2718" s="4"/>
      <c r="C2718" s="34"/>
      <c r="D2718" s="34"/>
    </row>
    <row r="2719" spans="1:4" s="23" customFormat="1" hidden="1" x14ac:dyDescent="0.25">
      <c r="A2719" s="4">
        <v>44377</v>
      </c>
      <c r="B2719" t="s">
        <v>14</v>
      </c>
      <c r="C2719" s="36">
        <f>SUM(C2712:C2718)</f>
        <v>4584.32</v>
      </c>
      <c r="D2719" s="36">
        <f>SUM(D2712:D2718)</f>
        <v>165021.16499999992</v>
      </c>
    </row>
    <row r="2720" spans="1:4" s="23" customFormat="1" x14ac:dyDescent="0.25">
      <c r="A2720" s="4"/>
      <c r="B2720" s="4" t="s">
        <v>15</v>
      </c>
      <c r="C2720" s="34" t="str">
        <f>IF(C2719&gt;D2719,C2719-D2719," ")</f>
        <v xml:space="preserve"> </v>
      </c>
      <c r="D2720" s="34">
        <f>IF(D2719&gt;C2719,D2719-C2719," ")</f>
        <v>160436.84499999991</v>
      </c>
    </row>
    <row r="2721" spans="1:4" s="23" customFormat="1" x14ac:dyDescent="0.25">
      <c r="A2721" s="4">
        <v>44743</v>
      </c>
      <c r="B2721" s="4" t="s">
        <v>1092</v>
      </c>
      <c r="C2721" s="34"/>
      <c r="D2721" s="34">
        <v>14863.87</v>
      </c>
    </row>
    <row r="2722" spans="1:4" s="23" customFormat="1" x14ac:dyDescent="0.25">
      <c r="A2722" s="4">
        <v>44405</v>
      </c>
      <c r="B2722" s="4" t="s">
        <v>1171</v>
      </c>
      <c r="C2722" s="34"/>
      <c r="D2722" s="34">
        <v>341.18</v>
      </c>
    </row>
    <row r="2723" spans="1:4" s="23" customFormat="1" x14ac:dyDescent="0.25">
      <c r="A2723" s="4">
        <v>44491</v>
      </c>
      <c r="B2723" s="4" t="s">
        <v>1183</v>
      </c>
      <c r="C2723" s="34"/>
      <c r="D2723" s="34">
        <f>5892/2</f>
        <v>2946</v>
      </c>
    </row>
    <row r="2724" spans="1:4" s="23" customFormat="1" x14ac:dyDescent="0.25">
      <c r="A2724" s="4">
        <v>44497</v>
      </c>
      <c r="B2724" s="4" t="s">
        <v>1184</v>
      </c>
      <c r="C2724" s="34"/>
      <c r="D2724" s="34">
        <v>586.76</v>
      </c>
    </row>
    <row r="2725" spans="1:4" s="23" customFormat="1" x14ac:dyDescent="0.25">
      <c r="A2725" s="4">
        <v>44582</v>
      </c>
      <c r="B2725" s="4" t="s">
        <v>1196</v>
      </c>
      <c r="C2725" s="34"/>
      <c r="D2725" s="34">
        <f>5892/2</f>
        <v>2946</v>
      </c>
    </row>
    <row r="2726" spans="1:4" s="23" customFormat="1" x14ac:dyDescent="0.25">
      <c r="A2726" s="4">
        <v>44588</v>
      </c>
      <c r="B2726" s="4" t="s">
        <v>1197</v>
      </c>
      <c r="C2726" s="34"/>
      <c r="D2726" s="34">
        <v>622.80999999999995</v>
      </c>
    </row>
    <row r="2727" spans="1:4" s="23" customFormat="1" x14ac:dyDescent="0.25">
      <c r="A2727" s="4">
        <v>44608</v>
      </c>
      <c r="B2727" s="4" t="s">
        <v>1198</v>
      </c>
      <c r="C2727" s="34"/>
      <c r="D2727" s="34">
        <f>1964/2</f>
        <v>982</v>
      </c>
    </row>
    <row r="2728" spans="1:4" s="23" customFormat="1" x14ac:dyDescent="0.25">
      <c r="A2728" s="4">
        <v>44636</v>
      </c>
      <c r="B2728" s="4" t="s">
        <v>1200</v>
      </c>
      <c r="C2728" s="34"/>
      <c r="D2728" s="34">
        <f>1964/2</f>
        <v>982</v>
      </c>
    </row>
    <row r="2729" spans="1:4" s="23" customFormat="1" x14ac:dyDescent="0.25">
      <c r="A2729" s="4">
        <v>44680</v>
      </c>
      <c r="B2729" s="4" t="s">
        <v>1210</v>
      </c>
      <c r="C2729" s="34"/>
      <c r="D2729" s="34">
        <f>1964/2</f>
        <v>982</v>
      </c>
    </row>
    <row r="2730" spans="1:4" s="23" customFormat="1" x14ac:dyDescent="0.25">
      <c r="A2730" s="4">
        <v>44700</v>
      </c>
      <c r="B2730" s="4" t="s">
        <v>1211</v>
      </c>
      <c r="C2730" s="34"/>
      <c r="D2730" s="34">
        <f>1964/2</f>
        <v>982</v>
      </c>
    </row>
    <row r="2731" spans="1:4" s="23" customFormat="1" x14ac:dyDescent="0.25">
      <c r="A2731" s="4">
        <v>44732</v>
      </c>
      <c r="B2731" s="4" t="s">
        <v>1218</v>
      </c>
      <c r="C2731" s="34"/>
      <c r="D2731" s="34">
        <v>110000</v>
      </c>
    </row>
    <row r="2732" spans="1:4" s="23" customFormat="1" x14ac:dyDescent="0.25">
      <c r="A2732" s="4">
        <v>44734</v>
      </c>
      <c r="B2732" s="4" t="s">
        <v>1219</v>
      </c>
      <c r="C2732" s="34"/>
      <c r="D2732" s="34">
        <f>1964/2</f>
        <v>982</v>
      </c>
    </row>
    <row r="2733" spans="1:4" s="23" customFormat="1" x14ac:dyDescent="0.25">
      <c r="A2733" s="4">
        <v>44734</v>
      </c>
      <c r="B2733" s="4" t="s">
        <v>1220</v>
      </c>
      <c r="C2733" s="34"/>
      <c r="D2733" s="34">
        <f>1964/2</f>
        <v>982</v>
      </c>
    </row>
    <row r="2734" spans="1:4" s="23" customFormat="1" x14ac:dyDescent="0.25">
      <c r="A2734" s="4"/>
      <c r="B2734" s="4"/>
      <c r="C2734" s="34"/>
      <c r="D2734" s="34"/>
    </row>
    <row r="2735" spans="1:4" s="23" customFormat="1" x14ac:dyDescent="0.25">
      <c r="A2735" s="4">
        <v>44742</v>
      </c>
      <c r="B2735" t="s">
        <v>14</v>
      </c>
      <c r="C2735" s="36">
        <f>SUM(C2720:C2734)</f>
        <v>0</v>
      </c>
      <c r="D2735" s="36">
        <f>SUM(D2720:D2734)</f>
        <v>298635.46499999991</v>
      </c>
    </row>
    <row r="2736" spans="1:4" s="23" customFormat="1" x14ac:dyDescent="0.25">
      <c r="A2736" s="4"/>
      <c r="B2736" s="4" t="s">
        <v>15</v>
      </c>
      <c r="C2736" s="34" t="str">
        <f>IF(C2735&gt;D2735,C2735-D2735," ")</f>
        <v xml:space="preserve"> </v>
      </c>
      <c r="D2736" s="34">
        <f>IF(D2735&gt;C2735,D2735-C2735," ")</f>
        <v>298635.46499999991</v>
      </c>
    </row>
    <row r="2737" spans="1:4" s="23" customFormat="1" x14ac:dyDescent="0.25">
      <c r="A2737" s="4"/>
      <c r="B2737" s="4"/>
      <c r="C2737" s="34"/>
      <c r="D2737" s="34"/>
    </row>
    <row r="2738" spans="1:4" s="23" customFormat="1" x14ac:dyDescent="0.25">
      <c r="A2738" s="30" t="s">
        <v>470</v>
      </c>
      <c r="B2738"/>
      <c r="C2738" s="34"/>
      <c r="D2738" s="34"/>
    </row>
    <row r="2739" spans="1:4" s="23" customFormat="1" ht="14.25" x14ac:dyDescent="0.2">
      <c r="A2739" s="30" t="s">
        <v>2</v>
      </c>
      <c r="B2739" s="1" t="s">
        <v>3</v>
      </c>
      <c r="C2739" s="35" t="s">
        <v>4</v>
      </c>
      <c r="D2739" s="35" t="s">
        <v>5</v>
      </c>
    </row>
    <row r="2740" spans="1:4" s="23" customFormat="1" hidden="1" x14ac:dyDescent="0.25">
      <c r="A2740" s="4">
        <v>39087</v>
      </c>
      <c r="B2740" s="4" t="s">
        <v>265</v>
      </c>
      <c r="C2740" s="34"/>
      <c r="D2740" s="34">
        <v>33937.269999999997</v>
      </c>
    </row>
    <row r="2741" spans="1:4" s="23" customFormat="1" hidden="1" x14ac:dyDescent="0.25">
      <c r="A2741" s="4"/>
      <c r="B2741" s="4"/>
      <c r="C2741" s="34"/>
      <c r="D2741" s="34"/>
    </row>
    <row r="2742" spans="1:4" s="23" customFormat="1" hidden="1" x14ac:dyDescent="0.25">
      <c r="A2742" s="4"/>
      <c r="B2742" s="4"/>
      <c r="C2742" s="34"/>
      <c r="D2742" s="34"/>
    </row>
    <row r="2743" spans="1:4" s="23" customFormat="1" hidden="1" x14ac:dyDescent="0.25">
      <c r="A2743" s="4"/>
      <c r="B2743" s="4"/>
      <c r="C2743" s="34"/>
      <c r="D2743" s="34"/>
    </row>
    <row r="2744" spans="1:4" s="23" customFormat="1" hidden="1" x14ac:dyDescent="0.25">
      <c r="A2744" s="4"/>
      <c r="B2744" s="4"/>
      <c r="C2744" s="34"/>
      <c r="D2744" s="34"/>
    </row>
    <row r="2745" spans="1:4" s="23" customFormat="1" hidden="1" x14ac:dyDescent="0.25">
      <c r="A2745" s="4">
        <v>39263</v>
      </c>
      <c r="B2745" t="s">
        <v>14</v>
      </c>
      <c r="C2745" s="36">
        <f>SUM(C2740:C2744)</f>
        <v>0</v>
      </c>
      <c r="D2745" s="36">
        <f>SUM(D2740:D2744)</f>
        <v>33937.269999999997</v>
      </c>
    </row>
    <row r="2746" spans="1:4" s="23" customFormat="1" hidden="1" x14ac:dyDescent="0.25">
      <c r="A2746" s="4"/>
      <c r="B2746" s="4" t="s">
        <v>15</v>
      </c>
      <c r="C2746" s="34" t="str">
        <f>IF(C2745&gt;D2745,C2745-D2745," ")</f>
        <v xml:space="preserve"> </v>
      </c>
      <c r="D2746" s="34">
        <f>IF(D2745&gt;C2745,D2745-C2745," ")</f>
        <v>33937.269999999997</v>
      </c>
    </row>
    <row r="2747" spans="1:4" s="23" customFormat="1" hidden="1" x14ac:dyDescent="0.25">
      <c r="A2747" s="4">
        <v>39264</v>
      </c>
      <c r="B2747" s="4" t="s">
        <v>285</v>
      </c>
      <c r="C2747" s="34"/>
      <c r="D2747" s="34">
        <v>850</v>
      </c>
    </row>
    <row r="2748" spans="1:4" s="23" customFormat="1" hidden="1" x14ac:dyDescent="0.25">
      <c r="A2748" s="4">
        <v>39272</v>
      </c>
      <c r="B2748" s="4" t="s">
        <v>286</v>
      </c>
      <c r="C2748" s="34">
        <v>34787.269999999997</v>
      </c>
      <c r="D2748" s="34"/>
    </row>
    <row r="2749" spans="1:4" s="23" customFormat="1" hidden="1" x14ac:dyDescent="0.25">
      <c r="A2749" s="4"/>
      <c r="B2749" s="4"/>
      <c r="C2749" s="34"/>
      <c r="D2749" s="34"/>
    </row>
    <row r="2750" spans="1:4" s="23" customFormat="1" hidden="1" x14ac:dyDescent="0.25">
      <c r="A2750" s="4">
        <v>39629</v>
      </c>
      <c r="B2750" t="s">
        <v>14</v>
      </c>
      <c r="C2750" s="36">
        <f>SUM(C2746:C2749)</f>
        <v>34787.269999999997</v>
      </c>
      <c r="D2750" s="36">
        <f>SUM(D2746:D2749)</f>
        <v>34787.269999999997</v>
      </c>
    </row>
    <row r="2751" spans="1:4" s="23" customFormat="1" hidden="1" x14ac:dyDescent="0.25">
      <c r="A2751" s="4"/>
      <c r="B2751" s="4" t="s">
        <v>15</v>
      </c>
      <c r="C2751" s="34" t="str">
        <f>IF(C2750&gt;D2750,C2750-D2750," ")</f>
        <v xml:space="preserve"> </v>
      </c>
      <c r="D2751" s="34" t="str">
        <f>IF(D2750&gt;C2750,D2750-C2750," ")</f>
        <v xml:space="preserve"> </v>
      </c>
    </row>
    <row r="2752" spans="1:4" s="23" customFormat="1" hidden="1" x14ac:dyDescent="0.25">
      <c r="A2752" s="4">
        <v>41351</v>
      </c>
      <c r="B2752" s="4" t="s">
        <v>478</v>
      </c>
      <c r="C2752" s="34"/>
      <c r="D2752" s="34">
        <v>50000</v>
      </c>
    </row>
    <row r="2753" spans="1:4" s="23" customFormat="1" hidden="1" x14ac:dyDescent="0.25">
      <c r="A2753" s="4"/>
      <c r="B2753" s="4"/>
      <c r="C2753" s="34"/>
      <c r="D2753" s="34"/>
    </row>
    <row r="2754" spans="1:4" s="23" customFormat="1" hidden="1" x14ac:dyDescent="0.25">
      <c r="A2754" s="4">
        <v>41455</v>
      </c>
      <c r="B2754" t="s">
        <v>14</v>
      </c>
      <c r="C2754" s="36">
        <f>SUM(C2751:C2753)</f>
        <v>0</v>
      </c>
      <c r="D2754" s="36">
        <f>SUM(D2751:D2753)</f>
        <v>50000</v>
      </c>
    </row>
    <row r="2755" spans="1:4" s="23" customFormat="1" hidden="1" x14ac:dyDescent="0.25">
      <c r="A2755" s="4"/>
      <c r="B2755" s="4" t="s">
        <v>15</v>
      </c>
      <c r="C2755" s="34" t="str">
        <f>IF(C2754&gt;D2754,C2754-D2754," ")</f>
        <v xml:space="preserve"> </v>
      </c>
      <c r="D2755" s="34">
        <f>IF(D2754&gt;C2754,D2754-C2754," ")</f>
        <v>50000</v>
      </c>
    </row>
    <row r="2756" spans="1:4" s="23" customFormat="1" hidden="1" x14ac:dyDescent="0.25">
      <c r="A2756" s="4">
        <v>41570</v>
      </c>
      <c r="B2756" s="4" t="s">
        <v>544</v>
      </c>
      <c r="C2756" s="34">
        <v>43405.81</v>
      </c>
      <c r="D2756" s="34"/>
    </row>
    <row r="2757" spans="1:4" s="23" customFormat="1" hidden="1" x14ac:dyDescent="0.25">
      <c r="A2757" s="4">
        <v>41570</v>
      </c>
      <c r="B2757" s="4" t="s">
        <v>545</v>
      </c>
      <c r="C2757" s="34">
        <v>6594.19</v>
      </c>
      <c r="D2757" s="34"/>
    </row>
    <row r="2758" spans="1:4" s="23" customFormat="1" hidden="1" x14ac:dyDescent="0.25">
      <c r="A2758" s="4"/>
      <c r="B2758" s="4"/>
      <c r="C2758" s="34"/>
      <c r="D2758" s="34"/>
    </row>
    <row r="2759" spans="1:4" s="23" customFormat="1" hidden="1" x14ac:dyDescent="0.25">
      <c r="A2759" s="4">
        <v>41820</v>
      </c>
      <c r="B2759" t="s">
        <v>14</v>
      </c>
      <c r="C2759" s="36">
        <f>SUM(C2755:C2758)</f>
        <v>50000</v>
      </c>
      <c r="D2759" s="36">
        <f>SUM(D2755:D2758)</f>
        <v>50000</v>
      </c>
    </row>
    <row r="2760" spans="1:4" s="23" customFormat="1" x14ac:dyDescent="0.25">
      <c r="A2760" s="4"/>
      <c r="B2760" s="4" t="s">
        <v>15</v>
      </c>
      <c r="C2760" s="34" t="str">
        <f>IF(C2759&gt;D2759,C2759-D2759," ")</f>
        <v xml:space="preserve"> </v>
      </c>
      <c r="D2760" s="34" t="str">
        <f>IF(D2759&gt;C2759,D2759-C2759," ")</f>
        <v xml:space="preserve"> </v>
      </c>
    </row>
    <row r="2761" spans="1:4" s="23" customFormat="1" x14ac:dyDescent="0.25">
      <c r="A2761" s="4"/>
      <c r="B2761" s="4"/>
      <c r="C2761" s="34"/>
      <c r="D2761" s="34"/>
    </row>
    <row r="2762" spans="1:4" s="23" customFormat="1" ht="14.25" x14ac:dyDescent="0.2">
      <c r="A2762" s="31"/>
      <c r="C2762" s="38"/>
      <c r="D2762" s="38"/>
    </row>
    <row r="2763" spans="1:4" x14ac:dyDescent="0.25">
      <c r="A2763" s="30" t="s">
        <v>100</v>
      </c>
      <c r="C2763" s="34"/>
      <c r="D2763" s="34"/>
    </row>
    <row r="2764" spans="1:4" hidden="1" x14ac:dyDescent="0.25">
      <c r="A2764" s="30" t="s">
        <v>2</v>
      </c>
      <c r="B2764" s="1" t="s">
        <v>3</v>
      </c>
      <c r="C2764" s="35" t="s">
        <v>4</v>
      </c>
      <c r="D2764" s="35" t="s">
        <v>5</v>
      </c>
    </row>
    <row r="2765" spans="1:4" hidden="1" x14ac:dyDescent="0.25">
      <c r="A2765" s="4">
        <v>35947</v>
      </c>
      <c r="B2765" t="s">
        <v>9</v>
      </c>
      <c r="C2765" s="34"/>
      <c r="D2765" s="34">
        <v>71.44</v>
      </c>
    </row>
    <row r="2766" spans="1:4" hidden="1" x14ac:dyDescent="0.25">
      <c r="A2766" s="4">
        <v>35976</v>
      </c>
      <c r="B2766" t="s">
        <v>69</v>
      </c>
      <c r="C2766" s="34"/>
      <c r="D2766" s="34">
        <v>35.49</v>
      </c>
    </row>
    <row r="2767" spans="1:4" hidden="1" x14ac:dyDescent="0.25">
      <c r="A2767" s="4">
        <v>35976</v>
      </c>
      <c r="B2767" t="s">
        <v>14</v>
      </c>
      <c r="C2767" s="36">
        <f>SUM(C2765:C2766)</f>
        <v>0</v>
      </c>
      <c r="D2767" s="36">
        <f>SUM(D2765:D2766)</f>
        <v>106.93</v>
      </c>
    </row>
    <row r="2768" spans="1:4" hidden="1" x14ac:dyDescent="0.25">
      <c r="A2768" s="4"/>
      <c r="B2768" s="4" t="s">
        <v>15</v>
      </c>
      <c r="C2768" s="34" t="str">
        <f>IF(C2767&gt;D2767,C2767-D2767," ")</f>
        <v xml:space="preserve"> </v>
      </c>
      <c r="D2768" s="34">
        <f>IF(D2767&gt;C2767,D2767-C2767," ")</f>
        <v>106.93</v>
      </c>
    </row>
    <row r="2769" spans="1:4" hidden="1" x14ac:dyDescent="0.25">
      <c r="A2769" s="4">
        <v>35977</v>
      </c>
      <c r="B2769" t="s">
        <v>9</v>
      </c>
      <c r="C2769" s="34"/>
      <c r="D2769" s="34">
        <v>152.55000000000001</v>
      </c>
    </row>
    <row r="2770" spans="1:4" hidden="1" x14ac:dyDescent="0.25">
      <c r="A2770" s="4">
        <v>36008</v>
      </c>
      <c r="B2770" t="s">
        <v>9</v>
      </c>
      <c r="C2770" s="34"/>
      <c r="D2770" s="34">
        <v>161.81</v>
      </c>
    </row>
    <row r="2771" spans="1:4" hidden="1" x14ac:dyDescent="0.25">
      <c r="A2771" s="4">
        <v>36039</v>
      </c>
      <c r="B2771" t="s">
        <v>9</v>
      </c>
      <c r="C2771" s="34"/>
      <c r="D2771" s="34">
        <v>166.12</v>
      </c>
    </row>
    <row r="2772" spans="1:4" hidden="1" x14ac:dyDescent="0.25">
      <c r="A2772" s="4">
        <v>36069</v>
      </c>
      <c r="B2772" t="s">
        <v>9</v>
      </c>
      <c r="C2772" s="34"/>
      <c r="D2772" s="34">
        <v>119.34</v>
      </c>
    </row>
    <row r="2773" spans="1:4" hidden="1" x14ac:dyDescent="0.25">
      <c r="A2773" s="4">
        <v>36100</v>
      </c>
      <c r="B2773" t="s">
        <v>9</v>
      </c>
      <c r="C2773" s="34"/>
      <c r="D2773" s="34">
        <v>127.74</v>
      </c>
    </row>
    <row r="2774" spans="1:4" hidden="1" x14ac:dyDescent="0.25">
      <c r="A2774" s="4">
        <v>36130</v>
      </c>
      <c r="B2774" t="s">
        <v>9</v>
      </c>
      <c r="C2774" s="34"/>
      <c r="D2774" s="34">
        <v>115.87</v>
      </c>
    </row>
    <row r="2775" spans="1:4" hidden="1" x14ac:dyDescent="0.25">
      <c r="A2775" s="4">
        <v>36161</v>
      </c>
      <c r="B2775" t="s">
        <v>9</v>
      </c>
      <c r="C2775" s="34"/>
      <c r="D2775" s="34">
        <v>122.45</v>
      </c>
    </row>
    <row r="2776" spans="1:4" hidden="1" x14ac:dyDescent="0.25">
      <c r="A2776" s="4">
        <v>36192</v>
      </c>
      <c r="B2776" t="s">
        <v>9</v>
      </c>
      <c r="C2776" s="34"/>
      <c r="D2776" s="34">
        <v>128.33000000000001</v>
      </c>
    </row>
    <row r="2777" spans="1:4" hidden="1" x14ac:dyDescent="0.25">
      <c r="A2777" s="4">
        <v>36209</v>
      </c>
      <c r="B2777" t="s">
        <v>101</v>
      </c>
      <c r="C2777" s="34"/>
      <c r="D2777" s="34">
        <v>370</v>
      </c>
    </row>
    <row r="2778" spans="1:4" hidden="1" x14ac:dyDescent="0.25">
      <c r="A2778" s="4">
        <v>36220</v>
      </c>
      <c r="B2778" t="s">
        <v>9</v>
      </c>
      <c r="C2778" s="34"/>
      <c r="D2778" s="34">
        <v>110.91</v>
      </c>
    </row>
    <row r="2779" spans="1:4" hidden="1" x14ac:dyDescent="0.25">
      <c r="A2779" s="4">
        <v>36250</v>
      </c>
      <c r="B2779" t="s">
        <v>102</v>
      </c>
      <c r="C2779" s="34"/>
      <c r="D2779" s="34">
        <v>175</v>
      </c>
    </row>
    <row r="2780" spans="1:4" hidden="1" x14ac:dyDescent="0.25">
      <c r="A2780" s="4">
        <v>36251</v>
      </c>
      <c r="B2780" t="s">
        <v>9</v>
      </c>
      <c r="C2780" s="34"/>
      <c r="D2780" s="34">
        <v>95.35</v>
      </c>
    </row>
    <row r="2781" spans="1:4" hidden="1" x14ac:dyDescent="0.25">
      <c r="A2781" s="4">
        <v>36281</v>
      </c>
      <c r="B2781" t="s">
        <v>9</v>
      </c>
      <c r="C2781" s="34"/>
      <c r="D2781" s="34">
        <f>12.59+3.66</f>
        <v>16.25</v>
      </c>
    </row>
    <row r="2782" spans="1:4" hidden="1" x14ac:dyDescent="0.25">
      <c r="A2782" s="4">
        <v>36281</v>
      </c>
      <c r="B2782" t="s">
        <v>9</v>
      </c>
      <c r="C2782" s="34"/>
      <c r="D2782" s="34">
        <f>95.81+6.41</f>
        <v>102.22</v>
      </c>
    </row>
    <row r="2783" spans="1:4" hidden="1" x14ac:dyDescent="0.25">
      <c r="A2783" s="4">
        <v>36308</v>
      </c>
      <c r="B2783" t="s">
        <v>9</v>
      </c>
      <c r="C2783" s="34"/>
      <c r="D2783" s="34">
        <v>80.14</v>
      </c>
    </row>
    <row r="2784" spans="1:4" hidden="1" x14ac:dyDescent="0.25">
      <c r="A2784" s="4">
        <v>36321</v>
      </c>
      <c r="B2784" t="s">
        <v>9</v>
      </c>
      <c r="C2784" s="34"/>
      <c r="D2784" s="34">
        <v>12.61</v>
      </c>
    </row>
    <row r="2785" spans="1:4" hidden="1" x14ac:dyDescent="0.25">
      <c r="A2785" s="4">
        <v>36312</v>
      </c>
      <c r="B2785" t="s">
        <v>9</v>
      </c>
      <c r="C2785" s="34"/>
      <c r="D2785" s="34">
        <v>12.86</v>
      </c>
    </row>
    <row r="2786" spans="1:4" hidden="1" x14ac:dyDescent="0.25">
      <c r="A2786" s="4">
        <v>36341</v>
      </c>
      <c r="B2786" t="s">
        <v>74</v>
      </c>
      <c r="C2786" s="34"/>
      <c r="D2786" s="34">
        <v>2134.08</v>
      </c>
    </row>
    <row r="2787" spans="1:4" hidden="1" x14ac:dyDescent="0.25">
      <c r="A2787" s="4">
        <v>36341</v>
      </c>
      <c r="B2787" t="s">
        <v>75</v>
      </c>
      <c r="C2787" s="34"/>
      <c r="D2787" s="34">
        <v>4505.49</v>
      </c>
    </row>
    <row r="2788" spans="1:4" hidden="1" x14ac:dyDescent="0.25">
      <c r="A2788" s="4">
        <v>36341</v>
      </c>
      <c r="B2788" t="s">
        <v>14</v>
      </c>
      <c r="C2788" s="36">
        <f>SUM(C2769:C2787)</f>
        <v>0</v>
      </c>
      <c r="D2788" s="36">
        <f>SUM(D2769:D2787)</f>
        <v>8709.119999999999</v>
      </c>
    </row>
    <row r="2789" spans="1:4" hidden="1" x14ac:dyDescent="0.25">
      <c r="A2789" s="4"/>
      <c r="B2789" s="4" t="s">
        <v>15</v>
      </c>
      <c r="C2789" s="34" t="str">
        <f>IF(C2788&gt;D2788,C2788-D2788," ")</f>
        <v xml:space="preserve"> </v>
      </c>
      <c r="D2789" s="34">
        <f>IF(D2788&gt;C2788,D2788-C2788," ")</f>
        <v>8709.119999999999</v>
      </c>
    </row>
    <row r="2790" spans="1:4" hidden="1" x14ac:dyDescent="0.25">
      <c r="A2790" s="4">
        <v>36342</v>
      </c>
      <c r="B2790" t="s">
        <v>9</v>
      </c>
      <c r="C2790" s="34"/>
      <c r="D2790" s="34">
        <v>8.57</v>
      </c>
    </row>
    <row r="2791" spans="1:4" hidden="1" x14ac:dyDescent="0.25">
      <c r="A2791" s="4">
        <v>36374</v>
      </c>
      <c r="B2791" t="s">
        <v>9</v>
      </c>
      <c r="C2791" s="34"/>
      <c r="D2791" s="34">
        <v>12.69</v>
      </c>
    </row>
    <row r="2792" spans="1:4" hidden="1" x14ac:dyDescent="0.25">
      <c r="A2792" s="4">
        <v>36397</v>
      </c>
      <c r="B2792" t="s">
        <v>9</v>
      </c>
      <c r="C2792" s="34"/>
      <c r="D2792" s="34">
        <v>9.86</v>
      </c>
    </row>
    <row r="2793" spans="1:4" hidden="1" x14ac:dyDescent="0.25">
      <c r="A2793" s="4">
        <v>36342</v>
      </c>
      <c r="B2793" t="s">
        <v>9</v>
      </c>
      <c r="C2793" s="34"/>
      <c r="D2793" s="34">
        <v>92.28</v>
      </c>
    </row>
    <row r="2794" spans="1:4" hidden="1" x14ac:dyDescent="0.25">
      <c r="A2794" s="4">
        <v>36374</v>
      </c>
      <c r="B2794" t="s">
        <v>9</v>
      </c>
      <c r="C2794" s="34"/>
      <c r="D2794" s="34">
        <v>95.69</v>
      </c>
    </row>
    <row r="2795" spans="1:4" hidden="1" x14ac:dyDescent="0.25">
      <c r="A2795" s="4">
        <v>36404</v>
      </c>
      <c r="B2795" t="s">
        <v>9</v>
      </c>
      <c r="C2795" s="34"/>
      <c r="D2795" s="34">
        <v>98.92</v>
      </c>
    </row>
    <row r="2796" spans="1:4" hidden="1" x14ac:dyDescent="0.25">
      <c r="A2796" s="4">
        <v>36434</v>
      </c>
      <c r="B2796" t="s">
        <v>9</v>
      </c>
      <c r="C2796" s="34"/>
      <c r="D2796" s="34">
        <v>113.32</v>
      </c>
    </row>
    <row r="2797" spans="1:4" hidden="1" x14ac:dyDescent="0.25">
      <c r="A2797" s="4">
        <v>36461</v>
      </c>
      <c r="B2797" t="s">
        <v>9</v>
      </c>
      <c r="C2797" s="34"/>
      <c r="D2797" s="34">
        <v>104.07</v>
      </c>
    </row>
    <row r="2798" spans="1:4" hidden="1" x14ac:dyDescent="0.25">
      <c r="A2798" s="4">
        <v>36514</v>
      </c>
      <c r="B2798" s="4" t="s">
        <v>35</v>
      </c>
      <c r="C2798" s="34"/>
      <c r="D2798" s="34">
        <v>584.34</v>
      </c>
    </row>
    <row r="2799" spans="1:4" hidden="1" x14ac:dyDescent="0.25">
      <c r="A2799" s="4">
        <v>36514</v>
      </c>
      <c r="B2799" s="4" t="s">
        <v>36</v>
      </c>
      <c r="C2799" s="34"/>
      <c r="D2799" s="34">
        <v>426.58</v>
      </c>
    </row>
    <row r="2800" spans="1:4" hidden="1" x14ac:dyDescent="0.25">
      <c r="A2800" s="4">
        <v>36514</v>
      </c>
      <c r="B2800" s="4" t="s">
        <v>37</v>
      </c>
      <c r="C2800" s="34"/>
      <c r="D2800" s="34">
        <v>349.56</v>
      </c>
    </row>
    <row r="2801" spans="1:4" hidden="1" x14ac:dyDescent="0.25">
      <c r="A2801" s="4">
        <v>36526</v>
      </c>
      <c r="B2801" t="s">
        <v>9</v>
      </c>
      <c r="C2801" s="34"/>
      <c r="D2801" s="34">
        <v>261.8</v>
      </c>
    </row>
    <row r="2802" spans="1:4" hidden="1" x14ac:dyDescent="0.25">
      <c r="A2802" s="4">
        <v>36577</v>
      </c>
      <c r="B2802" s="4" t="s">
        <v>39</v>
      </c>
      <c r="C2802" s="34"/>
      <c r="D2802" s="34">
        <v>92.7</v>
      </c>
    </row>
    <row r="2803" spans="1:4" hidden="1" x14ac:dyDescent="0.25">
      <c r="A2803" s="4">
        <v>36577</v>
      </c>
      <c r="B2803" s="4" t="s">
        <v>40</v>
      </c>
      <c r="C2803" s="34"/>
      <c r="D2803" s="34">
        <v>60.44</v>
      </c>
    </row>
    <row r="2804" spans="1:4" hidden="1" x14ac:dyDescent="0.25">
      <c r="A2804" s="4">
        <v>36617</v>
      </c>
      <c r="B2804" t="s">
        <v>9</v>
      </c>
      <c r="C2804" s="34"/>
      <c r="D2804" s="34">
        <v>266.79000000000002</v>
      </c>
    </row>
    <row r="2805" spans="1:4" hidden="1" x14ac:dyDescent="0.25">
      <c r="A2805" s="4">
        <v>36657</v>
      </c>
      <c r="B2805" s="4" t="s">
        <v>103</v>
      </c>
      <c r="C2805" s="34"/>
      <c r="D2805" s="34">
        <f>360.75+329</f>
        <v>689.75</v>
      </c>
    </row>
    <row r="2806" spans="1:4" hidden="1" x14ac:dyDescent="0.25">
      <c r="A2806" s="4">
        <v>36690</v>
      </c>
      <c r="B2806" s="4" t="s">
        <v>39</v>
      </c>
      <c r="C2806" s="34"/>
      <c r="D2806" s="34">
        <v>82.4</v>
      </c>
    </row>
    <row r="2807" spans="1:4" hidden="1" x14ac:dyDescent="0.25">
      <c r="A2807" s="4">
        <v>36707</v>
      </c>
      <c r="B2807" t="s">
        <v>74</v>
      </c>
      <c r="C2807" s="34">
        <v>744.7</v>
      </c>
      <c r="D2807" s="34"/>
    </row>
    <row r="2808" spans="1:4" hidden="1" x14ac:dyDescent="0.25">
      <c r="A2808" s="4">
        <v>36707</v>
      </c>
      <c r="B2808" t="s">
        <v>75</v>
      </c>
      <c r="C2808" s="34"/>
      <c r="D2808" s="34">
        <v>919.45</v>
      </c>
    </row>
    <row r="2809" spans="1:4" hidden="1" x14ac:dyDescent="0.25">
      <c r="A2809" s="4">
        <v>36707</v>
      </c>
      <c r="B2809" t="s">
        <v>14</v>
      </c>
      <c r="C2809" s="36">
        <f>SUM(C2790:C2808)</f>
        <v>744.7</v>
      </c>
      <c r="D2809" s="36">
        <f>SUM(D2790:D2808)</f>
        <v>4269.21</v>
      </c>
    </row>
    <row r="2810" spans="1:4" hidden="1" x14ac:dyDescent="0.25">
      <c r="A2810" s="4"/>
      <c r="B2810" s="4" t="s">
        <v>15</v>
      </c>
      <c r="C2810" s="34" t="str">
        <f>IF(C2809&gt;D2809,C2809-D2809," ")</f>
        <v xml:space="preserve"> </v>
      </c>
      <c r="D2810" s="34">
        <f>IF(D2809&gt;C2809,D2809-C2809," ")</f>
        <v>3524.51</v>
      </c>
    </row>
    <row r="2811" spans="1:4" hidden="1" x14ac:dyDescent="0.25">
      <c r="A2811" s="4">
        <v>36708</v>
      </c>
      <c r="B2811" s="4" t="s">
        <v>9</v>
      </c>
      <c r="C2811" s="34"/>
      <c r="D2811" s="34">
        <v>277.79000000000002</v>
      </c>
    </row>
    <row r="2812" spans="1:4" hidden="1" x14ac:dyDescent="0.25">
      <c r="A2812" s="4">
        <v>36797</v>
      </c>
      <c r="B2812" s="4" t="s">
        <v>46</v>
      </c>
      <c r="C2812" s="34"/>
      <c r="D2812" s="34">
        <v>290.48</v>
      </c>
    </row>
    <row r="2813" spans="1:4" hidden="1" x14ac:dyDescent="0.25">
      <c r="A2813" s="4">
        <v>36800</v>
      </c>
      <c r="B2813" s="4" t="s">
        <v>9</v>
      </c>
      <c r="C2813" s="34"/>
      <c r="D2813" s="34">
        <v>292.2</v>
      </c>
    </row>
    <row r="2814" spans="1:4" hidden="1" x14ac:dyDescent="0.25">
      <c r="A2814" s="4">
        <v>36829</v>
      </c>
      <c r="B2814" s="4" t="s">
        <v>48</v>
      </c>
      <c r="C2814" s="34"/>
      <c r="D2814" s="34">
        <v>50.52</v>
      </c>
    </row>
    <row r="2815" spans="1:4" hidden="1" x14ac:dyDescent="0.25">
      <c r="A2815" s="4">
        <v>36830</v>
      </c>
      <c r="B2815" s="4" t="s">
        <v>50</v>
      </c>
      <c r="C2815" s="34"/>
      <c r="D2815" s="34">
        <v>200</v>
      </c>
    </row>
    <row r="2816" spans="1:4" hidden="1" x14ac:dyDescent="0.25">
      <c r="A2816" s="4">
        <v>36850</v>
      </c>
      <c r="B2816" s="4" t="s">
        <v>51</v>
      </c>
      <c r="C2816" s="34"/>
      <c r="D2816" s="34">
        <v>86</v>
      </c>
    </row>
    <row r="2817" spans="1:4" hidden="1" x14ac:dyDescent="0.25">
      <c r="A2817" s="4">
        <v>36872</v>
      </c>
      <c r="B2817" s="4" t="s">
        <v>52</v>
      </c>
      <c r="C2817" s="34"/>
      <c r="D2817" s="34">
        <v>155</v>
      </c>
    </row>
    <row r="2818" spans="1:4" hidden="1" x14ac:dyDescent="0.25">
      <c r="A2818" s="4">
        <v>36892</v>
      </c>
      <c r="B2818" s="4" t="s">
        <v>9</v>
      </c>
      <c r="C2818" s="34"/>
      <c r="D2818" s="34">
        <v>412.72</v>
      </c>
    </row>
    <row r="2819" spans="1:4" hidden="1" x14ac:dyDescent="0.25">
      <c r="A2819" s="4">
        <v>36906</v>
      </c>
      <c r="B2819" s="4" t="s">
        <v>53</v>
      </c>
      <c r="C2819" s="34"/>
      <c r="D2819" s="34">
        <v>1005.62</v>
      </c>
    </row>
    <row r="2820" spans="1:4" hidden="1" x14ac:dyDescent="0.25">
      <c r="A2820" s="4">
        <v>36943</v>
      </c>
      <c r="B2820" s="4" t="s">
        <v>9</v>
      </c>
      <c r="C2820" s="34"/>
      <c r="D2820" s="34">
        <v>77.25</v>
      </c>
    </row>
    <row r="2821" spans="1:4" hidden="1" x14ac:dyDescent="0.25">
      <c r="A2821" s="4">
        <v>36916</v>
      </c>
      <c r="B2821" s="4" t="s">
        <v>9</v>
      </c>
      <c r="C2821" s="34"/>
      <c r="D2821" s="34">
        <v>30.35</v>
      </c>
    </row>
    <row r="2822" spans="1:4" hidden="1" x14ac:dyDescent="0.25">
      <c r="A2822" s="4">
        <v>36963</v>
      </c>
      <c r="B2822" s="4" t="s">
        <v>51</v>
      </c>
      <c r="C2822" s="34"/>
      <c r="D2822" s="34">
        <v>86</v>
      </c>
    </row>
    <row r="2823" spans="1:4" hidden="1" x14ac:dyDescent="0.25">
      <c r="A2823" s="4">
        <v>36991</v>
      </c>
      <c r="B2823" s="4" t="s">
        <v>59</v>
      </c>
      <c r="C2823" s="34"/>
      <c r="D2823" s="34">
        <v>453</v>
      </c>
    </row>
    <row r="2824" spans="1:4" hidden="1" x14ac:dyDescent="0.25">
      <c r="A2824" s="4">
        <v>36993</v>
      </c>
      <c r="B2824" s="4" t="s">
        <v>81</v>
      </c>
      <c r="C2824" s="34"/>
      <c r="D2824" s="34">
        <v>146.44999999999999</v>
      </c>
    </row>
    <row r="2825" spans="1:4" hidden="1" x14ac:dyDescent="0.25">
      <c r="A2825" s="4">
        <v>37008</v>
      </c>
      <c r="B2825" s="4" t="s">
        <v>9</v>
      </c>
      <c r="C2825" s="34"/>
      <c r="D2825" s="34">
        <v>139.63</v>
      </c>
    </row>
    <row r="2826" spans="1:4" hidden="1" x14ac:dyDescent="0.25">
      <c r="A2826" s="4">
        <v>37011</v>
      </c>
      <c r="B2826" s="4" t="s">
        <v>61</v>
      </c>
      <c r="C2826" s="34"/>
      <c r="D2826" s="34">
        <v>50</v>
      </c>
    </row>
    <row r="2827" spans="1:4" hidden="1" x14ac:dyDescent="0.25">
      <c r="A2827" s="4">
        <v>37019</v>
      </c>
      <c r="B2827" s="4" t="s">
        <v>50</v>
      </c>
      <c r="C2827" s="34"/>
      <c r="D2827" s="34">
        <v>160</v>
      </c>
    </row>
    <row r="2828" spans="1:4" hidden="1" x14ac:dyDescent="0.25">
      <c r="A2828" s="4">
        <v>37071</v>
      </c>
      <c r="B2828" s="4" t="s">
        <v>66</v>
      </c>
      <c r="C2828" s="34"/>
      <c r="D2828" s="34">
        <v>15.75</v>
      </c>
    </row>
    <row r="2829" spans="1:4" hidden="1" x14ac:dyDescent="0.25">
      <c r="A2829" s="4">
        <v>37072</v>
      </c>
      <c r="B2829" t="s">
        <v>74</v>
      </c>
      <c r="C2829" s="34"/>
      <c r="D2829" s="34">
        <v>633.29999999999995</v>
      </c>
    </row>
    <row r="2830" spans="1:4" hidden="1" x14ac:dyDescent="0.25">
      <c r="A2830" s="4">
        <v>37072</v>
      </c>
      <c r="B2830" t="s">
        <v>75</v>
      </c>
      <c r="C2830" s="34"/>
      <c r="D2830" s="34">
        <v>320.77</v>
      </c>
    </row>
    <row r="2831" spans="1:4" hidden="1" x14ac:dyDescent="0.25">
      <c r="A2831" s="4">
        <v>37072</v>
      </c>
      <c r="B2831" t="s">
        <v>14</v>
      </c>
      <c r="C2831" s="36">
        <f>SUM(C2811:C2830)</f>
        <v>0</v>
      </c>
      <c r="D2831" s="36">
        <f>SUM(D2811:D2830)</f>
        <v>4882.83</v>
      </c>
    </row>
    <row r="2832" spans="1:4" hidden="1" x14ac:dyDescent="0.25">
      <c r="A2832" s="4"/>
      <c r="B2832" s="4" t="s">
        <v>15</v>
      </c>
      <c r="C2832" s="34" t="str">
        <f>IF(C2831&gt;D2831,C2831-D2831," ")</f>
        <v xml:space="preserve"> </v>
      </c>
      <c r="D2832" s="34">
        <f>IF(D2831&gt;C2831,D2831-C2831," ")</f>
        <v>4882.83</v>
      </c>
    </row>
    <row r="2833" spans="1:4" hidden="1" x14ac:dyDescent="0.25">
      <c r="A2833" s="24">
        <v>37081</v>
      </c>
      <c r="B2833" s="4" t="s">
        <v>53</v>
      </c>
      <c r="C2833" s="37"/>
      <c r="D2833" s="37">
        <v>639.94000000000005</v>
      </c>
    </row>
    <row r="2834" spans="1:4" s="23" customFormat="1" hidden="1" x14ac:dyDescent="0.25">
      <c r="A2834" s="24">
        <v>37099</v>
      </c>
      <c r="B2834" s="24" t="s">
        <v>9</v>
      </c>
      <c r="C2834" s="37"/>
      <c r="D2834" s="37">
        <v>114.94</v>
      </c>
    </row>
    <row r="2835" spans="1:4" s="23" customFormat="1" hidden="1" x14ac:dyDescent="0.25">
      <c r="A2835" s="24">
        <v>37158</v>
      </c>
      <c r="B2835" s="24" t="s">
        <v>167</v>
      </c>
      <c r="C2835" s="37"/>
      <c r="D2835" s="37">
        <v>144.75</v>
      </c>
    </row>
    <row r="2836" spans="1:4" s="23" customFormat="1" hidden="1" x14ac:dyDescent="0.25">
      <c r="A2836" s="24">
        <v>37188</v>
      </c>
      <c r="B2836" s="24" t="s">
        <v>168</v>
      </c>
      <c r="C2836" s="37"/>
      <c r="D2836" s="37">
        <v>175</v>
      </c>
    </row>
    <row r="2837" spans="1:4" s="23" customFormat="1" hidden="1" x14ac:dyDescent="0.25">
      <c r="A2837" s="24">
        <v>37190</v>
      </c>
      <c r="B2837" s="24" t="s">
        <v>9</v>
      </c>
      <c r="C2837" s="37"/>
      <c r="D2837" s="37">
        <v>130.79</v>
      </c>
    </row>
    <row r="2838" spans="1:4" s="23" customFormat="1" hidden="1" x14ac:dyDescent="0.25">
      <c r="A2838" s="24">
        <v>37197</v>
      </c>
      <c r="B2838" s="24" t="s">
        <v>50</v>
      </c>
      <c r="C2838" s="37"/>
      <c r="D2838" s="37">
        <v>220</v>
      </c>
    </row>
    <row r="2839" spans="1:4" s="23" customFormat="1" hidden="1" x14ac:dyDescent="0.25">
      <c r="A2839" s="24">
        <v>37237</v>
      </c>
      <c r="B2839" s="24" t="s">
        <v>170</v>
      </c>
      <c r="C2839" s="37"/>
      <c r="D2839" s="37">
        <v>2006.07</v>
      </c>
    </row>
    <row r="2840" spans="1:4" s="23" customFormat="1" hidden="1" x14ac:dyDescent="0.25">
      <c r="A2840" s="24">
        <v>36914</v>
      </c>
      <c r="B2840" s="24" t="s">
        <v>53</v>
      </c>
      <c r="C2840" s="37"/>
      <c r="D2840" s="37">
        <v>365.68</v>
      </c>
    </row>
    <row r="2841" spans="1:4" s="25" customFormat="1" hidden="1" x14ac:dyDescent="0.25">
      <c r="A2841" s="24">
        <v>36916</v>
      </c>
      <c r="B2841" s="24" t="s">
        <v>9</v>
      </c>
      <c r="C2841" s="37"/>
      <c r="D2841" s="37">
        <v>75.930000000000007</v>
      </c>
    </row>
    <row r="2842" spans="1:4" hidden="1" x14ac:dyDescent="0.25">
      <c r="A2842" s="24">
        <v>37340</v>
      </c>
      <c r="B2842" s="24" t="s">
        <v>172</v>
      </c>
      <c r="C2842" s="37"/>
      <c r="D2842" s="37">
        <v>392</v>
      </c>
    </row>
    <row r="2843" spans="1:4" s="23" customFormat="1" hidden="1" x14ac:dyDescent="0.25">
      <c r="A2843" s="24">
        <v>37368</v>
      </c>
      <c r="B2843" s="24" t="s">
        <v>61</v>
      </c>
      <c r="C2843" s="37"/>
      <c r="D2843" s="37">
        <v>50</v>
      </c>
    </row>
    <row r="2844" spans="1:4" s="23" customFormat="1" hidden="1" x14ac:dyDescent="0.25">
      <c r="A2844" s="24">
        <v>37372</v>
      </c>
      <c r="B2844" s="24" t="s">
        <v>9</v>
      </c>
      <c r="C2844" s="37"/>
      <c r="D2844" s="37">
        <v>82.47</v>
      </c>
    </row>
    <row r="2845" spans="1:4" s="23" customFormat="1" hidden="1" x14ac:dyDescent="0.25">
      <c r="A2845" s="24">
        <v>37411</v>
      </c>
      <c r="B2845" s="24" t="s">
        <v>174</v>
      </c>
      <c r="C2845" s="37"/>
      <c r="D2845" s="37">
        <v>220</v>
      </c>
    </row>
    <row r="2846" spans="1:4" s="23" customFormat="1" hidden="1" x14ac:dyDescent="0.25">
      <c r="A2846" s="24">
        <v>37180</v>
      </c>
      <c r="B2846" s="24" t="s">
        <v>176</v>
      </c>
      <c r="C2846" s="37"/>
      <c r="D2846" s="37">
        <v>246.78</v>
      </c>
    </row>
    <row r="2847" spans="1:4" s="23" customFormat="1" hidden="1" x14ac:dyDescent="0.25">
      <c r="A2847" s="24">
        <v>37357</v>
      </c>
      <c r="B2847" s="24" t="s">
        <v>176</v>
      </c>
      <c r="C2847" s="37"/>
      <c r="D2847" s="37">
        <v>234.5</v>
      </c>
    </row>
    <row r="2848" spans="1:4" s="23" customFormat="1" hidden="1" x14ac:dyDescent="0.25">
      <c r="A2848" s="24">
        <v>37118</v>
      </c>
      <c r="B2848" s="24" t="s">
        <v>177</v>
      </c>
      <c r="C2848" s="37"/>
      <c r="D2848" s="37">
        <v>313.02</v>
      </c>
    </row>
    <row r="2849" spans="1:4" s="23" customFormat="1" hidden="1" x14ac:dyDescent="0.25">
      <c r="A2849" s="24">
        <v>37300</v>
      </c>
      <c r="B2849" s="24" t="s">
        <v>177</v>
      </c>
      <c r="C2849" s="37"/>
      <c r="D2849" s="37">
        <f>126+50.4</f>
        <v>176.4</v>
      </c>
    </row>
    <row r="2850" spans="1:4" hidden="1" x14ac:dyDescent="0.25">
      <c r="A2850" s="4">
        <v>37437</v>
      </c>
      <c r="B2850" t="s">
        <v>75</v>
      </c>
      <c r="C2850" s="34"/>
      <c r="D2850" s="34">
        <v>2434.94</v>
      </c>
    </row>
    <row r="2851" spans="1:4" s="25" customFormat="1" hidden="1" x14ac:dyDescent="0.25">
      <c r="A2851" s="4">
        <v>37437</v>
      </c>
      <c r="B2851" t="s">
        <v>14</v>
      </c>
      <c r="C2851" s="36">
        <f>SUM(C2833:C2850)</f>
        <v>0</v>
      </c>
      <c r="D2851" s="36">
        <f>SUM(D2833:D2850)</f>
        <v>8023.2099999999991</v>
      </c>
    </row>
    <row r="2852" spans="1:4" hidden="1" x14ac:dyDescent="0.25">
      <c r="A2852" s="4"/>
      <c r="B2852" s="4" t="s">
        <v>15</v>
      </c>
      <c r="C2852" s="34" t="str">
        <f>IF(C2851&gt;D2851,C2851-D2851," ")</f>
        <v xml:space="preserve"> </v>
      </c>
      <c r="D2852" s="34">
        <f>IF(D2851&gt;C2851,D2851-C2851," ")</f>
        <v>8023.2099999999991</v>
      </c>
    </row>
    <row r="2853" spans="1:4" hidden="1" x14ac:dyDescent="0.25">
      <c r="A2853" s="4">
        <v>37449</v>
      </c>
      <c r="B2853" s="4" t="s">
        <v>180</v>
      </c>
      <c r="C2853" s="34"/>
      <c r="D2853" s="34">
        <v>639.94000000000005</v>
      </c>
    </row>
    <row r="2854" spans="1:4" hidden="1" x14ac:dyDescent="0.25">
      <c r="A2854" s="4">
        <v>37463</v>
      </c>
      <c r="B2854" s="24" t="s">
        <v>9</v>
      </c>
      <c r="C2854" s="34"/>
      <c r="D2854" s="34">
        <v>79.88</v>
      </c>
    </row>
    <row r="2855" spans="1:4" hidden="1" x14ac:dyDescent="0.25">
      <c r="A2855" s="4">
        <v>37523</v>
      </c>
      <c r="B2855" s="4" t="s">
        <v>167</v>
      </c>
      <c r="C2855" s="34"/>
      <c r="D2855" s="34">
        <v>154.5</v>
      </c>
    </row>
    <row r="2856" spans="1:4" hidden="1" x14ac:dyDescent="0.25">
      <c r="A2856" s="4">
        <v>37554</v>
      </c>
      <c r="B2856" s="24" t="s">
        <v>9</v>
      </c>
      <c r="C2856" s="34"/>
      <c r="D2856" s="34">
        <v>126.83</v>
      </c>
    </row>
    <row r="2857" spans="1:4" hidden="1" x14ac:dyDescent="0.25">
      <c r="A2857" s="4">
        <v>37559</v>
      </c>
      <c r="B2857" s="4" t="s">
        <v>181</v>
      </c>
      <c r="C2857" s="34"/>
      <c r="D2857" s="34">
        <v>562.4</v>
      </c>
    </row>
    <row r="2858" spans="1:4" hidden="1" x14ac:dyDescent="0.25">
      <c r="A2858" s="4">
        <v>37593</v>
      </c>
      <c r="B2858" s="4" t="s">
        <v>61</v>
      </c>
      <c r="C2858" s="34"/>
      <c r="D2858" s="34">
        <v>155</v>
      </c>
    </row>
    <row r="2859" spans="1:4" hidden="1" x14ac:dyDescent="0.25">
      <c r="A2859" s="4">
        <v>37627</v>
      </c>
      <c r="B2859" s="4" t="s">
        <v>180</v>
      </c>
      <c r="C2859" s="34"/>
      <c r="D2859" s="34">
        <v>502.81</v>
      </c>
    </row>
    <row r="2860" spans="1:4" hidden="1" x14ac:dyDescent="0.25">
      <c r="A2860" s="4">
        <v>37645</v>
      </c>
      <c r="B2860" s="24" t="s">
        <v>9</v>
      </c>
      <c r="C2860" s="34"/>
      <c r="D2860" s="34">
        <v>160.84</v>
      </c>
    </row>
    <row r="2861" spans="1:4" hidden="1" x14ac:dyDescent="0.25">
      <c r="A2861" s="4">
        <v>37697</v>
      </c>
      <c r="B2861" s="4" t="s">
        <v>168</v>
      </c>
      <c r="C2861" s="34"/>
      <c r="D2861" s="34">
        <v>125</v>
      </c>
    </row>
    <row r="2862" spans="1:4" hidden="1" x14ac:dyDescent="0.25">
      <c r="A2862" s="4">
        <v>37699</v>
      </c>
      <c r="B2862" s="4" t="s">
        <v>184</v>
      </c>
      <c r="C2862" s="34"/>
      <c r="D2862" s="34">
        <v>63</v>
      </c>
    </row>
    <row r="2863" spans="1:4" hidden="1" x14ac:dyDescent="0.25">
      <c r="A2863" s="4">
        <v>37722</v>
      </c>
      <c r="B2863" s="4" t="s">
        <v>185</v>
      </c>
      <c r="C2863" s="34"/>
      <c r="D2863" s="34">
        <v>205</v>
      </c>
    </row>
    <row r="2864" spans="1:4" hidden="1" x14ac:dyDescent="0.25">
      <c r="A2864" s="4">
        <v>37725</v>
      </c>
      <c r="B2864" s="4" t="s">
        <v>61</v>
      </c>
      <c r="C2864" s="34"/>
      <c r="D2864" s="34">
        <v>80</v>
      </c>
    </row>
    <row r="2865" spans="1:4" hidden="1" x14ac:dyDescent="0.25">
      <c r="A2865" s="4">
        <v>37735</v>
      </c>
      <c r="B2865" s="4" t="s">
        <v>9</v>
      </c>
      <c r="C2865" s="34"/>
      <c r="D2865" s="34">
        <v>254.56</v>
      </c>
    </row>
    <row r="2866" spans="1:4" hidden="1" x14ac:dyDescent="0.25">
      <c r="A2866" s="4">
        <v>37754</v>
      </c>
      <c r="B2866" s="4" t="s">
        <v>174</v>
      </c>
      <c r="C2866" s="34"/>
      <c r="D2866" s="34">
        <v>300</v>
      </c>
    </row>
    <row r="2867" spans="1:4" hidden="1" x14ac:dyDescent="0.25">
      <c r="A2867" s="24">
        <v>37545</v>
      </c>
      <c r="B2867" s="24" t="s">
        <v>176</v>
      </c>
      <c r="C2867" s="34"/>
      <c r="D2867" s="34">
        <v>259.47000000000003</v>
      </c>
    </row>
    <row r="2868" spans="1:4" hidden="1" x14ac:dyDescent="0.25">
      <c r="A2868" s="24">
        <v>37708</v>
      </c>
      <c r="B2868" s="24" t="s">
        <v>176</v>
      </c>
      <c r="C2868" s="34"/>
      <c r="D2868" s="34">
        <v>256.88</v>
      </c>
    </row>
    <row r="2869" spans="1:4" hidden="1" x14ac:dyDescent="0.25">
      <c r="A2869" s="24">
        <v>37117</v>
      </c>
      <c r="B2869" s="24" t="s">
        <v>177</v>
      </c>
      <c r="C2869" s="34"/>
      <c r="D2869" s="34">
        <f>78.99+302.61</f>
        <v>381.6</v>
      </c>
    </row>
    <row r="2870" spans="1:4" hidden="1" x14ac:dyDescent="0.25">
      <c r="A2870" s="24">
        <v>37300</v>
      </c>
      <c r="B2870" s="24" t="s">
        <v>177</v>
      </c>
      <c r="C2870" s="34"/>
      <c r="D2870" s="34">
        <f>316.61</f>
        <v>316.61</v>
      </c>
    </row>
    <row r="2871" spans="1:4" hidden="1" x14ac:dyDescent="0.25">
      <c r="A2871" s="4">
        <v>37802</v>
      </c>
      <c r="B2871" t="s">
        <v>74</v>
      </c>
      <c r="C2871" s="34"/>
      <c r="D2871" s="34">
        <v>1661.84</v>
      </c>
    </row>
    <row r="2872" spans="1:4" hidden="1" x14ac:dyDescent="0.25">
      <c r="A2872" s="4">
        <v>37802</v>
      </c>
      <c r="B2872" t="s">
        <v>75</v>
      </c>
      <c r="C2872" s="34"/>
      <c r="D2872" s="34">
        <f>2640-2190.4</f>
        <v>449.59999999999991</v>
      </c>
    </row>
    <row r="2873" spans="1:4" hidden="1" x14ac:dyDescent="0.25">
      <c r="A2873" s="4">
        <v>37802</v>
      </c>
      <c r="B2873" t="s">
        <v>14</v>
      </c>
      <c r="C2873" s="36">
        <f>SUM(C2853:C2872)</f>
        <v>0</v>
      </c>
      <c r="D2873" s="36">
        <f>SUM(D2853:D2872)</f>
        <v>6735.76</v>
      </c>
    </row>
    <row r="2874" spans="1:4" hidden="1" x14ac:dyDescent="0.25">
      <c r="A2874" s="4"/>
      <c r="B2874" s="4" t="s">
        <v>15</v>
      </c>
      <c r="C2874" s="34" t="str">
        <f>IF(C2873&gt;D2873,C2873-D2873," ")</f>
        <v xml:space="preserve"> </v>
      </c>
      <c r="D2874" s="34">
        <f>IF(D2873&gt;C2873,D2873-C2873," ")</f>
        <v>6735.76</v>
      </c>
    </row>
    <row r="2875" spans="1:4" hidden="1" x14ac:dyDescent="0.25">
      <c r="A2875" s="4">
        <v>37810</v>
      </c>
      <c r="B2875" s="4" t="s">
        <v>180</v>
      </c>
      <c r="C2875" s="34"/>
      <c r="D2875" s="34">
        <v>639.94000000000005</v>
      </c>
    </row>
    <row r="2876" spans="1:4" hidden="1" x14ac:dyDescent="0.25">
      <c r="A2876" s="4">
        <v>37827</v>
      </c>
      <c r="B2876" s="24" t="s">
        <v>9</v>
      </c>
      <c r="C2876" s="34"/>
      <c r="D2876" s="34">
        <v>279.76</v>
      </c>
    </row>
    <row r="2877" spans="1:4" hidden="1" x14ac:dyDescent="0.25">
      <c r="A2877" s="4">
        <v>37904</v>
      </c>
      <c r="B2877" s="4" t="s">
        <v>199</v>
      </c>
      <c r="C2877" s="34"/>
      <c r="D2877" s="34">
        <v>286.5</v>
      </c>
    </row>
    <row r="2878" spans="1:4" hidden="1" x14ac:dyDescent="0.25">
      <c r="A2878" s="4">
        <v>37918</v>
      </c>
      <c r="B2878" s="24" t="s">
        <v>9</v>
      </c>
      <c r="C2878" s="34"/>
      <c r="D2878" s="34">
        <v>348.37</v>
      </c>
    </row>
    <row r="2879" spans="1:4" hidden="1" x14ac:dyDescent="0.25">
      <c r="A2879" s="4">
        <v>37928</v>
      </c>
      <c r="B2879" s="4" t="s">
        <v>174</v>
      </c>
      <c r="C2879" s="34"/>
      <c r="D2879" s="34">
        <v>240</v>
      </c>
    </row>
    <row r="2880" spans="1:4" hidden="1" x14ac:dyDescent="0.25">
      <c r="A2880" s="4">
        <v>37948</v>
      </c>
      <c r="B2880" s="4" t="s">
        <v>200</v>
      </c>
      <c r="C2880" s="34"/>
      <c r="D2880" s="34">
        <v>355</v>
      </c>
    </row>
    <row r="2881" spans="1:4" hidden="1" x14ac:dyDescent="0.25">
      <c r="A2881" s="4">
        <v>37979</v>
      </c>
      <c r="B2881" s="4" t="s">
        <v>187</v>
      </c>
      <c r="C2881" s="34"/>
      <c r="D2881" s="34">
        <v>10.69</v>
      </c>
    </row>
    <row r="2882" spans="1:4" hidden="1" x14ac:dyDescent="0.25">
      <c r="A2882" s="4">
        <v>37979</v>
      </c>
      <c r="B2882" s="4" t="s">
        <v>187</v>
      </c>
      <c r="C2882" s="34"/>
      <c r="D2882" s="34">
        <v>355</v>
      </c>
    </row>
    <row r="2883" spans="1:4" hidden="1" x14ac:dyDescent="0.25">
      <c r="A2883" s="4">
        <v>38009</v>
      </c>
      <c r="B2883" s="24" t="s">
        <v>9</v>
      </c>
      <c r="C2883" s="34"/>
      <c r="D2883" s="34">
        <v>397.78</v>
      </c>
    </row>
    <row r="2884" spans="1:4" hidden="1" x14ac:dyDescent="0.25">
      <c r="A2884" s="4">
        <v>38019</v>
      </c>
      <c r="B2884" s="4" t="s">
        <v>180</v>
      </c>
      <c r="C2884" s="34"/>
      <c r="D2884" s="34">
        <v>502.81</v>
      </c>
    </row>
    <row r="2885" spans="1:4" hidden="1" x14ac:dyDescent="0.25">
      <c r="A2885" s="4">
        <v>38083</v>
      </c>
      <c r="B2885" s="4" t="s">
        <v>201</v>
      </c>
      <c r="C2885" s="34"/>
      <c r="D2885" s="34">
        <v>648.75</v>
      </c>
    </row>
    <row r="2886" spans="1:4" hidden="1" x14ac:dyDescent="0.25">
      <c r="A2886" s="4">
        <v>38097</v>
      </c>
      <c r="B2886" s="4" t="s">
        <v>200</v>
      </c>
      <c r="C2886" s="34"/>
      <c r="D2886" s="34">
        <v>217.5</v>
      </c>
    </row>
    <row r="2887" spans="1:4" hidden="1" x14ac:dyDescent="0.25">
      <c r="A2887" s="4">
        <v>38100</v>
      </c>
      <c r="B2887" s="4" t="s">
        <v>9</v>
      </c>
      <c r="C2887" s="34"/>
      <c r="D2887" s="34">
        <v>436.18</v>
      </c>
    </row>
    <row r="2888" spans="1:4" hidden="1" x14ac:dyDescent="0.25">
      <c r="A2888" s="4">
        <v>38110</v>
      </c>
      <c r="B2888" s="4" t="s">
        <v>174</v>
      </c>
      <c r="C2888" s="34"/>
      <c r="D2888" s="34">
        <v>260</v>
      </c>
    </row>
    <row r="2889" spans="1:4" hidden="1" x14ac:dyDescent="0.25">
      <c r="A2889" s="4">
        <v>38138</v>
      </c>
      <c r="B2889" s="4" t="s">
        <v>187</v>
      </c>
      <c r="C2889" s="34"/>
      <c r="D2889" s="34">
        <v>631.47</v>
      </c>
    </row>
    <row r="2890" spans="1:4" hidden="1" x14ac:dyDescent="0.25">
      <c r="A2890" s="24">
        <v>37890</v>
      </c>
      <c r="B2890" s="24" t="s">
        <v>176</v>
      </c>
      <c r="C2890" s="34"/>
      <c r="D2890" s="34">
        <v>293.48</v>
      </c>
    </row>
    <row r="2891" spans="1:4" hidden="1" x14ac:dyDescent="0.25">
      <c r="A2891" s="24">
        <v>37847</v>
      </c>
      <c r="B2891" s="24" t="s">
        <v>177</v>
      </c>
      <c r="C2891" s="34"/>
      <c r="D2891" s="34">
        <v>170.21</v>
      </c>
    </row>
    <row r="2892" spans="1:4" hidden="1" x14ac:dyDescent="0.25">
      <c r="A2892" s="24">
        <v>38030</v>
      </c>
      <c r="B2892" s="24" t="s">
        <v>177</v>
      </c>
      <c r="C2892" s="34"/>
      <c r="D2892" s="34">
        <v>172.01</v>
      </c>
    </row>
    <row r="2893" spans="1:4" hidden="1" x14ac:dyDescent="0.25">
      <c r="A2893" s="4">
        <v>37802</v>
      </c>
      <c r="B2893" t="s">
        <v>74</v>
      </c>
      <c r="C2893" s="34"/>
      <c r="D2893" s="34">
        <v>0</v>
      </c>
    </row>
    <row r="2894" spans="1:4" hidden="1" x14ac:dyDescent="0.25">
      <c r="A2894" s="4">
        <v>37802</v>
      </c>
      <c r="B2894" t="s">
        <v>75</v>
      </c>
      <c r="C2894" s="34"/>
      <c r="D2894" s="34">
        <v>16148.82</v>
      </c>
    </row>
    <row r="2895" spans="1:4" hidden="1" x14ac:dyDescent="0.25">
      <c r="A2895" s="4">
        <v>38168</v>
      </c>
      <c r="B2895" t="s">
        <v>14</v>
      </c>
      <c r="C2895" s="36">
        <f>SUM(C2875:C2894)</f>
        <v>0</v>
      </c>
      <c r="D2895" s="36">
        <f>SUM(D2875:D2894)</f>
        <v>22394.27</v>
      </c>
    </row>
    <row r="2896" spans="1:4" hidden="1" x14ac:dyDescent="0.25">
      <c r="A2896" s="4"/>
      <c r="B2896" s="4" t="s">
        <v>15</v>
      </c>
      <c r="C2896" s="34" t="str">
        <f>IF(C2895&gt;D2895,C2895-D2895," ")</f>
        <v xml:space="preserve"> </v>
      </c>
      <c r="D2896" s="34">
        <f>IF(D2895&gt;C2895,D2895-C2895," ")</f>
        <v>22394.27</v>
      </c>
    </row>
    <row r="2897" spans="1:4" hidden="1" x14ac:dyDescent="0.25">
      <c r="A2897" s="4">
        <v>38175</v>
      </c>
      <c r="B2897" s="4" t="s">
        <v>53</v>
      </c>
      <c r="C2897" s="34"/>
      <c r="D2897" s="34">
        <v>639.94000000000005</v>
      </c>
    </row>
    <row r="2898" spans="1:4" hidden="1" x14ac:dyDescent="0.25">
      <c r="A2898" s="4">
        <v>38191</v>
      </c>
      <c r="B2898" s="4" t="s">
        <v>9</v>
      </c>
      <c r="C2898" s="34"/>
      <c r="D2898" s="34">
        <v>459.29</v>
      </c>
    </row>
    <row r="2899" spans="1:4" hidden="1" x14ac:dyDescent="0.25">
      <c r="A2899" s="4">
        <v>38260</v>
      </c>
      <c r="B2899" s="4" t="s">
        <v>209</v>
      </c>
      <c r="C2899" s="34"/>
      <c r="D2899" s="34">
        <v>457.71</v>
      </c>
    </row>
    <row r="2900" spans="1:4" hidden="1" x14ac:dyDescent="0.25">
      <c r="A2900" s="4">
        <v>38279</v>
      </c>
      <c r="B2900" s="4" t="s">
        <v>210</v>
      </c>
      <c r="C2900" s="34"/>
      <c r="D2900" s="34">
        <v>316.43</v>
      </c>
    </row>
    <row r="2901" spans="1:4" hidden="1" x14ac:dyDescent="0.25">
      <c r="A2901" s="4">
        <v>38282</v>
      </c>
      <c r="B2901" s="4" t="s">
        <v>9</v>
      </c>
      <c r="C2901" s="34"/>
      <c r="D2901" s="34">
        <v>489.38</v>
      </c>
    </row>
    <row r="2902" spans="1:4" hidden="1" x14ac:dyDescent="0.25">
      <c r="A2902" s="4">
        <v>38286</v>
      </c>
      <c r="B2902" s="4" t="s">
        <v>211</v>
      </c>
      <c r="C2902" s="34"/>
      <c r="D2902" s="34">
        <v>275</v>
      </c>
    </row>
    <row r="2903" spans="1:4" hidden="1" x14ac:dyDescent="0.25">
      <c r="A2903" s="4">
        <v>38289</v>
      </c>
      <c r="B2903" s="4" t="s">
        <v>50</v>
      </c>
      <c r="C2903" s="34"/>
      <c r="D2903" s="34">
        <v>260</v>
      </c>
    </row>
    <row r="2904" spans="1:4" hidden="1" x14ac:dyDescent="0.25">
      <c r="A2904" s="4">
        <v>38309</v>
      </c>
      <c r="B2904" s="4" t="s">
        <v>52</v>
      </c>
      <c r="C2904" s="34"/>
      <c r="D2904" s="34">
        <v>155</v>
      </c>
    </row>
    <row r="2905" spans="1:4" hidden="1" x14ac:dyDescent="0.25">
      <c r="A2905" s="4">
        <v>38362</v>
      </c>
      <c r="B2905" s="4" t="s">
        <v>53</v>
      </c>
      <c r="C2905" s="34"/>
      <c r="D2905" s="34">
        <v>502.81</v>
      </c>
    </row>
    <row r="2906" spans="1:4" hidden="1" x14ac:dyDescent="0.25">
      <c r="A2906" s="4">
        <v>38380</v>
      </c>
      <c r="B2906" s="4" t="s">
        <v>9</v>
      </c>
      <c r="C2906" s="34"/>
      <c r="D2906" s="34">
        <v>486.83</v>
      </c>
    </row>
    <row r="2907" spans="1:4" hidden="1" x14ac:dyDescent="0.25">
      <c r="A2907" s="4">
        <v>38411</v>
      </c>
      <c r="B2907" s="4" t="s">
        <v>214</v>
      </c>
      <c r="C2907" s="34"/>
      <c r="D2907" s="34">
        <v>520.29999999999995</v>
      </c>
    </row>
    <row r="2908" spans="1:4" hidden="1" x14ac:dyDescent="0.25">
      <c r="A2908" s="4">
        <v>38414</v>
      </c>
      <c r="B2908" s="4" t="s">
        <v>58</v>
      </c>
      <c r="C2908" s="34"/>
      <c r="D2908" s="34">
        <v>800.92</v>
      </c>
    </row>
    <row r="2909" spans="1:4" hidden="1" x14ac:dyDescent="0.25">
      <c r="A2909" s="4">
        <v>38460</v>
      </c>
      <c r="B2909" s="4" t="s">
        <v>215</v>
      </c>
      <c r="C2909" s="34"/>
      <c r="D2909" s="34">
        <v>1412.96</v>
      </c>
    </row>
    <row r="2910" spans="1:4" hidden="1" x14ac:dyDescent="0.25">
      <c r="A2910" s="4">
        <v>38464</v>
      </c>
      <c r="B2910" s="4" t="s">
        <v>9</v>
      </c>
      <c r="C2910" s="34"/>
      <c r="D2910" s="34">
        <v>170.42</v>
      </c>
    </row>
    <row r="2911" spans="1:4" hidden="1" x14ac:dyDescent="0.25">
      <c r="A2911" s="4">
        <v>38471</v>
      </c>
      <c r="B2911" s="4" t="s">
        <v>50</v>
      </c>
      <c r="C2911" s="34"/>
      <c r="D2911" s="34">
        <v>400</v>
      </c>
    </row>
    <row r="2912" spans="1:4" hidden="1" x14ac:dyDescent="0.25">
      <c r="A2912" s="4">
        <v>38212</v>
      </c>
      <c r="B2912" s="4" t="s">
        <v>219</v>
      </c>
      <c r="C2912" s="34"/>
      <c r="D2912" s="34">
        <v>174</v>
      </c>
    </row>
    <row r="2913" spans="1:4" hidden="1" x14ac:dyDescent="0.25">
      <c r="A2913" s="4">
        <v>38393</v>
      </c>
      <c r="B2913" s="4" t="s">
        <v>219</v>
      </c>
      <c r="C2913" s="34"/>
      <c r="D2913" s="34">
        <v>2990.5</v>
      </c>
    </row>
    <row r="2914" spans="1:4" hidden="1" x14ac:dyDescent="0.25">
      <c r="A2914" s="4">
        <v>38533</v>
      </c>
      <c r="B2914" s="4" t="s">
        <v>75</v>
      </c>
      <c r="C2914" s="34"/>
      <c r="D2914" s="34">
        <v>22752.33</v>
      </c>
    </row>
    <row r="2915" spans="1:4" hidden="1" x14ac:dyDescent="0.25">
      <c r="A2915" s="4"/>
      <c r="B2915" s="4"/>
      <c r="C2915" s="34"/>
      <c r="D2915" s="34"/>
    </row>
    <row r="2916" spans="1:4" hidden="1" x14ac:dyDescent="0.25">
      <c r="A2916" s="4">
        <v>38533</v>
      </c>
      <c r="B2916" t="s">
        <v>14</v>
      </c>
      <c r="C2916" s="36">
        <f>SUM(C2897:C2915)</f>
        <v>0</v>
      </c>
      <c r="D2916" s="36">
        <f>SUM(D2897:D2915)</f>
        <v>33263.82</v>
      </c>
    </row>
    <row r="2917" spans="1:4" hidden="1" x14ac:dyDescent="0.25">
      <c r="A2917" s="4"/>
      <c r="B2917" s="4" t="s">
        <v>15</v>
      </c>
      <c r="C2917" s="34" t="str">
        <f>IF(C2916&gt;D2916,C2916-D2916," ")</f>
        <v xml:space="preserve"> </v>
      </c>
      <c r="D2917" s="34">
        <f>IF(D2916&gt;C2916,D2916-C2916," ")</f>
        <v>33263.82</v>
      </c>
    </row>
    <row r="2918" spans="1:4" hidden="1" x14ac:dyDescent="0.25">
      <c r="A2918" s="4">
        <v>38546</v>
      </c>
      <c r="B2918" s="4" t="s">
        <v>222</v>
      </c>
      <c r="C2918" s="34"/>
      <c r="D2918" s="34">
        <v>415</v>
      </c>
    </row>
    <row r="2919" spans="1:4" hidden="1" x14ac:dyDescent="0.25">
      <c r="A2919" s="4">
        <v>38555</v>
      </c>
      <c r="B2919" s="4" t="s">
        <v>9</v>
      </c>
      <c r="C2919" s="34"/>
      <c r="D2919" s="34">
        <v>194.38</v>
      </c>
    </row>
    <row r="2920" spans="1:4" hidden="1" x14ac:dyDescent="0.25">
      <c r="A2920" s="4">
        <v>38566</v>
      </c>
      <c r="B2920" s="4" t="s">
        <v>223</v>
      </c>
      <c r="C2920" s="34"/>
      <c r="D2920" s="34">
        <v>731.36</v>
      </c>
    </row>
    <row r="2921" spans="1:4" hidden="1" x14ac:dyDescent="0.25">
      <c r="A2921" s="4">
        <v>38595</v>
      </c>
      <c r="B2921" s="4" t="s">
        <v>225</v>
      </c>
      <c r="C2921" s="34"/>
      <c r="D2921" s="34">
        <v>510.7</v>
      </c>
    </row>
    <row r="2922" spans="1:4" hidden="1" x14ac:dyDescent="0.25">
      <c r="A2922" s="4">
        <v>38618</v>
      </c>
      <c r="B2922" s="4" t="s">
        <v>228</v>
      </c>
      <c r="C2922" s="34"/>
      <c r="D2922" s="34">
        <v>333.12</v>
      </c>
    </row>
    <row r="2923" spans="1:4" hidden="1" x14ac:dyDescent="0.25">
      <c r="A2923" s="4">
        <v>38623</v>
      </c>
      <c r="B2923" s="4" t="s">
        <v>229</v>
      </c>
      <c r="C2923" s="34"/>
      <c r="D2923" s="34">
        <v>175</v>
      </c>
    </row>
    <row r="2924" spans="1:4" hidden="1" x14ac:dyDescent="0.25">
      <c r="A2924" s="4">
        <v>38636</v>
      </c>
      <c r="B2924" s="4" t="s">
        <v>231</v>
      </c>
      <c r="C2924" s="34"/>
      <c r="D2924" s="34">
        <v>397.51</v>
      </c>
    </row>
    <row r="2925" spans="1:4" hidden="1" x14ac:dyDescent="0.25">
      <c r="A2925" s="4">
        <v>38644</v>
      </c>
      <c r="B2925" s="4" t="s">
        <v>232</v>
      </c>
      <c r="C2925" s="34"/>
      <c r="D2925" s="34">
        <v>400</v>
      </c>
    </row>
    <row r="2926" spans="1:4" hidden="1" x14ac:dyDescent="0.25">
      <c r="A2926" s="4">
        <v>38653</v>
      </c>
      <c r="B2926" s="4" t="s">
        <v>9</v>
      </c>
      <c r="C2926" s="34"/>
      <c r="D2926" s="34">
        <v>228.69</v>
      </c>
    </row>
    <row r="2927" spans="1:4" hidden="1" x14ac:dyDescent="0.25">
      <c r="A2927" s="4">
        <v>38656</v>
      </c>
      <c r="B2927" s="4" t="s">
        <v>233</v>
      </c>
      <c r="C2927" s="34"/>
      <c r="D2927" s="34">
        <v>400</v>
      </c>
    </row>
    <row r="2928" spans="1:4" hidden="1" x14ac:dyDescent="0.25">
      <c r="A2928" s="4">
        <v>38657</v>
      </c>
      <c r="B2928" s="4" t="s">
        <v>234</v>
      </c>
      <c r="C2928" s="34"/>
      <c r="D2928" s="34">
        <v>301.32</v>
      </c>
    </row>
    <row r="2929" spans="1:4" hidden="1" x14ac:dyDescent="0.25">
      <c r="A2929" s="4">
        <v>38658</v>
      </c>
      <c r="B2929" s="4" t="s">
        <v>235</v>
      </c>
      <c r="C2929" s="34"/>
      <c r="D2929" s="34">
        <v>155</v>
      </c>
    </row>
    <row r="2930" spans="1:4" hidden="1" x14ac:dyDescent="0.25">
      <c r="A2930" s="4">
        <v>38705</v>
      </c>
      <c r="B2930" s="4" t="s">
        <v>222</v>
      </c>
      <c r="C2930" s="34"/>
      <c r="D2930" s="34">
        <v>415</v>
      </c>
    </row>
    <row r="2931" spans="1:4" hidden="1" x14ac:dyDescent="0.25">
      <c r="A2931" s="4">
        <v>38708</v>
      </c>
      <c r="B2931" s="4" t="s">
        <v>223</v>
      </c>
      <c r="C2931" s="34"/>
      <c r="D2931" s="34">
        <v>594.23</v>
      </c>
    </row>
    <row r="2932" spans="1:4" hidden="1" x14ac:dyDescent="0.25">
      <c r="A2932" s="4">
        <v>38744</v>
      </c>
      <c r="B2932" s="4" t="s">
        <v>9</v>
      </c>
      <c r="C2932" s="34"/>
      <c r="D2932" s="34">
        <v>447.35</v>
      </c>
    </row>
    <row r="2933" spans="1:4" hidden="1" x14ac:dyDescent="0.25">
      <c r="A2933" s="4">
        <v>38776</v>
      </c>
      <c r="B2933" s="4" t="s">
        <v>225</v>
      </c>
      <c r="C2933" s="34"/>
      <c r="D2933" s="34">
        <v>555</v>
      </c>
    </row>
    <row r="2934" spans="1:4" hidden="1" x14ac:dyDescent="0.25">
      <c r="A2934" s="4">
        <v>38798</v>
      </c>
      <c r="B2934" s="4" t="s">
        <v>229</v>
      </c>
      <c r="C2934" s="34"/>
      <c r="D2934" s="34">
        <v>290</v>
      </c>
    </row>
    <row r="2935" spans="1:4" hidden="1" x14ac:dyDescent="0.25">
      <c r="A2935" s="4">
        <v>38799</v>
      </c>
      <c r="B2935" s="4" t="s">
        <v>228</v>
      </c>
      <c r="C2935" s="34"/>
      <c r="D2935" s="34">
        <v>322.70999999999998</v>
      </c>
    </row>
    <row r="2936" spans="1:4" hidden="1" x14ac:dyDescent="0.25">
      <c r="A2936" s="4">
        <v>38800</v>
      </c>
      <c r="B2936" s="4" t="s">
        <v>233</v>
      </c>
      <c r="C2936" s="34"/>
      <c r="D2936" s="34">
        <v>400</v>
      </c>
    </row>
    <row r="2937" spans="1:4" hidden="1" x14ac:dyDescent="0.25">
      <c r="A2937" s="4">
        <v>38807</v>
      </c>
      <c r="B2937" s="4" t="s">
        <v>239</v>
      </c>
      <c r="C2937" s="34"/>
      <c r="D2937" s="34">
        <v>45</v>
      </c>
    </row>
    <row r="2938" spans="1:4" hidden="1" x14ac:dyDescent="0.25">
      <c r="A2938" s="4">
        <v>38812</v>
      </c>
      <c r="B2938" s="4" t="s">
        <v>241</v>
      </c>
      <c r="C2938" s="34"/>
      <c r="D2938" s="34">
        <v>239.73</v>
      </c>
    </row>
    <row r="2939" spans="1:4" hidden="1" x14ac:dyDescent="0.25">
      <c r="A2939" s="4">
        <v>38828</v>
      </c>
      <c r="B2939" s="4" t="s">
        <v>9</v>
      </c>
      <c r="C2939" s="34"/>
      <c r="D2939" s="34">
        <v>449.73</v>
      </c>
    </row>
    <row r="2940" spans="1:4" hidden="1" x14ac:dyDescent="0.25">
      <c r="A2940" s="4">
        <v>38834</v>
      </c>
      <c r="B2940" s="4" t="s">
        <v>243</v>
      </c>
      <c r="C2940" s="34"/>
      <c r="D2940" s="34">
        <v>490</v>
      </c>
    </row>
    <row r="2941" spans="1:4" hidden="1" x14ac:dyDescent="0.25">
      <c r="A2941" s="4">
        <v>38576</v>
      </c>
      <c r="B2941" s="4" t="s">
        <v>219</v>
      </c>
      <c r="C2941" s="34"/>
      <c r="D2941" s="34">
        <v>763.67</v>
      </c>
    </row>
    <row r="2942" spans="1:4" hidden="1" x14ac:dyDescent="0.25">
      <c r="A2942" s="4">
        <v>38762</v>
      </c>
      <c r="B2942" s="4" t="s">
        <v>219</v>
      </c>
      <c r="C2942" s="34"/>
      <c r="D2942" s="34">
        <v>574</v>
      </c>
    </row>
    <row r="2943" spans="1:4" hidden="1" x14ac:dyDescent="0.25">
      <c r="A2943" s="4">
        <v>38533</v>
      </c>
      <c r="B2943" s="4" t="s">
        <v>250</v>
      </c>
      <c r="C2943" s="34"/>
      <c r="D2943" s="34">
        <v>384</v>
      </c>
    </row>
    <row r="2944" spans="1:4" hidden="1" x14ac:dyDescent="0.25">
      <c r="A2944" s="4">
        <v>38533</v>
      </c>
      <c r="B2944" s="4" t="s">
        <v>75</v>
      </c>
      <c r="C2944" s="34"/>
      <c r="D2944" s="34">
        <v>4724.32</v>
      </c>
    </row>
    <row r="2945" spans="1:4" hidden="1" x14ac:dyDescent="0.25">
      <c r="A2945" s="4"/>
      <c r="B2945" s="4"/>
      <c r="C2945" s="34"/>
      <c r="D2945" s="34"/>
    </row>
    <row r="2946" spans="1:4" hidden="1" x14ac:dyDescent="0.25">
      <c r="A2946" s="4">
        <v>38898</v>
      </c>
      <c r="B2946" t="s">
        <v>14</v>
      </c>
      <c r="C2946" s="36">
        <f>SUM(C2918:C2945)</f>
        <v>0</v>
      </c>
      <c r="D2946" s="36">
        <f>SUM(D2918:D2945)</f>
        <v>14936.82</v>
      </c>
    </row>
    <row r="2947" spans="1:4" hidden="1" x14ac:dyDescent="0.25">
      <c r="A2947" s="4"/>
      <c r="B2947" s="4" t="s">
        <v>15</v>
      </c>
      <c r="C2947" s="34" t="str">
        <f>IF(C2946&gt;D2946,C2946-D2946," ")</f>
        <v xml:space="preserve"> </v>
      </c>
      <c r="D2947" s="34">
        <f>IF(D2946&gt;C2946,D2946-C2946," ")</f>
        <v>14936.82</v>
      </c>
    </row>
    <row r="2948" spans="1:4" hidden="1" x14ac:dyDescent="0.25">
      <c r="A2948" s="4">
        <v>38904</v>
      </c>
      <c r="B2948" s="4" t="s">
        <v>180</v>
      </c>
      <c r="C2948" s="34"/>
      <c r="D2948" s="34">
        <v>731.36</v>
      </c>
    </row>
    <row r="2949" spans="1:4" hidden="1" x14ac:dyDescent="0.25">
      <c r="A2949" s="4">
        <v>38911</v>
      </c>
      <c r="B2949" s="4" t="s">
        <v>253</v>
      </c>
      <c r="C2949" s="34"/>
      <c r="D2949" s="34">
        <v>415</v>
      </c>
    </row>
    <row r="2950" spans="1:4" hidden="1" x14ac:dyDescent="0.25">
      <c r="A2950" s="4">
        <v>38926</v>
      </c>
      <c r="B2950" s="4" t="s">
        <v>9</v>
      </c>
      <c r="C2950" s="34"/>
      <c r="D2950" s="34">
        <v>589.66</v>
      </c>
    </row>
    <row r="2951" spans="1:4" hidden="1" x14ac:dyDescent="0.25">
      <c r="A2951" s="4">
        <v>38960</v>
      </c>
      <c r="B2951" s="4" t="s">
        <v>255</v>
      </c>
      <c r="C2951" s="34"/>
      <c r="D2951" s="34">
        <v>545</v>
      </c>
    </row>
    <row r="2952" spans="1:4" hidden="1" x14ac:dyDescent="0.25">
      <c r="A2952" s="4">
        <v>38980</v>
      </c>
      <c r="B2952" s="4" t="s">
        <v>185</v>
      </c>
      <c r="C2952" s="34"/>
      <c r="D2952" s="34">
        <v>245</v>
      </c>
    </row>
    <row r="2953" spans="1:4" hidden="1" x14ac:dyDescent="0.25">
      <c r="A2953" s="4">
        <v>38981</v>
      </c>
      <c r="B2953" s="4" t="s">
        <v>174</v>
      </c>
      <c r="C2953" s="34"/>
      <c r="D2953" s="34">
        <v>280</v>
      </c>
    </row>
    <row r="2954" spans="1:4" hidden="1" x14ac:dyDescent="0.25">
      <c r="A2954" s="4">
        <v>38982</v>
      </c>
      <c r="B2954" s="4" t="s">
        <v>257</v>
      </c>
      <c r="C2954" s="34"/>
      <c r="D2954" s="34">
        <v>379.96</v>
      </c>
    </row>
    <row r="2955" spans="1:4" hidden="1" x14ac:dyDescent="0.25">
      <c r="A2955" s="4">
        <v>38989</v>
      </c>
      <c r="B2955" s="4" t="s">
        <v>184</v>
      </c>
      <c r="C2955" s="34"/>
      <c r="D2955" s="34">
        <v>77.5</v>
      </c>
    </row>
    <row r="2956" spans="1:4" hidden="1" x14ac:dyDescent="0.25">
      <c r="A2956" s="4">
        <v>38996</v>
      </c>
      <c r="B2956" s="4" t="s">
        <v>260</v>
      </c>
      <c r="C2956" s="34"/>
      <c r="D2956" s="34">
        <v>240.37</v>
      </c>
    </row>
    <row r="2957" spans="1:4" hidden="1" x14ac:dyDescent="0.25">
      <c r="A2957" s="4">
        <v>39007</v>
      </c>
      <c r="B2957" s="4" t="s">
        <v>261</v>
      </c>
      <c r="C2957" s="34"/>
      <c r="D2957" s="34">
        <v>910.78</v>
      </c>
    </row>
    <row r="2958" spans="1:4" hidden="1" x14ac:dyDescent="0.25">
      <c r="A2958" s="4">
        <v>39013</v>
      </c>
      <c r="B2958" s="4" t="s">
        <v>257</v>
      </c>
      <c r="C2958" s="34"/>
      <c r="D2958" s="34">
        <v>265.45</v>
      </c>
    </row>
    <row r="2959" spans="1:4" hidden="1" x14ac:dyDescent="0.25">
      <c r="A2959" s="4">
        <v>39017</v>
      </c>
      <c r="B2959" s="4" t="s">
        <v>9</v>
      </c>
      <c r="C2959" s="34"/>
      <c r="D2959" s="34">
        <v>597</v>
      </c>
    </row>
    <row r="2960" spans="1:4" hidden="1" x14ac:dyDescent="0.25">
      <c r="A2960" s="4">
        <v>39020</v>
      </c>
      <c r="B2960" s="4" t="s">
        <v>184</v>
      </c>
      <c r="C2960" s="34"/>
      <c r="D2960" s="34">
        <v>170.82</v>
      </c>
    </row>
    <row r="2961" spans="1:4" hidden="1" x14ac:dyDescent="0.25">
      <c r="A2961" s="4">
        <v>39021</v>
      </c>
      <c r="B2961" s="4" t="s">
        <v>61</v>
      </c>
      <c r="C2961" s="34"/>
      <c r="D2961" s="34">
        <v>155</v>
      </c>
    </row>
    <row r="2962" spans="1:4" hidden="1" x14ac:dyDescent="0.25">
      <c r="A2962" s="4">
        <v>39063</v>
      </c>
      <c r="B2962" s="4" t="s">
        <v>253</v>
      </c>
      <c r="C2962" s="34"/>
      <c r="D2962" s="34">
        <v>420</v>
      </c>
    </row>
    <row r="2963" spans="1:4" hidden="1" x14ac:dyDescent="0.25">
      <c r="A2963" s="4">
        <v>39071</v>
      </c>
      <c r="B2963" s="4" t="s">
        <v>180</v>
      </c>
      <c r="C2963" s="34"/>
      <c r="D2963" s="34">
        <v>182.84</v>
      </c>
    </row>
    <row r="2964" spans="1:4" hidden="1" x14ac:dyDescent="0.25">
      <c r="A2964" s="4">
        <v>39101</v>
      </c>
      <c r="B2964" s="4" t="s">
        <v>266</v>
      </c>
      <c r="C2964" s="34"/>
      <c r="D2964" s="34">
        <v>148.04</v>
      </c>
    </row>
    <row r="2965" spans="1:4" hidden="1" x14ac:dyDescent="0.25">
      <c r="A2965" s="4">
        <v>39107</v>
      </c>
      <c r="B2965" s="4" t="s">
        <v>9</v>
      </c>
      <c r="C2965" s="34"/>
      <c r="D2965" s="34">
        <v>626.02</v>
      </c>
    </row>
    <row r="2966" spans="1:4" hidden="1" x14ac:dyDescent="0.25">
      <c r="A2966" s="4">
        <v>39141</v>
      </c>
      <c r="B2966" s="4" t="s">
        <v>267</v>
      </c>
      <c r="C2966" s="34"/>
      <c r="D2966" s="34">
        <v>393.5</v>
      </c>
    </row>
    <row r="2967" spans="1:4" hidden="1" x14ac:dyDescent="0.25">
      <c r="A2967" s="4">
        <v>39141</v>
      </c>
      <c r="B2967" s="4" t="s">
        <v>255</v>
      </c>
      <c r="C2967" s="34"/>
      <c r="D2967" s="34">
        <v>520</v>
      </c>
    </row>
    <row r="2968" spans="1:4" hidden="1" x14ac:dyDescent="0.25">
      <c r="A2968" s="4">
        <v>39163</v>
      </c>
      <c r="B2968" s="4" t="s">
        <v>257</v>
      </c>
      <c r="C2968" s="34"/>
      <c r="D2968" s="34">
        <v>98.9</v>
      </c>
    </row>
    <row r="2969" spans="1:4" hidden="1" x14ac:dyDescent="0.25">
      <c r="A2969" s="4">
        <v>39169</v>
      </c>
      <c r="B2969" s="4" t="s">
        <v>185</v>
      </c>
      <c r="C2969" s="34"/>
      <c r="D2969" s="34">
        <v>385</v>
      </c>
    </row>
    <row r="2970" spans="1:4" hidden="1" x14ac:dyDescent="0.25">
      <c r="A2970" s="4">
        <v>39171</v>
      </c>
      <c r="B2970" s="4" t="s">
        <v>174</v>
      </c>
      <c r="C2970" s="34"/>
      <c r="D2970" s="34">
        <v>700</v>
      </c>
    </row>
    <row r="2971" spans="1:4" hidden="1" x14ac:dyDescent="0.25">
      <c r="A2971" s="4">
        <v>39176</v>
      </c>
      <c r="B2971" s="4" t="s">
        <v>168</v>
      </c>
      <c r="C2971" s="34"/>
      <c r="D2971" s="34">
        <v>250</v>
      </c>
    </row>
    <row r="2972" spans="1:4" hidden="1" x14ac:dyDescent="0.25">
      <c r="A2972" s="4">
        <v>39176</v>
      </c>
      <c r="B2972" s="4" t="s">
        <v>184</v>
      </c>
      <c r="C2972" s="34"/>
      <c r="D2972" s="34">
        <v>148.15</v>
      </c>
    </row>
    <row r="2973" spans="1:4" hidden="1" x14ac:dyDescent="0.25">
      <c r="A2973" s="4">
        <v>39188</v>
      </c>
      <c r="B2973" s="4" t="s">
        <v>61</v>
      </c>
      <c r="C2973" s="34"/>
      <c r="D2973" s="34">
        <v>120</v>
      </c>
    </row>
    <row r="2974" spans="1:4" hidden="1" x14ac:dyDescent="0.25">
      <c r="A2974" s="4">
        <v>39199</v>
      </c>
      <c r="B2974" s="4" t="s">
        <v>9</v>
      </c>
      <c r="C2974" s="34"/>
      <c r="D2974" s="34">
        <v>1056.01</v>
      </c>
    </row>
    <row r="2975" spans="1:4" hidden="1" x14ac:dyDescent="0.25">
      <c r="A2975" s="4">
        <v>38944</v>
      </c>
      <c r="B2975" s="4" t="s">
        <v>219</v>
      </c>
      <c r="C2975" s="34"/>
      <c r="D2975" s="34">
        <v>649.99</v>
      </c>
    </row>
    <row r="2976" spans="1:4" hidden="1" x14ac:dyDescent="0.25">
      <c r="A2976" s="4">
        <v>39127</v>
      </c>
      <c r="B2976" s="4" t="s">
        <v>219</v>
      </c>
      <c r="C2976" s="34"/>
      <c r="D2976" s="34">
        <v>615.4</v>
      </c>
    </row>
    <row r="2977" spans="1:4" hidden="1" x14ac:dyDescent="0.25">
      <c r="A2977" s="4">
        <v>39171</v>
      </c>
      <c r="B2977" s="4" t="s">
        <v>283</v>
      </c>
      <c r="C2977" s="34"/>
      <c r="D2977" s="34">
        <v>425</v>
      </c>
    </row>
    <row r="2978" spans="1:4" hidden="1" x14ac:dyDescent="0.25">
      <c r="A2978" s="4">
        <v>39263</v>
      </c>
      <c r="B2978" s="4" t="s">
        <v>250</v>
      </c>
      <c r="C2978" s="34"/>
      <c r="D2978" s="34">
        <v>2721.5</v>
      </c>
    </row>
    <row r="2979" spans="1:4" hidden="1" x14ac:dyDescent="0.25">
      <c r="A2979" s="4">
        <v>39263</v>
      </c>
      <c r="B2979" s="4" t="s">
        <v>75</v>
      </c>
      <c r="C2979" s="34"/>
      <c r="D2979" s="34">
        <v>52658.98</v>
      </c>
    </row>
    <row r="2980" spans="1:4" hidden="1" x14ac:dyDescent="0.25">
      <c r="A2980" s="4"/>
      <c r="B2980" s="4"/>
      <c r="C2980" s="34"/>
      <c r="D2980" s="34"/>
    </row>
    <row r="2981" spans="1:4" hidden="1" x14ac:dyDescent="0.25">
      <c r="A2981" s="4">
        <v>39263</v>
      </c>
      <c r="B2981" t="s">
        <v>14</v>
      </c>
      <c r="C2981" s="36">
        <f>SUM(C2948:C2980)</f>
        <v>0</v>
      </c>
      <c r="D2981" s="36">
        <f>SUM(D2948:D2980)</f>
        <v>67722.23</v>
      </c>
    </row>
    <row r="2982" spans="1:4" hidden="1" x14ac:dyDescent="0.25">
      <c r="A2982" s="4"/>
      <c r="B2982" s="4" t="s">
        <v>15</v>
      </c>
      <c r="C2982" s="34" t="str">
        <f>IF(C2981&gt;D2981,C2981-D2981," ")</f>
        <v xml:space="preserve"> </v>
      </c>
      <c r="D2982" s="34">
        <f>IF(D2981&gt;C2981,D2981-C2981," ")</f>
        <v>67722.23</v>
      </c>
    </row>
    <row r="2983" spans="1:4" hidden="1" x14ac:dyDescent="0.25">
      <c r="A2983" s="4">
        <v>39267</v>
      </c>
      <c r="B2983" s="4" t="s">
        <v>53</v>
      </c>
      <c r="C2983" s="34"/>
      <c r="D2983" s="34">
        <v>182.84</v>
      </c>
    </row>
    <row r="2984" spans="1:4" hidden="1" x14ac:dyDescent="0.25">
      <c r="A2984" s="4">
        <v>39275</v>
      </c>
      <c r="B2984" s="4" t="s">
        <v>287</v>
      </c>
      <c r="C2984" s="34"/>
      <c r="D2984" s="34">
        <v>435</v>
      </c>
    </row>
    <row r="2985" spans="1:4" hidden="1" x14ac:dyDescent="0.25">
      <c r="A2985" s="4">
        <v>39290</v>
      </c>
      <c r="B2985" s="4" t="s">
        <v>9</v>
      </c>
      <c r="C2985" s="34"/>
      <c r="D2985" s="34">
        <v>982.79</v>
      </c>
    </row>
    <row r="2986" spans="1:4" hidden="1" x14ac:dyDescent="0.25">
      <c r="A2986" s="4">
        <v>39325</v>
      </c>
      <c r="B2986" s="4" t="s">
        <v>214</v>
      </c>
      <c r="C2986" s="34"/>
      <c r="D2986" s="34">
        <v>532.5</v>
      </c>
    </row>
    <row r="2987" spans="1:4" hidden="1" x14ac:dyDescent="0.25">
      <c r="A2987" s="4">
        <v>39346</v>
      </c>
      <c r="B2987" s="4" t="s">
        <v>50</v>
      </c>
      <c r="C2987" s="34"/>
      <c r="D2987" s="34">
        <v>700</v>
      </c>
    </row>
    <row r="2988" spans="1:4" hidden="1" x14ac:dyDescent="0.25">
      <c r="A2988" s="4">
        <v>39352</v>
      </c>
      <c r="B2988" s="4" t="s">
        <v>211</v>
      </c>
      <c r="C2988" s="34"/>
      <c r="D2988" s="34">
        <v>250</v>
      </c>
    </row>
    <row r="2989" spans="1:4" hidden="1" x14ac:dyDescent="0.25">
      <c r="A2989" s="4">
        <v>39353</v>
      </c>
      <c r="B2989" s="4" t="s">
        <v>294</v>
      </c>
      <c r="C2989" s="34"/>
      <c r="D2989" s="34">
        <v>270.66000000000003</v>
      </c>
    </row>
    <row r="2990" spans="1:4" hidden="1" x14ac:dyDescent="0.25">
      <c r="A2990" s="4">
        <v>39360</v>
      </c>
      <c r="B2990" s="4" t="s">
        <v>295</v>
      </c>
      <c r="C2990" s="34"/>
      <c r="D2990" s="34">
        <v>745</v>
      </c>
    </row>
    <row r="2991" spans="1:4" hidden="1" x14ac:dyDescent="0.25">
      <c r="A2991" s="4">
        <v>39381</v>
      </c>
      <c r="B2991" s="4" t="s">
        <v>9</v>
      </c>
      <c r="C2991" s="34"/>
      <c r="D2991" s="34">
        <v>591.48</v>
      </c>
    </row>
    <row r="2992" spans="1:4" hidden="1" x14ac:dyDescent="0.25">
      <c r="A2992" s="4">
        <v>39384</v>
      </c>
      <c r="B2992" s="4" t="s">
        <v>48</v>
      </c>
      <c r="C2992" s="34"/>
      <c r="D2992" s="34">
        <v>401.76</v>
      </c>
    </row>
    <row r="2993" spans="1:4" hidden="1" x14ac:dyDescent="0.25">
      <c r="A2993" s="4">
        <v>39391</v>
      </c>
      <c r="B2993" s="4" t="s">
        <v>52</v>
      </c>
      <c r="C2993" s="34"/>
      <c r="D2993" s="34">
        <v>170</v>
      </c>
    </row>
    <row r="2994" spans="1:4" hidden="1" x14ac:dyDescent="0.25">
      <c r="A2994" s="4">
        <v>39434</v>
      </c>
      <c r="B2994" s="4" t="s">
        <v>297</v>
      </c>
      <c r="C2994" s="34"/>
      <c r="D2994" s="34">
        <v>340</v>
      </c>
    </row>
    <row r="2995" spans="1:4" hidden="1" x14ac:dyDescent="0.25">
      <c r="A2995" s="4">
        <v>39434</v>
      </c>
      <c r="B2995" s="4" t="s">
        <v>287</v>
      </c>
      <c r="C2995" s="34"/>
      <c r="D2995" s="34">
        <v>475</v>
      </c>
    </row>
    <row r="2996" spans="1:4" hidden="1" x14ac:dyDescent="0.25">
      <c r="A2996" s="4">
        <v>39437</v>
      </c>
      <c r="B2996" s="4" t="s">
        <v>298</v>
      </c>
      <c r="C2996" s="34"/>
      <c r="D2996" s="34">
        <v>370</v>
      </c>
    </row>
    <row r="2997" spans="1:4" hidden="1" x14ac:dyDescent="0.25">
      <c r="A2997" s="4">
        <v>39472</v>
      </c>
      <c r="B2997" s="4" t="s">
        <v>9</v>
      </c>
      <c r="C2997" s="34"/>
      <c r="D2997" s="34">
        <v>724.18</v>
      </c>
    </row>
    <row r="2998" spans="1:4" hidden="1" x14ac:dyDescent="0.25">
      <c r="A2998" s="4">
        <v>39507</v>
      </c>
      <c r="B2998" s="4" t="s">
        <v>214</v>
      </c>
      <c r="C2998" s="34"/>
      <c r="D2998" s="34">
        <v>532.5</v>
      </c>
    </row>
    <row r="2999" spans="1:4" hidden="1" x14ac:dyDescent="0.25">
      <c r="A2999" s="4">
        <v>39538</v>
      </c>
      <c r="B2999" s="4" t="s">
        <v>300</v>
      </c>
      <c r="C2999" s="34"/>
      <c r="D2999" s="34">
        <v>277.75</v>
      </c>
    </row>
    <row r="3000" spans="1:4" hidden="1" x14ac:dyDescent="0.25">
      <c r="A3000" s="4">
        <v>39538</v>
      </c>
      <c r="B3000" s="4" t="s">
        <v>211</v>
      </c>
      <c r="C3000" s="34"/>
      <c r="D3000" s="34">
        <v>250</v>
      </c>
    </row>
    <row r="3001" spans="1:4" hidden="1" x14ac:dyDescent="0.25">
      <c r="A3001" s="4">
        <v>39540</v>
      </c>
      <c r="B3001" s="4" t="s">
        <v>295</v>
      </c>
      <c r="C3001" s="34"/>
      <c r="D3001" s="34">
        <v>565</v>
      </c>
    </row>
    <row r="3002" spans="1:4" hidden="1" x14ac:dyDescent="0.25">
      <c r="A3002" s="4">
        <v>39542</v>
      </c>
      <c r="B3002" s="4" t="s">
        <v>50</v>
      </c>
      <c r="C3002" s="34"/>
      <c r="D3002" s="34">
        <v>700</v>
      </c>
    </row>
    <row r="3003" spans="1:4" hidden="1" x14ac:dyDescent="0.25">
      <c r="A3003" s="4">
        <v>39554</v>
      </c>
      <c r="B3003" s="4" t="s">
        <v>294</v>
      </c>
      <c r="C3003" s="34"/>
      <c r="D3003" s="34">
        <v>270.66000000000003</v>
      </c>
    </row>
    <row r="3004" spans="1:4" hidden="1" x14ac:dyDescent="0.25">
      <c r="A3004" s="4">
        <v>39562</v>
      </c>
      <c r="B3004" s="4" t="s">
        <v>9</v>
      </c>
      <c r="C3004" s="34"/>
      <c r="D3004" s="34">
        <v>855.14</v>
      </c>
    </row>
    <row r="3005" spans="1:4" hidden="1" x14ac:dyDescent="0.25">
      <c r="A3005" s="4">
        <v>39566</v>
      </c>
      <c r="B3005" s="4" t="s">
        <v>52</v>
      </c>
      <c r="C3005" s="34"/>
      <c r="D3005" s="34">
        <v>170</v>
      </c>
    </row>
    <row r="3006" spans="1:4" hidden="1" x14ac:dyDescent="0.25">
      <c r="A3006" s="4">
        <v>39277</v>
      </c>
      <c r="B3006" s="4" t="s">
        <v>219</v>
      </c>
      <c r="C3006" s="34"/>
      <c r="D3006" s="34">
        <v>632.1</v>
      </c>
    </row>
    <row r="3007" spans="1:4" hidden="1" x14ac:dyDescent="0.25">
      <c r="A3007" s="4">
        <v>39492</v>
      </c>
      <c r="B3007" s="4" t="s">
        <v>219</v>
      </c>
      <c r="C3007" s="34"/>
      <c r="D3007" s="34">
        <v>651.29999999999995</v>
      </c>
    </row>
    <row r="3008" spans="1:4" hidden="1" x14ac:dyDescent="0.25">
      <c r="A3008" s="4">
        <v>39321</v>
      </c>
      <c r="B3008" s="4" t="s">
        <v>306</v>
      </c>
      <c r="C3008" s="34"/>
      <c r="D3008" s="34">
        <v>482.35</v>
      </c>
    </row>
    <row r="3009" spans="1:4" hidden="1" x14ac:dyDescent="0.25">
      <c r="A3009" s="4">
        <v>39505</v>
      </c>
      <c r="B3009" s="4" t="s">
        <v>306</v>
      </c>
      <c r="C3009" s="34"/>
      <c r="D3009" s="34">
        <v>508.48</v>
      </c>
    </row>
    <row r="3010" spans="1:4" hidden="1" x14ac:dyDescent="0.25">
      <c r="A3010" s="4">
        <v>39415</v>
      </c>
      <c r="B3010" s="4" t="s">
        <v>283</v>
      </c>
      <c r="C3010" s="34"/>
      <c r="D3010" s="34">
        <v>716.8</v>
      </c>
    </row>
    <row r="3011" spans="1:4" hidden="1" x14ac:dyDescent="0.25">
      <c r="A3011" s="4">
        <v>39538</v>
      </c>
      <c r="B3011" s="4" t="s">
        <v>283</v>
      </c>
      <c r="C3011" s="34"/>
      <c r="D3011" s="34">
        <v>343.85</v>
      </c>
    </row>
    <row r="3012" spans="1:4" hidden="1" x14ac:dyDescent="0.25">
      <c r="A3012" s="4">
        <v>39325</v>
      </c>
      <c r="B3012" s="4" t="s">
        <v>307</v>
      </c>
      <c r="C3012" s="34"/>
      <c r="D3012" s="34">
        <v>245</v>
      </c>
    </row>
    <row r="3013" spans="1:4" hidden="1" x14ac:dyDescent="0.25">
      <c r="A3013" s="4">
        <v>39629</v>
      </c>
      <c r="B3013" s="4" t="s">
        <v>250</v>
      </c>
      <c r="C3013" s="34">
        <v>620.64</v>
      </c>
      <c r="D3013" s="34"/>
    </row>
    <row r="3014" spans="1:4" hidden="1" x14ac:dyDescent="0.25">
      <c r="A3014" s="4">
        <v>39629</v>
      </c>
      <c r="B3014" s="4" t="s">
        <v>75</v>
      </c>
      <c r="C3014" s="34">
        <v>51688.480000000003</v>
      </c>
      <c r="D3014" s="34"/>
    </row>
    <row r="3015" spans="1:4" hidden="1" x14ac:dyDescent="0.25">
      <c r="A3015" s="4"/>
      <c r="B3015" s="4"/>
      <c r="C3015" s="34"/>
      <c r="D3015" s="34"/>
    </row>
    <row r="3016" spans="1:4" hidden="1" x14ac:dyDescent="0.25">
      <c r="A3016" s="4">
        <v>39629</v>
      </c>
      <c r="B3016" t="s">
        <v>14</v>
      </c>
      <c r="C3016" s="36">
        <f>SUM(C2983:C3015)</f>
        <v>52309.120000000003</v>
      </c>
      <c r="D3016" s="36">
        <f>SUM(D2983:D3015)</f>
        <v>14372.14</v>
      </c>
    </row>
    <row r="3017" spans="1:4" hidden="1" x14ac:dyDescent="0.25">
      <c r="A3017" s="4"/>
      <c r="B3017" s="4" t="s">
        <v>15</v>
      </c>
      <c r="C3017" s="34">
        <f>IF(C3016&gt;D3016,C3016-D3016," ")</f>
        <v>37936.980000000003</v>
      </c>
      <c r="D3017" s="34" t="str">
        <f>IF(D3016&gt;C3016,D3016-C3016," ")</f>
        <v xml:space="preserve"> </v>
      </c>
    </row>
    <row r="3018" spans="1:4" hidden="1" x14ac:dyDescent="0.25">
      <c r="A3018" s="4">
        <v>39721</v>
      </c>
      <c r="B3018" s="4" t="s">
        <v>313</v>
      </c>
      <c r="C3018" s="34"/>
      <c r="D3018" s="34">
        <v>65.209999999999994</v>
      </c>
    </row>
    <row r="3019" spans="1:4" hidden="1" x14ac:dyDescent="0.25">
      <c r="A3019" s="4">
        <v>39752</v>
      </c>
      <c r="B3019" s="4" t="s">
        <v>313</v>
      </c>
      <c r="C3019" s="34"/>
      <c r="D3019" s="34">
        <v>256.69</v>
      </c>
    </row>
    <row r="3020" spans="1:4" hidden="1" x14ac:dyDescent="0.25">
      <c r="A3020" s="4">
        <v>39780</v>
      </c>
      <c r="B3020" s="4" t="s">
        <v>313</v>
      </c>
      <c r="C3020" s="34"/>
      <c r="D3020" s="34">
        <v>198.63</v>
      </c>
    </row>
    <row r="3021" spans="1:4" hidden="1" x14ac:dyDescent="0.25">
      <c r="A3021" s="4">
        <v>39813</v>
      </c>
      <c r="B3021" s="4" t="s">
        <v>313</v>
      </c>
      <c r="C3021" s="34"/>
      <c r="D3021" s="34">
        <v>190.44</v>
      </c>
    </row>
    <row r="3022" spans="1:4" hidden="1" x14ac:dyDescent="0.25">
      <c r="A3022" s="4">
        <v>39843</v>
      </c>
      <c r="B3022" s="4" t="s">
        <v>313</v>
      </c>
      <c r="C3022" s="34"/>
      <c r="D3022" s="34">
        <v>166.23</v>
      </c>
    </row>
    <row r="3023" spans="1:4" hidden="1" x14ac:dyDescent="0.25">
      <c r="A3023" s="4">
        <v>39871</v>
      </c>
      <c r="B3023" s="4" t="s">
        <v>313</v>
      </c>
      <c r="C3023" s="34"/>
      <c r="D3023" s="34">
        <v>125.08</v>
      </c>
    </row>
    <row r="3024" spans="1:4" hidden="1" x14ac:dyDescent="0.25">
      <c r="A3024" s="4">
        <v>39903</v>
      </c>
      <c r="B3024" s="4" t="s">
        <v>313</v>
      </c>
      <c r="C3024" s="34"/>
      <c r="D3024" s="34">
        <v>133.75</v>
      </c>
    </row>
    <row r="3025" spans="1:4" hidden="1" x14ac:dyDescent="0.25">
      <c r="A3025" s="4">
        <v>39933</v>
      </c>
      <c r="B3025" s="4" t="s">
        <v>313</v>
      </c>
      <c r="C3025" s="34"/>
      <c r="D3025" s="34">
        <v>118.39</v>
      </c>
    </row>
    <row r="3026" spans="1:4" hidden="1" x14ac:dyDescent="0.25">
      <c r="A3026" s="4">
        <v>39962</v>
      </c>
      <c r="B3026" s="4" t="s">
        <v>313</v>
      </c>
      <c r="C3026" s="34"/>
      <c r="D3026" s="34">
        <v>111.66</v>
      </c>
    </row>
    <row r="3027" spans="1:4" hidden="1" x14ac:dyDescent="0.25">
      <c r="A3027" s="4">
        <v>39994</v>
      </c>
      <c r="B3027" s="4" t="s">
        <v>313</v>
      </c>
      <c r="C3027" s="34"/>
      <c r="D3027" s="34">
        <v>123.48</v>
      </c>
    </row>
    <row r="3028" spans="1:4" hidden="1" x14ac:dyDescent="0.25">
      <c r="A3028" s="4">
        <v>39630</v>
      </c>
      <c r="B3028" s="4" t="s">
        <v>298</v>
      </c>
      <c r="C3028" s="34"/>
      <c r="D3028" s="34">
        <v>310</v>
      </c>
    </row>
    <row r="3029" spans="1:4" hidden="1" x14ac:dyDescent="0.25">
      <c r="A3029" s="4">
        <v>39631</v>
      </c>
      <c r="B3029" s="4" t="s">
        <v>297</v>
      </c>
      <c r="C3029" s="34"/>
      <c r="D3029" s="34">
        <v>350</v>
      </c>
    </row>
    <row r="3030" spans="1:4" hidden="1" x14ac:dyDescent="0.25">
      <c r="A3030" s="4">
        <v>39639</v>
      </c>
      <c r="B3030" s="4" t="s">
        <v>287</v>
      </c>
      <c r="C3030" s="34"/>
      <c r="D3030" s="34">
        <v>485</v>
      </c>
    </row>
    <row r="3031" spans="1:4" hidden="1" x14ac:dyDescent="0.25">
      <c r="A3031" s="4">
        <v>39654</v>
      </c>
      <c r="B3031" s="4" t="s">
        <v>9</v>
      </c>
      <c r="C3031" s="34"/>
      <c r="D3031" s="34">
        <v>863.95</v>
      </c>
    </row>
    <row r="3032" spans="1:4" hidden="1" x14ac:dyDescent="0.25">
      <c r="A3032" s="4">
        <v>39689</v>
      </c>
      <c r="B3032" s="4" t="s">
        <v>214</v>
      </c>
      <c r="C3032" s="34"/>
      <c r="D3032" s="34">
        <v>532.5</v>
      </c>
    </row>
    <row r="3033" spans="1:4" hidden="1" x14ac:dyDescent="0.25">
      <c r="A3033" s="4">
        <v>39717</v>
      </c>
      <c r="B3033" s="4" t="s">
        <v>50</v>
      </c>
      <c r="C3033" s="34"/>
      <c r="D3033" s="34">
        <v>716.8</v>
      </c>
    </row>
    <row r="3034" spans="1:4" hidden="1" x14ac:dyDescent="0.25">
      <c r="A3034" s="4">
        <v>39717</v>
      </c>
      <c r="B3034" s="4" t="s">
        <v>294</v>
      </c>
      <c r="C3034" s="34"/>
      <c r="D3034" s="34">
        <v>281.07</v>
      </c>
    </row>
    <row r="3035" spans="1:4" hidden="1" x14ac:dyDescent="0.25">
      <c r="A3035" s="4">
        <v>39722</v>
      </c>
      <c r="B3035" s="4" t="s">
        <v>295</v>
      </c>
      <c r="C3035" s="34"/>
      <c r="D3035" s="34">
        <v>765</v>
      </c>
    </row>
    <row r="3036" spans="1:4" hidden="1" x14ac:dyDescent="0.25">
      <c r="A3036" s="4">
        <v>39723</v>
      </c>
      <c r="B3036" s="4" t="s">
        <v>211</v>
      </c>
      <c r="C3036" s="34"/>
      <c r="D3036" s="34">
        <v>250</v>
      </c>
    </row>
    <row r="3037" spans="1:4" hidden="1" x14ac:dyDescent="0.25">
      <c r="A3037" s="4">
        <v>39745</v>
      </c>
      <c r="B3037" s="4" t="s">
        <v>9</v>
      </c>
      <c r="C3037" s="34"/>
      <c r="D3037" s="34">
        <v>579.57000000000005</v>
      </c>
    </row>
    <row r="3038" spans="1:4" hidden="1" x14ac:dyDescent="0.25">
      <c r="A3038" s="4">
        <v>39755</v>
      </c>
      <c r="B3038" s="4" t="s">
        <v>48</v>
      </c>
      <c r="C3038" s="34"/>
      <c r="D3038" s="34">
        <v>435.24</v>
      </c>
    </row>
    <row r="3039" spans="1:4" hidden="1" x14ac:dyDescent="0.25">
      <c r="A3039" s="4">
        <v>39755</v>
      </c>
      <c r="B3039" s="4" t="s">
        <v>52</v>
      </c>
      <c r="C3039" s="34"/>
      <c r="D3039" s="34">
        <v>170</v>
      </c>
    </row>
    <row r="3040" spans="1:4" hidden="1" x14ac:dyDescent="0.25">
      <c r="A3040" s="4">
        <v>39799</v>
      </c>
      <c r="B3040" s="4" t="s">
        <v>297</v>
      </c>
      <c r="C3040" s="34"/>
      <c r="D3040" s="34">
        <v>360</v>
      </c>
    </row>
    <row r="3041" spans="1:4" hidden="1" x14ac:dyDescent="0.25">
      <c r="A3041" s="4">
        <v>39799</v>
      </c>
      <c r="B3041" s="4" t="s">
        <v>287</v>
      </c>
      <c r="C3041" s="34"/>
      <c r="D3041" s="34">
        <v>485</v>
      </c>
    </row>
    <row r="3042" spans="1:4" hidden="1" x14ac:dyDescent="0.25">
      <c r="A3042" s="4">
        <v>39800</v>
      </c>
      <c r="B3042" s="4" t="s">
        <v>298</v>
      </c>
      <c r="C3042" s="34"/>
      <c r="D3042" s="34">
        <v>370</v>
      </c>
    </row>
    <row r="3043" spans="1:4" hidden="1" x14ac:dyDescent="0.25">
      <c r="A3043" s="4">
        <v>39836</v>
      </c>
      <c r="B3043" s="4" t="s">
        <v>9</v>
      </c>
      <c r="C3043" s="34"/>
      <c r="D3043" s="34">
        <v>100.63</v>
      </c>
    </row>
    <row r="3044" spans="1:4" hidden="1" x14ac:dyDescent="0.25">
      <c r="A3044" s="4">
        <v>39871</v>
      </c>
      <c r="B3044" s="4" t="s">
        <v>320</v>
      </c>
      <c r="C3044" s="34"/>
      <c r="D3044" s="34">
        <v>698.7</v>
      </c>
    </row>
    <row r="3045" spans="1:4" hidden="1" x14ac:dyDescent="0.25">
      <c r="A3045" s="4">
        <v>39871</v>
      </c>
      <c r="B3045" s="4" t="s">
        <v>214</v>
      </c>
      <c r="C3045" s="34"/>
      <c r="D3045" s="34">
        <v>532.5</v>
      </c>
    </row>
    <row r="3046" spans="1:4" hidden="1" x14ac:dyDescent="0.25">
      <c r="A3046" s="4">
        <v>39891</v>
      </c>
      <c r="B3046" s="4" t="s">
        <v>211</v>
      </c>
      <c r="C3046" s="34"/>
      <c r="D3046" s="34">
        <v>50</v>
      </c>
    </row>
    <row r="3047" spans="1:4" hidden="1" x14ac:dyDescent="0.25">
      <c r="A3047" s="4">
        <v>39895</v>
      </c>
      <c r="B3047" s="4" t="s">
        <v>295</v>
      </c>
      <c r="C3047" s="34"/>
      <c r="D3047" s="34">
        <v>565</v>
      </c>
    </row>
    <row r="3048" spans="1:4" hidden="1" x14ac:dyDescent="0.25">
      <c r="A3048" s="4">
        <v>39906</v>
      </c>
      <c r="B3048" s="4" t="s">
        <v>294</v>
      </c>
      <c r="C3048" s="34"/>
      <c r="D3048" s="34">
        <v>270.66000000000003</v>
      </c>
    </row>
    <row r="3049" spans="1:4" hidden="1" x14ac:dyDescent="0.25">
      <c r="A3049" s="4">
        <v>39912</v>
      </c>
      <c r="B3049" s="4" t="s">
        <v>50</v>
      </c>
      <c r="C3049" s="34"/>
      <c r="D3049" s="34">
        <v>716.8</v>
      </c>
    </row>
    <row r="3050" spans="1:4" hidden="1" x14ac:dyDescent="0.25">
      <c r="A3050" s="4">
        <v>39927</v>
      </c>
      <c r="B3050" s="4" t="s">
        <v>9</v>
      </c>
      <c r="C3050" s="34"/>
      <c r="D3050" s="34">
        <v>50.51</v>
      </c>
    </row>
    <row r="3051" spans="1:4" hidden="1" x14ac:dyDescent="0.25">
      <c r="A3051" s="4">
        <v>39937</v>
      </c>
      <c r="B3051" s="4" t="s">
        <v>52</v>
      </c>
      <c r="C3051" s="34"/>
      <c r="D3051" s="34">
        <v>170</v>
      </c>
    </row>
    <row r="3052" spans="1:4" hidden="1" x14ac:dyDescent="0.25">
      <c r="A3052" s="4">
        <v>39696</v>
      </c>
      <c r="B3052" s="4" t="s">
        <v>307</v>
      </c>
      <c r="C3052" s="34"/>
      <c r="D3052" s="34">
        <v>404</v>
      </c>
    </row>
    <row r="3053" spans="1:4" hidden="1" x14ac:dyDescent="0.25">
      <c r="A3053" s="4">
        <v>39909</v>
      </c>
      <c r="B3053" s="4" t="s">
        <v>307</v>
      </c>
      <c r="C3053" s="34"/>
      <c r="D3053" s="34">
        <v>281.60000000000002</v>
      </c>
    </row>
    <row r="3054" spans="1:4" hidden="1" x14ac:dyDescent="0.25">
      <c r="A3054" s="4">
        <v>39674</v>
      </c>
      <c r="B3054" s="4" t="s">
        <v>219</v>
      </c>
      <c r="C3054" s="34"/>
      <c r="D3054" s="34">
        <v>674.92</v>
      </c>
    </row>
    <row r="3055" spans="1:4" hidden="1" x14ac:dyDescent="0.25">
      <c r="A3055" s="4">
        <v>39692</v>
      </c>
      <c r="B3055" s="4" t="s">
        <v>283</v>
      </c>
      <c r="C3055" s="34"/>
      <c r="D3055" s="34">
        <v>819.45</v>
      </c>
    </row>
    <row r="3056" spans="1:4" hidden="1" x14ac:dyDescent="0.25">
      <c r="A3056" s="4">
        <v>39874</v>
      </c>
      <c r="B3056" s="4" t="s">
        <v>283</v>
      </c>
      <c r="C3056" s="34"/>
      <c r="D3056" s="34">
        <v>317</v>
      </c>
    </row>
    <row r="3057" spans="1:4" hidden="1" x14ac:dyDescent="0.25">
      <c r="A3057" s="4">
        <v>39689</v>
      </c>
      <c r="B3057" s="4" t="s">
        <v>306</v>
      </c>
      <c r="C3057" s="34"/>
      <c r="D3057" s="34">
        <v>549.26</v>
      </c>
    </row>
    <row r="3058" spans="1:4" hidden="1" x14ac:dyDescent="0.25">
      <c r="A3058" s="4">
        <v>39871</v>
      </c>
      <c r="B3058" s="4" t="s">
        <v>306</v>
      </c>
      <c r="C3058" s="34"/>
      <c r="D3058" s="34">
        <v>221.32</v>
      </c>
    </row>
    <row r="3059" spans="1:4" hidden="1" x14ac:dyDescent="0.25">
      <c r="A3059" s="4"/>
      <c r="B3059" s="4"/>
      <c r="C3059" s="34"/>
      <c r="D3059" s="34"/>
    </row>
    <row r="3060" spans="1:4" hidden="1" x14ac:dyDescent="0.25">
      <c r="A3060" s="4">
        <v>39994</v>
      </c>
      <c r="B3060" s="4" t="s">
        <v>250</v>
      </c>
      <c r="C3060" s="34"/>
      <c r="D3060" s="34">
        <v>0</v>
      </c>
    </row>
    <row r="3061" spans="1:4" hidden="1" x14ac:dyDescent="0.25">
      <c r="A3061" s="4">
        <v>39994</v>
      </c>
      <c r="B3061" s="4" t="s">
        <v>75</v>
      </c>
      <c r="C3061" s="34">
        <v>42836.37</v>
      </c>
      <c r="D3061" s="34"/>
    </row>
    <row r="3062" spans="1:4" hidden="1" x14ac:dyDescent="0.25">
      <c r="A3062" s="4"/>
      <c r="B3062" s="4"/>
      <c r="C3062" s="34"/>
      <c r="D3062" s="34"/>
    </row>
    <row r="3063" spans="1:4" hidden="1" x14ac:dyDescent="0.25">
      <c r="A3063" s="4">
        <v>39994</v>
      </c>
      <c r="B3063" t="s">
        <v>14</v>
      </c>
      <c r="C3063" s="36">
        <f>SUM(C3018:C3062)</f>
        <v>42836.37</v>
      </c>
      <c r="D3063" s="36">
        <f>SUM(D3018:D3062)</f>
        <v>14866.039999999999</v>
      </c>
    </row>
    <row r="3064" spans="1:4" hidden="1" x14ac:dyDescent="0.25">
      <c r="A3064" s="4"/>
      <c r="B3064" s="4" t="s">
        <v>15</v>
      </c>
      <c r="C3064" s="34">
        <f>IF(C3063&gt;D3063,C3063-D3063," ")</f>
        <v>27970.33</v>
      </c>
      <c r="D3064" s="34" t="str">
        <f>IF(D3063&gt;C3063,D3063-C3063," ")</f>
        <v xml:space="preserve"> </v>
      </c>
    </row>
    <row r="3065" spans="1:4" hidden="1" x14ac:dyDescent="0.25">
      <c r="A3065" s="4">
        <v>39995</v>
      </c>
      <c r="B3065" s="4" t="s">
        <v>298</v>
      </c>
      <c r="C3065" s="34"/>
      <c r="D3065" s="34">
        <v>230</v>
      </c>
    </row>
    <row r="3066" spans="1:4" hidden="1" x14ac:dyDescent="0.25">
      <c r="A3066" s="4">
        <v>39996</v>
      </c>
      <c r="B3066" s="4" t="s">
        <v>297</v>
      </c>
      <c r="C3066" s="34"/>
      <c r="D3066" s="34">
        <v>280</v>
      </c>
    </row>
    <row r="3067" spans="1:4" hidden="1" x14ac:dyDescent="0.25">
      <c r="A3067" s="4">
        <v>40003</v>
      </c>
      <c r="B3067" s="4" t="s">
        <v>287</v>
      </c>
      <c r="C3067" s="34"/>
      <c r="D3067" s="34">
        <v>365</v>
      </c>
    </row>
    <row r="3068" spans="1:4" hidden="1" x14ac:dyDescent="0.25">
      <c r="A3068" s="4">
        <v>40018</v>
      </c>
      <c r="B3068" s="4" t="s">
        <v>9</v>
      </c>
      <c r="C3068" s="34"/>
      <c r="D3068" s="34">
        <v>32.090000000000003</v>
      </c>
    </row>
    <row r="3069" spans="1:4" hidden="1" x14ac:dyDescent="0.25">
      <c r="A3069" s="4">
        <v>40039</v>
      </c>
      <c r="B3069" s="4" t="s">
        <v>320</v>
      </c>
      <c r="C3069" s="34"/>
      <c r="D3069" s="34">
        <v>698.7</v>
      </c>
    </row>
    <row r="3070" spans="1:4" hidden="1" x14ac:dyDescent="0.25">
      <c r="A3070" s="4">
        <v>40056</v>
      </c>
      <c r="B3070" s="4" t="s">
        <v>214</v>
      </c>
      <c r="C3070" s="34"/>
      <c r="D3070" s="34">
        <v>704.06</v>
      </c>
    </row>
    <row r="3071" spans="1:4" hidden="1" x14ac:dyDescent="0.25">
      <c r="A3071" s="4">
        <v>40081</v>
      </c>
      <c r="B3071" s="4" t="s">
        <v>50</v>
      </c>
      <c r="C3071" s="34"/>
      <c r="D3071" s="34">
        <v>716.8</v>
      </c>
    </row>
    <row r="3072" spans="1:4" hidden="1" x14ac:dyDescent="0.25">
      <c r="A3072" s="4">
        <v>40086</v>
      </c>
      <c r="B3072" s="4" t="s">
        <v>294</v>
      </c>
      <c r="C3072" s="34"/>
      <c r="D3072" s="34">
        <v>291.48</v>
      </c>
    </row>
    <row r="3073" spans="1:4" hidden="1" x14ac:dyDescent="0.25">
      <c r="A3073" s="4">
        <v>40087</v>
      </c>
      <c r="B3073" s="4" t="s">
        <v>295</v>
      </c>
      <c r="C3073" s="34"/>
      <c r="D3073" s="34">
        <v>575</v>
      </c>
    </row>
    <row r="3074" spans="1:4" hidden="1" x14ac:dyDescent="0.25">
      <c r="A3074" s="4">
        <v>40094</v>
      </c>
      <c r="B3074" s="4" t="s">
        <v>48</v>
      </c>
      <c r="C3074" s="34"/>
      <c r="D3074" s="34">
        <v>200.88</v>
      </c>
    </row>
    <row r="3075" spans="1:4" hidden="1" x14ac:dyDescent="0.25">
      <c r="A3075" s="4">
        <v>40109</v>
      </c>
      <c r="B3075" s="4" t="s">
        <v>9</v>
      </c>
      <c r="C3075" s="34"/>
      <c r="D3075" s="34">
        <v>55.61</v>
      </c>
    </row>
    <row r="3076" spans="1:4" hidden="1" x14ac:dyDescent="0.25">
      <c r="A3076" s="4">
        <v>40147</v>
      </c>
      <c r="B3076" s="4" t="s">
        <v>52</v>
      </c>
      <c r="C3076" s="34"/>
      <c r="D3076" s="34">
        <v>170</v>
      </c>
    </row>
    <row r="3077" spans="1:4" hidden="1" x14ac:dyDescent="0.25">
      <c r="A3077" s="4">
        <v>40164</v>
      </c>
      <c r="B3077" s="4" t="s">
        <v>287</v>
      </c>
      <c r="C3077" s="34"/>
      <c r="D3077" s="34">
        <v>365</v>
      </c>
    </row>
    <row r="3078" spans="1:4" hidden="1" x14ac:dyDescent="0.25">
      <c r="A3078" s="4">
        <v>40165</v>
      </c>
      <c r="B3078" s="4" t="s">
        <v>298</v>
      </c>
      <c r="C3078" s="34"/>
      <c r="D3078" s="34">
        <v>280</v>
      </c>
    </row>
    <row r="3079" spans="1:4" hidden="1" x14ac:dyDescent="0.25">
      <c r="A3079" s="4">
        <v>40168</v>
      </c>
      <c r="B3079" s="4" t="s">
        <v>297</v>
      </c>
      <c r="C3079" s="34"/>
      <c r="D3079" s="34">
        <v>300</v>
      </c>
    </row>
    <row r="3080" spans="1:4" hidden="1" x14ac:dyDescent="0.25">
      <c r="A3080" s="4">
        <v>40200</v>
      </c>
      <c r="B3080" s="4" t="s">
        <v>9</v>
      </c>
      <c r="C3080" s="34"/>
      <c r="D3080" s="34">
        <v>97.11</v>
      </c>
    </row>
    <row r="3081" spans="1:4" hidden="1" x14ac:dyDescent="0.25">
      <c r="A3081" s="4">
        <v>40221</v>
      </c>
      <c r="B3081" s="4" t="s">
        <v>320</v>
      </c>
      <c r="C3081" s="34"/>
      <c r="D3081" s="34">
        <v>838.44</v>
      </c>
    </row>
    <row r="3082" spans="1:4" hidden="1" x14ac:dyDescent="0.25">
      <c r="A3082" s="4">
        <v>40235</v>
      </c>
      <c r="B3082" s="4" t="s">
        <v>214</v>
      </c>
      <c r="C3082" s="34"/>
      <c r="D3082" s="34">
        <v>704.06</v>
      </c>
    </row>
    <row r="3083" spans="1:4" hidden="1" x14ac:dyDescent="0.25">
      <c r="A3083" s="4">
        <v>40256</v>
      </c>
      <c r="B3083" s="4" t="s">
        <v>211</v>
      </c>
      <c r="C3083" s="34"/>
      <c r="D3083" s="34">
        <v>44</v>
      </c>
    </row>
    <row r="3084" spans="1:4" hidden="1" x14ac:dyDescent="0.25">
      <c r="A3084" s="4">
        <v>40263</v>
      </c>
      <c r="B3084" s="4" t="s">
        <v>50</v>
      </c>
      <c r="C3084" s="34"/>
      <c r="D3084" s="34">
        <v>716.8</v>
      </c>
    </row>
    <row r="3085" spans="1:4" hidden="1" x14ac:dyDescent="0.25">
      <c r="A3085" s="4">
        <v>40269</v>
      </c>
      <c r="B3085" s="4" t="s">
        <v>295</v>
      </c>
      <c r="C3085" s="34"/>
      <c r="D3085" s="34">
        <v>600</v>
      </c>
    </row>
    <row r="3086" spans="1:4" hidden="1" x14ac:dyDescent="0.25">
      <c r="A3086" s="4">
        <v>40275</v>
      </c>
      <c r="B3086" s="4" t="s">
        <v>294</v>
      </c>
      <c r="C3086" s="34"/>
      <c r="D3086" s="34">
        <v>301.89</v>
      </c>
    </row>
    <row r="3087" spans="1:4" hidden="1" x14ac:dyDescent="0.25">
      <c r="A3087" s="4">
        <v>40291</v>
      </c>
      <c r="B3087" s="4" t="s">
        <v>9</v>
      </c>
      <c r="C3087" s="34"/>
      <c r="D3087" s="34">
        <v>317.95</v>
      </c>
    </row>
    <row r="3088" spans="1:4" hidden="1" x14ac:dyDescent="0.25">
      <c r="A3088" s="4">
        <v>40295</v>
      </c>
      <c r="B3088" s="4" t="s">
        <v>52</v>
      </c>
      <c r="C3088" s="34"/>
      <c r="D3088" s="34">
        <v>170</v>
      </c>
    </row>
    <row r="3089" spans="1:4" hidden="1" x14ac:dyDescent="0.25">
      <c r="A3089" s="4">
        <v>40359</v>
      </c>
      <c r="B3089" s="4" t="s">
        <v>187</v>
      </c>
      <c r="C3089" s="34"/>
      <c r="D3089" s="34">
        <v>1861.66</v>
      </c>
    </row>
    <row r="3090" spans="1:4" hidden="1" x14ac:dyDescent="0.25">
      <c r="A3090" s="4">
        <v>40025</v>
      </c>
      <c r="B3090" s="4" t="s">
        <v>313</v>
      </c>
      <c r="C3090" s="34"/>
      <c r="D3090" s="34">
        <v>119.91</v>
      </c>
    </row>
    <row r="3091" spans="1:4" hidden="1" x14ac:dyDescent="0.25">
      <c r="A3091" s="4">
        <v>40056</v>
      </c>
      <c r="B3091" s="4" t="s">
        <v>313</v>
      </c>
      <c r="C3091" s="34"/>
      <c r="D3091" s="34">
        <v>120.19</v>
      </c>
    </row>
    <row r="3092" spans="1:4" hidden="1" x14ac:dyDescent="0.25">
      <c r="A3092" s="4">
        <v>40086</v>
      </c>
      <c r="B3092" s="4" t="s">
        <v>313</v>
      </c>
      <c r="C3092" s="34"/>
      <c r="D3092" s="34">
        <v>116.59</v>
      </c>
    </row>
    <row r="3093" spans="1:4" hidden="1" x14ac:dyDescent="0.25">
      <c r="A3093" s="4">
        <v>40116</v>
      </c>
      <c r="B3093" s="4" t="s">
        <v>313</v>
      </c>
      <c r="C3093" s="34"/>
      <c r="D3093" s="34">
        <v>123.22</v>
      </c>
    </row>
    <row r="3094" spans="1:4" hidden="1" x14ac:dyDescent="0.25">
      <c r="A3094" s="4">
        <v>40147</v>
      </c>
      <c r="B3094" s="4" t="s">
        <v>313</v>
      </c>
      <c r="C3094" s="34"/>
      <c r="D3094" s="34">
        <v>140.55000000000001</v>
      </c>
    </row>
    <row r="3095" spans="1:4" hidden="1" x14ac:dyDescent="0.25">
      <c r="A3095" s="4">
        <v>40178</v>
      </c>
      <c r="B3095" s="4" t="s">
        <v>313</v>
      </c>
      <c r="C3095" s="34"/>
      <c r="D3095" s="34">
        <v>153.03</v>
      </c>
    </row>
    <row r="3096" spans="1:4" hidden="1" x14ac:dyDescent="0.25">
      <c r="A3096" s="4">
        <v>40207</v>
      </c>
      <c r="B3096" s="4" t="s">
        <v>313</v>
      </c>
      <c r="C3096" s="34"/>
      <c r="D3096" s="34">
        <v>144.91999999999999</v>
      </c>
    </row>
    <row r="3097" spans="1:4" hidden="1" x14ac:dyDescent="0.25">
      <c r="A3097" s="4">
        <v>40235</v>
      </c>
      <c r="B3097" s="4" t="s">
        <v>313</v>
      </c>
      <c r="C3097" s="34"/>
      <c r="D3097" s="34">
        <v>140.31</v>
      </c>
    </row>
    <row r="3098" spans="1:4" hidden="1" x14ac:dyDescent="0.25">
      <c r="A3098" s="4">
        <v>40268</v>
      </c>
      <c r="B3098" s="4" t="s">
        <v>313</v>
      </c>
      <c r="C3098" s="34"/>
      <c r="D3098" s="34">
        <v>72.86</v>
      </c>
    </row>
    <row r="3099" spans="1:4" hidden="1" x14ac:dyDescent="0.25">
      <c r="A3099" s="4">
        <v>40298</v>
      </c>
      <c r="B3099" s="4" t="s">
        <v>313</v>
      </c>
      <c r="C3099" s="34"/>
      <c r="D3099" s="34">
        <v>0.24</v>
      </c>
    </row>
    <row r="3100" spans="1:4" hidden="1" x14ac:dyDescent="0.25">
      <c r="A3100" s="4">
        <v>40329</v>
      </c>
      <c r="B3100" s="4" t="s">
        <v>313</v>
      </c>
      <c r="C3100" s="34"/>
      <c r="D3100" s="34">
        <v>0.26</v>
      </c>
    </row>
    <row r="3101" spans="1:4" hidden="1" x14ac:dyDescent="0.25">
      <c r="A3101" s="4">
        <v>40359</v>
      </c>
      <c r="B3101" s="4" t="s">
        <v>313</v>
      </c>
      <c r="C3101" s="34"/>
      <c r="D3101" s="34">
        <v>0.26</v>
      </c>
    </row>
    <row r="3102" spans="1:4" hidden="1" x14ac:dyDescent="0.25">
      <c r="A3102" s="4">
        <v>40053</v>
      </c>
      <c r="B3102" s="4" t="s">
        <v>306</v>
      </c>
      <c r="C3102" s="34"/>
      <c r="D3102" s="34">
        <v>226.27</v>
      </c>
    </row>
    <row r="3103" spans="1:4" hidden="1" x14ac:dyDescent="0.25">
      <c r="A3103" s="4">
        <v>40215</v>
      </c>
      <c r="B3103" s="4" t="s">
        <v>306</v>
      </c>
      <c r="C3103" s="34"/>
      <c r="D3103" s="34">
        <v>253.68</v>
      </c>
    </row>
    <row r="3104" spans="1:4" hidden="1" x14ac:dyDescent="0.25">
      <c r="A3104" s="4">
        <v>40087</v>
      </c>
      <c r="B3104" s="4" t="s">
        <v>283</v>
      </c>
      <c r="C3104" s="34"/>
      <c r="D3104" s="34">
        <v>553.79999999999995</v>
      </c>
    </row>
    <row r="3105" spans="1:4" hidden="1" x14ac:dyDescent="0.25">
      <c r="A3105" s="4">
        <v>40268</v>
      </c>
      <c r="B3105" s="4" t="s">
        <v>283</v>
      </c>
      <c r="C3105" s="34"/>
      <c r="D3105" s="34">
        <v>519.75</v>
      </c>
    </row>
    <row r="3106" spans="1:4" hidden="1" x14ac:dyDescent="0.25">
      <c r="A3106" s="4">
        <v>40091</v>
      </c>
      <c r="B3106" s="4" t="s">
        <v>307</v>
      </c>
      <c r="C3106" s="34"/>
      <c r="D3106" s="34">
        <v>286.55</v>
      </c>
    </row>
    <row r="3107" spans="1:4" hidden="1" x14ac:dyDescent="0.25">
      <c r="A3107" s="4">
        <v>40268</v>
      </c>
      <c r="B3107" s="4" t="s">
        <v>307</v>
      </c>
      <c r="C3107" s="34"/>
      <c r="D3107" s="34">
        <v>314.05</v>
      </c>
    </row>
    <row r="3108" spans="1:4" hidden="1" x14ac:dyDescent="0.25">
      <c r="A3108" s="4">
        <v>40359</v>
      </c>
      <c r="B3108" s="4" t="s">
        <v>250</v>
      </c>
      <c r="C3108" s="34"/>
      <c r="D3108" s="34">
        <v>0</v>
      </c>
    </row>
    <row r="3109" spans="1:4" hidden="1" x14ac:dyDescent="0.25">
      <c r="A3109" s="4">
        <v>40359</v>
      </c>
      <c r="B3109" s="4" t="s">
        <v>75</v>
      </c>
      <c r="C3109" s="34"/>
      <c r="D3109" s="34">
        <v>11299.56</v>
      </c>
    </row>
    <row r="3110" spans="1:4" hidden="1" x14ac:dyDescent="0.25">
      <c r="A3110" s="4"/>
      <c r="B3110" s="4"/>
      <c r="C3110" s="34"/>
      <c r="D3110" s="34"/>
    </row>
    <row r="3111" spans="1:4" hidden="1" x14ac:dyDescent="0.25">
      <c r="A3111" s="4">
        <v>40359</v>
      </c>
      <c r="B3111" t="s">
        <v>14</v>
      </c>
      <c r="C3111" s="36">
        <f>SUM(C3065:C3110)</f>
        <v>0</v>
      </c>
      <c r="D3111" s="36">
        <f>SUM(D3065:D3110)</f>
        <v>25502.53</v>
      </c>
    </row>
    <row r="3112" spans="1:4" hidden="1" x14ac:dyDescent="0.25">
      <c r="A3112" s="4"/>
      <c r="B3112" s="4" t="s">
        <v>15</v>
      </c>
      <c r="C3112" s="34" t="str">
        <f>IF(C3111&gt;D3111,C3111-D3111," ")</f>
        <v xml:space="preserve"> </v>
      </c>
      <c r="D3112" s="34">
        <f>IF(D3111&gt;C3111,D3111-C3111," ")</f>
        <v>25502.53</v>
      </c>
    </row>
    <row r="3113" spans="1:4" hidden="1" x14ac:dyDescent="0.25">
      <c r="A3113" s="4">
        <v>40360</v>
      </c>
      <c r="B3113" s="4" t="s">
        <v>347</v>
      </c>
      <c r="C3113" s="34"/>
      <c r="D3113" s="34">
        <v>260</v>
      </c>
    </row>
    <row r="3114" spans="1:4" hidden="1" x14ac:dyDescent="0.25">
      <c r="A3114" s="4">
        <v>40361</v>
      </c>
      <c r="B3114" s="4" t="s">
        <v>346</v>
      </c>
      <c r="C3114" s="34"/>
      <c r="D3114" s="34">
        <v>325</v>
      </c>
    </row>
    <row r="3115" spans="1:4" hidden="1" x14ac:dyDescent="0.25">
      <c r="A3115" s="4">
        <v>40367</v>
      </c>
      <c r="B3115" s="4" t="s">
        <v>348</v>
      </c>
      <c r="C3115" s="34"/>
      <c r="D3115" s="34">
        <v>370</v>
      </c>
    </row>
    <row r="3116" spans="1:4" hidden="1" x14ac:dyDescent="0.25">
      <c r="A3116" s="4">
        <v>40382</v>
      </c>
      <c r="B3116" s="4" t="s">
        <v>349</v>
      </c>
      <c r="C3116" s="34"/>
      <c r="D3116" s="34">
        <v>454.8</v>
      </c>
    </row>
    <row r="3117" spans="1:4" hidden="1" x14ac:dyDescent="0.25">
      <c r="A3117" s="4">
        <v>40389</v>
      </c>
      <c r="B3117" s="4" t="s">
        <v>349</v>
      </c>
      <c r="C3117" s="34"/>
      <c r="D3117" s="34">
        <v>25.69</v>
      </c>
    </row>
    <row r="3118" spans="1:4" hidden="1" x14ac:dyDescent="0.25">
      <c r="A3118" s="4">
        <v>40408</v>
      </c>
      <c r="B3118" s="4" t="s">
        <v>351</v>
      </c>
      <c r="C3118" s="34"/>
      <c r="D3118" s="34">
        <v>69.87</v>
      </c>
    </row>
    <row r="3119" spans="1:4" hidden="1" x14ac:dyDescent="0.25">
      <c r="A3119" s="4">
        <v>40421</v>
      </c>
      <c r="B3119" s="4" t="s">
        <v>352</v>
      </c>
      <c r="C3119" s="34"/>
      <c r="D3119" s="34">
        <v>479.36</v>
      </c>
    </row>
    <row r="3120" spans="1:4" hidden="1" x14ac:dyDescent="0.25">
      <c r="A3120" s="4">
        <v>40421</v>
      </c>
      <c r="B3120" s="4" t="s">
        <v>349</v>
      </c>
      <c r="C3120" s="34"/>
      <c r="D3120" s="34">
        <v>196.41</v>
      </c>
    </row>
    <row r="3121" spans="1:4" hidden="1" x14ac:dyDescent="0.25">
      <c r="A3121" s="4">
        <v>40443</v>
      </c>
      <c r="B3121" s="4" t="s">
        <v>353</v>
      </c>
      <c r="C3121" s="34"/>
      <c r="D3121" s="34">
        <v>310</v>
      </c>
    </row>
    <row r="3122" spans="1:4" hidden="1" x14ac:dyDescent="0.25">
      <c r="A3122" s="4">
        <v>40444</v>
      </c>
      <c r="B3122" s="4" t="s">
        <v>354</v>
      </c>
      <c r="C3122" s="34"/>
      <c r="D3122" s="34">
        <v>56</v>
      </c>
    </row>
    <row r="3123" spans="1:4" hidden="1" x14ac:dyDescent="0.25">
      <c r="A3123" s="4">
        <v>40445</v>
      </c>
      <c r="B3123" s="4" t="s">
        <v>355</v>
      </c>
      <c r="C3123" s="34"/>
      <c r="D3123" s="34">
        <v>716.8</v>
      </c>
    </row>
    <row r="3124" spans="1:4" hidden="1" x14ac:dyDescent="0.25">
      <c r="A3124" s="4">
        <v>40451</v>
      </c>
      <c r="B3124" s="4" t="s">
        <v>356</v>
      </c>
      <c r="C3124" s="34"/>
      <c r="D3124" s="34">
        <v>243.25</v>
      </c>
    </row>
    <row r="3125" spans="1:4" hidden="1" x14ac:dyDescent="0.25">
      <c r="A3125" s="4">
        <v>40451</v>
      </c>
      <c r="B3125" s="4" t="s">
        <v>357</v>
      </c>
      <c r="C3125" s="34"/>
      <c r="D3125" s="34">
        <v>312.3</v>
      </c>
    </row>
    <row r="3126" spans="1:4" hidden="1" x14ac:dyDescent="0.25">
      <c r="A3126" s="4">
        <v>40451</v>
      </c>
      <c r="B3126" s="4" t="s">
        <v>349</v>
      </c>
      <c r="C3126" s="34"/>
      <c r="D3126" s="34">
        <v>193.07</v>
      </c>
    </row>
    <row r="3127" spans="1:4" hidden="1" x14ac:dyDescent="0.25">
      <c r="A3127" s="4">
        <v>40452</v>
      </c>
      <c r="B3127" s="4" t="s">
        <v>358</v>
      </c>
      <c r="C3127" s="34"/>
      <c r="D3127" s="34">
        <v>850</v>
      </c>
    </row>
    <row r="3128" spans="1:4" hidden="1" x14ac:dyDescent="0.25">
      <c r="A3128" s="4">
        <v>40458</v>
      </c>
      <c r="B3128" s="4" t="s">
        <v>359</v>
      </c>
      <c r="C3128" s="34"/>
      <c r="D3128" s="34">
        <v>200.88</v>
      </c>
    </row>
    <row r="3129" spans="1:4" hidden="1" x14ac:dyDescent="0.25">
      <c r="A3129" s="4">
        <v>40480</v>
      </c>
      <c r="B3129" s="4" t="s">
        <v>349</v>
      </c>
      <c r="C3129" s="34"/>
      <c r="D3129" s="34">
        <v>209.91</v>
      </c>
    </row>
    <row r="3130" spans="1:4" hidden="1" x14ac:dyDescent="0.25">
      <c r="A3130" s="4">
        <v>40484</v>
      </c>
      <c r="B3130" s="4" t="s">
        <v>361</v>
      </c>
      <c r="C3130" s="34"/>
      <c r="D3130" s="34">
        <v>180</v>
      </c>
    </row>
    <row r="3131" spans="1:4" hidden="1" x14ac:dyDescent="0.25">
      <c r="A3131" s="4">
        <v>40512</v>
      </c>
      <c r="B3131" s="4" t="s">
        <v>349</v>
      </c>
      <c r="C3131" s="34"/>
      <c r="D3131" s="34">
        <v>221.57</v>
      </c>
    </row>
    <row r="3132" spans="1:4" hidden="1" x14ac:dyDescent="0.25">
      <c r="A3132" s="4">
        <v>40529</v>
      </c>
      <c r="B3132" s="4" t="s">
        <v>347</v>
      </c>
      <c r="C3132" s="34"/>
      <c r="D3132" s="34">
        <v>370</v>
      </c>
    </row>
    <row r="3133" spans="1:4" hidden="1" x14ac:dyDescent="0.25">
      <c r="A3133" s="4">
        <v>40529</v>
      </c>
      <c r="B3133" s="4" t="s">
        <v>348</v>
      </c>
      <c r="C3133" s="34"/>
      <c r="D3133" s="34">
        <v>390</v>
      </c>
    </row>
    <row r="3134" spans="1:4" hidden="1" x14ac:dyDescent="0.25">
      <c r="A3134" s="4">
        <v>40532</v>
      </c>
      <c r="B3134" s="4" t="s">
        <v>346</v>
      </c>
      <c r="C3134" s="34"/>
      <c r="D3134" s="34">
        <v>370</v>
      </c>
    </row>
    <row r="3135" spans="1:4" hidden="1" x14ac:dyDescent="0.25">
      <c r="A3135" s="4">
        <v>40543</v>
      </c>
      <c r="B3135" s="4" t="s">
        <v>349</v>
      </c>
      <c r="C3135" s="34"/>
      <c r="D3135" s="34">
        <v>291.39</v>
      </c>
    </row>
    <row r="3136" spans="1:4" hidden="1" x14ac:dyDescent="0.25">
      <c r="A3136" s="4">
        <v>40574</v>
      </c>
      <c r="B3136" s="4" t="s">
        <v>349</v>
      </c>
      <c r="C3136" s="34"/>
      <c r="D3136" s="34">
        <v>258.72000000000003</v>
      </c>
    </row>
    <row r="3137" spans="1:4" hidden="1" x14ac:dyDescent="0.25">
      <c r="A3137" s="4">
        <v>40602</v>
      </c>
      <c r="B3137" s="4" t="s">
        <v>363</v>
      </c>
      <c r="C3137" s="34"/>
      <c r="D3137" s="34">
        <v>6.59</v>
      </c>
    </row>
    <row r="3138" spans="1:4" hidden="1" x14ac:dyDescent="0.25">
      <c r="A3138" s="4">
        <v>40602</v>
      </c>
      <c r="B3138" s="4" t="s">
        <v>352</v>
      </c>
      <c r="C3138" s="34"/>
      <c r="D3138" s="34">
        <v>472.76</v>
      </c>
    </row>
    <row r="3139" spans="1:4" hidden="1" x14ac:dyDescent="0.25">
      <c r="A3139" s="4">
        <v>40602</v>
      </c>
      <c r="B3139" s="4" t="s">
        <v>349</v>
      </c>
      <c r="C3139" s="34"/>
      <c r="D3139" s="34">
        <v>268.49</v>
      </c>
    </row>
    <row r="3140" spans="1:4" hidden="1" x14ac:dyDescent="0.25">
      <c r="A3140" s="4">
        <v>40623</v>
      </c>
      <c r="B3140" s="4" t="s">
        <v>354</v>
      </c>
      <c r="C3140" s="34"/>
      <c r="D3140" s="34">
        <v>60</v>
      </c>
    </row>
    <row r="3141" spans="1:4" hidden="1" x14ac:dyDescent="0.25">
      <c r="A3141" s="4">
        <v>40627</v>
      </c>
      <c r="B3141" s="4" t="s">
        <v>355</v>
      </c>
      <c r="C3141" s="34"/>
      <c r="D3141" s="34">
        <v>716.8</v>
      </c>
    </row>
    <row r="3142" spans="1:4" hidden="1" x14ac:dyDescent="0.25">
      <c r="A3142" s="4">
        <v>40633</v>
      </c>
      <c r="B3142" s="4" t="s">
        <v>356</v>
      </c>
      <c r="C3142" s="34"/>
      <c r="D3142" s="34">
        <v>229.68</v>
      </c>
    </row>
    <row r="3143" spans="1:4" hidden="1" x14ac:dyDescent="0.25">
      <c r="A3143" s="4">
        <v>40633</v>
      </c>
      <c r="B3143" s="4" t="s">
        <v>349</v>
      </c>
      <c r="C3143" s="34"/>
      <c r="D3143" s="34">
        <v>306.66000000000003</v>
      </c>
    </row>
    <row r="3144" spans="1:4" hidden="1" x14ac:dyDescent="0.25">
      <c r="A3144" s="4">
        <v>40634</v>
      </c>
      <c r="B3144" s="4" t="s">
        <v>358</v>
      </c>
      <c r="C3144" s="34"/>
      <c r="D3144" s="34">
        <v>660</v>
      </c>
    </row>
    <row r="3145" spans="1:4" hidden="1" x14ac:dyDescent="0.25">
      <c r="A3145" s="4">
        <v>40644</v>
      </c>
      <c r="B3145" s="4" t="s">
        <v>353</v>
      </c>
      <c r="C3145" s="34"/>
      <c r="D3145" s="34">
        <v>330</v>
      </c>
    </row>
    <row r="3146" spans="1:4" hidden="1" x14ac:dyDescent="0.25">
      <c r="A3146" s="4">
        <v>40647</v>
      </c>
      <c r="B3146" s="4" t="s">
        <v>357</v>
      </c>
      <c r="C3146" s="34"/>
      <c r="D3146" s="34">
        <v>301.89</v>
      </c>
    </row>
    <row r="3147" spans="1:4" hidden="1" x14ac:dyDescent="0.25">
      <c r="A3147" s="4">
        <v>40648</v>
      </c>
      <c r="B3147" s="4" t="s">
        <v>361</v>
      </c>
      <c r="C3147" s="34"/>
      <c r="D3147" s="34">
        <v>180</v>
      </c>
    </row>
    <row r="3148" spans="1:4" hidden="1" x14ac:dyDescent="0.25">
      <c r="A3148" s="4">
        <v>40662</v>
      </c>
      <c r="B3148" s="4" t="s">
        <v>349</v>
      </c>
      <c r="C3148" s="34"/>
      <c r="D3148" s="34">
        <v>306.02999999999997</v>
      </c>
    </row>
    <row r="3149" spans="1:4" hidden="1" x14ac:dyDescent="0.25">
      <c r="A3149" s="4">
        <v>40694</v>
      </c>
      <c r="B3149" s="4" t="s">
        <v>349</v>
      </c>
      <c r="C3149" s="34"/>
      <c r="D3149" s="34">
        <v>328.68</v>
      </c>
    </row>
    <row r="3150" spans="1:4" hidden="1" x14ac:dyDescent="0.25">
      <c r="A3150" s="4">
        <v>40708</v>
      </c>
      <c r="B3150" s="4" t="s">
        <v>266</v>
      </c>
      <c r="C3150" s="34"/>
      <c r="D3150" s="34">
        <v>934.9</v>
      </c>
    </row>
    <row r="3151" spans="1:4" hidden="1" x14ac:dyDescent="0.25">
      <c r="A3151" s="4">
        <v>40724</v>
      </c>
      <c r="B3151" s="4" t="s">
        <v>349</v>
      </c>
      <c r="C3151" s="34"/>
      <c r="D3151" s="34">
        <v>303.66000000000003</v>
      </c>
    </row>
    <row r="3152" spans="1:4" hidden="1" x14ac:dyDescent="0.25">
      <c r="A3152" s="4">
        <v>40389</v>
      </c>
      <c r="B3152" s="4" t="s">
        <v>365</v>
      </c>
      <c r="C3152" s="34"/>
      <c r="D3152" s="34">
        <v>0.26</v>
      </c>
    </row>
    <row r="3153" spans="1:4" hidden="1" x14ac:dyDescent="0.25">
      <c r="A3153" s="4">
        <v>41152</v>
      </c>
      <c r="B3153" s="4" t="s">
        <v>365</v>
      </c>
      <c r="C3153" s="34"/>
      <c r="D3153" s="34">
        <v>0.28000000000000003</v>
      </c>
    </row>
    <row r="3154" spans="1:4" hidden="1" x14ac:dyDescent="0.25">
      <c r="A3154" s="4">
        <v>40451</v>
      </c>
      <c r="B3154" s="4" t="s">
        <v>365</v>
      </c>
      <c r="C3154" s="34"/>
      <c r="D3154" s="34">
        <v>0.26</v>
      </c>
    </row>
    <row r="3155" spans="1:4" hidden="1" x14ac:dyDescent="0.25">
      <c r="A3155" s="4">
        <v>40480</v>
      </c>
      <c r="B3155" s="4" t="s">
        <v>365</v>
      </c>
      <c r="C3155" s="34"/>
      <c r="D3155" s="34">
        <v>0.25</v>
      </c>
    </row>
    <row r="3156" spans="1:4" hidden="1" x14ac:dyDescent="0.25">
      <c r="A3156" s="4">
        <v>40512</v>
      </c>
      <c r="B3156" s="4" t="s">
        <v>365</v>
      </c>
      <c r="C3156" s="34"/>
      <c r="D3156" s="34">
        <v>0.28999999999999998</v>
      </c>
    </row>
    <row r="3157" spans="1:4" hidden="1" x14ac:dyDescent="0.25">
      <c r="A3157" s="4">
        <v>40543</v>
      </c>
      <c r="B3157" s="4" t="s">
        <v>365</v>
      </c>
      <c r="C3157" s="34"/>
      <c r="D3157" s="34">
        <v>0.28999999999999998</v>
      </c>
    </row>
    <row r="3158" spans="1:4" hidden="1" x14ac:dyDescent="0.25">
      <c r="A3158" s="4">
        <v>40574</v>
      </c>
      <c r="B3158" s="4" t="s">
        <v>365</v>
      </c>
      <c r="C3158" s="34"/>
      <c r="D3158" s="34">
        <v>0.3</v>
      </c>
    </row>
    <row r="3159" spans="1:4" hidden="1" x14ac:dyDescent="0.25">
      <c r="A3159" s="4">
        <v>40602</v>
      </c>
      <c r="B3159" s="4" t="s">
        <v>365</v>
      </c>
      <c r="C3159" s="34"/>
      <c r="D3159" s="34">
        <v>0.27</v>
      </c>
    </row>
    <row r="3160" spans="1:4" hidden="1" x14ac:dyDescent="0.25">
      <c r="A3160" s="4">
        <v>40633</v>
      </c>
      <c r="B3160" s="4" t="s">
        <v>365</v>
      </c>
      <c r="C3160" s="34"/>
      <c r="D3160" s="34">
        <v>0.31</v>
      </c>
    </row>
    <row r="3161" spans="1:4" hidden="1" x14ac:dyDescent="0.25">
      <c r="A3161" s="4">
        <v>40662</v>
      </c>
      <c r="B3161" s="4" t="s">
        <v>365</v>
      </c>
      <c r="C3161" s="34"/>
      <c r="D3161" s="34">
        <v>0.28999999999999998</v>
      </c>
    </row>
    <row r="3162" spans="1:4" hidden="1" x14ac:dyDescent="0.25">
      <c r="A3162" s="4">
        <v>40694</v>
      </c>
      <c r="B3162" s="4" t="s">
        <v>365</v>
      </c>
      <c r="C3162" s="34"/>
      <c r="D3162" s="34">
        <v>0.32</v>
      </c>
    </row>
    <row r="3163" spans="1:4" hidden="1" x14ac:dyDescent="0.25">
      <c r="A3163" s="4">
        <v>40724</v>
      </c>
      <c r="B3163" s="4" t="s">
        <v>365</v>
      </c>
      <c r="C3163" s="34"/>
      <c r="D3163" s="34">
        <v>0.3</v>
      </c>
    </row>
    <row r="3164" spans="1:4" hidden="1" x14ac:dyDescent="0.25">
      <c r="A3164" s="4">
        <v>40417</v>
      </c>
      <c r="B3164" s="4" t="s">
        <v>306</v>
      </c>
      <c r="C3164" s="34"/>
      <c r="D3164" s="34">
        <v>259.32</v>
      </c>
    </row>
    <row r="3165" spans="1:4" hidden="1" x14ac:dyDescent="0.25">
      <c r="A3165" s="4">
        <v>40589</v>
      </c>
      <c r="B3165" s="4" t="s">
        <v>306</v>
      </c>
      <c r="C3165" s="34"/>
      <c r="D3165" s="34">
        <v>288.86</v>
      </c>
    </row>
    <row r="3166" spans="1:4" hidden="1" x14ac:dyDescent="0.25">
      <c r="A3166" s="4">
        <v>40451</v>
      </c>
      <c r="B3166" s="4" t="s">
        <v>283</v>
      </c>
      <c r="C3166" s="34"/>
      <c r="D3166" s="34">
        <v>288.3</v>
      </c>
    </row>
    <row r="3167" spans="1:4" hidden="1" x14ac:dyDescent="0.25">
      <c r="A3167" s="4">
        <v>40633</v>
      </c>
      <c r="B3167" s="4" t="s">
        <v>283</v>
      </c>
      <c r="C3167" s="34"/>
      <c r="D3167" s="34">
        <v>273.27999999999997</v>
      </c>
    </row>
    <row r="3168" spans="1:4" hidden="1" x14ac:dyDescent="0.25">
      <c r="A3168" s="4">
        <v>40444</v>
      </c>
      <c r="B3168" s="4" t="s">
        <v>307</v>
      </c>
      <c r="C3168" s="34"/>
      <c r="D3168" s="34">
        <v>325.67</v>
      </c>
    </row>
    <row r="3169" spans="1:4" hidden="1" x14ac:dyDescent="0.25">
      <c r="A3169" s="4">
        <v>40639</v>
      </c>
      <c r="B3169" s="4" t="s">
        <v>307</v>
      </c>
      <c r="C3169" s="34"/>
      <c r="D3169" s="34">
        <v>318.82</v>
      </c>
    </row>
    <row r="3170" spans="1:4" hidden="1" x14ac:dyDescent="0.25">
      <c r="A3170" s="4">
        <v>40724</v>
      </c>
      <c r="B3170" s="4" t="s">
        <v>250</v>
      </c>
      <c r="C3170" s="34"/>
      <c r="D3170" s="34">
        <v>3353.76</v>
      </c>
    </row>
    <row r="3171" spans="1:4" hidden="1" x14ac:dyDescent="0.25">
      <c r="A3171" s="4">
        <v>40724</v>
      </c>
      <c r="B3171" s="4" t="s">
        <v>75</v>
      </c>
      <c r="C3171" s="34"/>
      <c r="D3171" s="34">
        <v>14300.02</v>
      </c>
    </row>
    <row r="3172" spans="1:4" hidden="1" x14ac:dyDescent="0.25">
      <c r="A3172" s="4"/>
      <c r="B3172" s="4"/>
      <c r="C3172" s="34"/>
      <c r="D3172" s="34"/>
    </row>
    <row r="3173" spans="1:4" hidden="1" x14ac:dyDescent="0.25">
      <c r="A3173" s="4">
        <v>40724</v>
      </c>
      <c r="B3173" t="s">
        <v>14</v>
      </c>
      <c r="C3173" s="36">
        <f>SUM(C3113:C3172)</f>
        <v>0</v>
      </c>
      <c r="D3173" s="36">
        <f>SUM(D3113:D3172)</f>
        <v>32172.610000000004</v>
      </c>
    </row>
    <row r="3174" spans="1:4" hidden="1" x14ac:dyDescent="0.25">
      <c r="A3174" s="4"/>
      <c r="B3174" s="4" t="s">
        <v>15</v>
      </c>
      <c r="C3174" s="34" t="str">
        <f>IF(C3173&gt;D3173,C3173-D3173," ")</f>
        <v xml:space="preserve"> </v>
      </c>
      <c r="D3174" s="34">
        <f>IF(D3173&gt;C3173,D3173-C3173," ")</f>
        <v>32172.610000000004</v>
      </c>
    </row>
    <row r="3175" spans="1:4" hidden="1" x14ac:dyDescent="0.25">
      <c r="A3175" s="4">
        <v>40725</v>
      </c>
      <c r="B3175" s="4" t="s">
        <v>368</v>
      </c>
      <c r="C3175" s="34"/>
      <c r="D3175" s="34">
        <v>320</v>
      </c>
    </row>
    <row r="3176" spans="1:4" hidden="1" x14ac:dyDescent="0.25">
      <c r="A3176" s="4">
        <v>40728</v>
      </c>
      <c r="B3176" s="4" t="s">
        <v>369</v>
      </c>
      <c r="C3176" s="34"/>
      <c r="D3176" s="34">
        <v>380</v>
      </c>
    </row>
    <row r="3177" spans="1:4" hidden="1" x14ac:dyDescent="0.25">
      <c r="A3177" s="4">
        <v>40730</v>
      </c>
      <c r="B3177" s="4" t="s">
        <v>370</v>
      </c>
      <c r="C3177" s="34"/>
      <c r="D3177" s="34">
        <v>420</v>
      </c>
    </row>
    <row r="3178" spans="1:4" hidden="1" x14ac:dyDescent="0.25">
      <c r="A3178" s="4">
        <v>40753</v>
      </c>
      <c r="B3178" s="4" t="s">
        <v>372</v>
      </c>
      <c r="C3178" s="34"/>
      <c r="D3178" s="34">
        <v>319.75</v>
      </c>
    </row>
    <row r="3179" spans="1:4" hidden="1" x14ac:dyDescent="0.25">
      <c r="A3179" s="4">
        <v>40786</v>
      </c>
      <c r="B3179" s="4" t="s">
        <v>372</v>
      </c>
      <c r="C3179" s="34"/>
      <c r="D3179" s="34">
        <v>330.67</v>
      </c>
    </row>
    <row r="3180" spans="1:4" hidden="1" x14ac:dyDescent="0.25">
      <c r="A3180" s="4">
        <v>40786</v>
      </c>
      <c r="B3180" s="4" t="s">
        <v>375</v>
      </c>
      <c r="C3180" s="34"/>
      <c r="D3180" s="34">
        <v>121.33</v>
      </c>
    </row>
    <row r="3181" spans="1:4" hidden="1" x14ac:dyDescent="0.25">
      <c r="A3181" s="4">
        <v>40786</v>
      </c>
      <c r="B3181" s="4" t="s">
        <v>376</v>
      </c>
      <c r="C3181" s="34"/>
      <c r="D3181" s="34">
        <v>362.51</v>
      </c>
    </row>
    <row r="3182" spans="1:4" hidden="1" x14ac:dyDescent="0.25">
      <c r="A3182" s="4">
        <v>40809</v>
      </c>
      <c r="B3182" s="4" t="s">
        <v>377</v>
      </c>
      <c r="C3182" s="34"/>
      <c r="D3182" s="34">
        <v>716.8</v>
      </c>
    </row>
    <row r="3183" spans="1:4" hidden="1" x14ac:dyDescent="0.25">
      <c r="A3183" s="4">
        <v>40809</v>
      </c>
      <c r="B3183" s="4" t="s">
        <v>378</v>
      </c>
      <c r="C3183" s="34"/>
      <c r="D3183" s="34">
        <v>310</v>
      </c>
    </row>
    <row r="3184" spans="1:4" hidden="1" x14ac:dyDescent="0.25">
      <c r="A3184" s="4">
        <v>40813</v>
      </c>
      <c r="B3184" s="4" t="s">
        <v>379</v>
      </c>
      <c r="C3184" s="34"/>
      <c r="D3184" s="34">
        <v>60</v>
      </c>
    </row>
    <row r="3185" spans="1:4" hidden="1" x14ac:dyDescent="0.25">
      <c r="A3185" s="4">
        <v>40815</v>
      </c>
      <c r="B3185" s="4" t="s">
        <v>380</v>
      </c>
      <c r="C3185" s="34"/>
      <c r="D3185" s="34">
        <v>260.05</v>
      </c>
    </row>
    <row r="3186" spans="1:4" hidden="1" x14ac:dyDescent="0.25">
      <c r="A3186" s="4">
        <v>40815</v>
      </c>
      <c r="B3186" s="4" t="s">
        <v>381</v>
      </c>
      <c r="C3186" s="34"/>
      <c r="D3186" s="34">
        <v>322.70999999999998</v>
      </c>
    </row>
    <row r="3187" spans="1:4" hidden="1" x14ac:dyDescent="0.25">
      <c r="A3187" s="4">
        <v>40816</v>
      </c>
      <c r="B3187" s="4" t="s">
        <v>372</v>
      </c>
      <c r="C3187" s="34"/>
      <c r="D3187" s="34">
        <v>330.29</v>
      </c>
    </row>
    <row r="3188" spans="1:4" hidden="1" x14ac:dyDescent="0.25">
      <c r="A3188" s="4">
        <v>40822</v>
      </c>
      <c r="B3188" s="4" t="s">
        <v>383</v>
      </c>
      <c r="C3188" s="34"/>
      <c r="D3188" s="34">
        <v>200.88</v>
      </c>
    </row>
    <row r="3189" spans="1:4" hidden="1" x14ac:dyDescent="0.25">
      <c r="A3189" s="4">
        <v>40822</v>
      </c>
      <c r="B3189" s="4" t="s">
        <v>384</v>
      </c>
      <c r="C3189" s="34"/>
      <c r="D3189" s="34">
        <v>940</v>
      </c>
    </row>
    <row r="3190" spans="1:4" hidden="1" x14ac:dyDescent="0.25">
      <c r="A3190" s="4">
        <v>40830</v>
      </c>
      <c r="B3190" s="4" t="s">
        <v>385</v>
      </c>
      <c r="C3190" s="34"/>
      <c r="D3190" s="34">
        <v>180</v>
      </c>
    </row>
    <row r="3191" spans="1:4" hidden="1" x14ac:dyDescent="0.25">
      <c r="A3191" s="4">
        <v>40847</v>
      </c>
      <c r="B3191" s="4" t="s">
        <v>372</v>
      </c>
      <c r="C3191" s="34"/>
      <c r="D3191" s="34">
        <v>351.81</v>
      </c>
    </row>
    <row r="3192" spans="1:4" hidden="1" x14ac:dyDescent="0.25">
      <c r="A3192" s="4">
        <v>40877</v>
      </c>
      <c r="B3192" s="4" t="s">
        <v>372</v>
      </c>
      <c r="C3192" s="34"/>
      <c r="D3192" s="34">
        <v>335.18</v>
      </c>
    </row>
    <row r="3193" spans="1:4" hidden="1" x14ac:dyDescent="0.25">
      <c r="A3193" s="4">
        <v>40893</v>
      </c>
      <c r="B3193" s="4" t="s">
        <v>389</v>
      </c>
      <c r="C3193" s="34"/>
      <c r="D3193" s="34">
        <v>380</v>
      </c>
    </row>
    <row r="3194" spans="1:4" hidden="1" x14ac:dyDescent="0.25">
      <c r="A3194" s="4">
        <v>40896</v>
      </c>
      <c r="B3194" s="4" t="s">
        <v>390</v>
      </c>
      <c r="C3194" s="34"/>
      <c r="D3194" s="34">
        <v>400</v>
      </c>
    </row>
    <row r="3195" spans="1:4" hidden="1" x14ac:dyDescent="0.25">
      <c r="A3195" s="4">
        <v>40896</v>
      </c>
      <c r="B3195" s="4" t="s">
        <v>391</v>
      </c>
      <c r="C3195" s="34"/>
      <c r="D3195" s="34">
        <v>440</v>
      </c>
    </row>
    <row r="3196" spans="1:4" hidden="1" x14ac:dyDescent="0.25">
      <c r="A3196" s="4">
        <v>40907</v>
      </c>
      <c r="B3196" s="4" t="s">
        <v>372</v>
      </c>
      <c r="C3196" s="34"/>
      <c r="D3196" s="34">
        <v>339.08</v>
      </c>
    </row>
    <row r="3197" spans="1:4" hidden="1" x14ac:dyDescent="0.25">
      <c r="A3197" s="4">
        <v>40939</v>
      </c>
      <c r="B3197" s="4" t="s">
        <v>372</v>
      </c>
      <c r="C3197" s="34"/>
      <c r="D3197" s="34">
        <v>336.41</v>
      </c>
    </row>
    <row r="3198" spans="1:4" hidden="1" x14ac:dyDescent="0.25">
      <c r="A3198" s="4">
        <v>40968</v>
      </c>
      <c r="B3198" s="4" t="s">
        <v>372</v>
      </c>
      <c r="C3198" s="34"/>
      <c r="D3198" s="34">
        <v>323.94</v>
      </c>
    </row>
    <row r="3199" spans="1:4" hidden="1" x14ac:dyDescent="0.25">
      <c r="A3199" s="4">
        <v>40968</v>
      </c>
      <c r="B3199" s="4" t="s">
        <v>393</v>
      </c>
      <c r="C3199" s="34"/>
      <c r="D3199" s="34">
        <v>125.82</v>
      </c>
    </row>
    <row r="3200" spans="1:4" hidden="1" x14ac:dyDescent="0.25">
      <c r="A3200" s="4">
        <v>40968</v>
      </c>
      <c r="B3200" s="4" t="s">
        <v>394</v>
      </c>
      <c r="C3200" s="34"/>
      <c r="D3200" s="34">
        <v>362.51</v>
      </c>
    </row>
    <row r="3201" spans="1:4" hidden="1" x14ac:dyDescent="0.25">
      <c r="A3201" s="4">
        <v>40989</v>
      </c>
      <c r="B3201" s="4" t="s">
        <v>397</v>
      </c>
      <c r="C3201" s="34"/>
      <c r="D3201" s="34">
        <v>80</v>
      </c>
    </row>
    <row r="3202" spans="1:4" hidden="1" x14ac:dyDescent="0.25">
      <c r="A3202" s="4">
        <v>40990</v>
      </c>
      <c r="B3202" s="4" t="s">
        <v>398</v>
      </c>
      <c r="C3202" s="34"/>
      <c r="D3202" s="34">
        <v>255.36</v>
      </c>
    </row>
    <row r="3203" spans="1:4" hidden="1" x14ac:dyDescent="0.25">
      <c r="A3203" s="4">
        <v>40991</v>
      </c>
      <c r="B3203" s="4" t="s">
        <v>399</v>
      </c>
      <c r="C3203" s="34"/>
      <c r="D3203" s="34">
        <v>716.8</v>
      </c>
    </row>
    <row r="3204" spans="1:4" hidden="1" x14ac:dyDescent="0.25">
      <c r="A3204" s="4">
        <v>40998</v>
      </c>
      <c r="B3204" s="4" t="s">
        <v>372</v>
      </c>
      <c r="C3204" s="34"/>
      <c r="D3204" s="34">
        <v>324.67</v>
      </c>
    </row>
    <row r="3205" spans="1:4" hidden="1" x14ac:dyDescent="0.25">
      <c r="A3205" s="4">
        <v>40998</v>
      </c>
      <c r="B3205" s="4" t="s">
        <v>400</v>
      </c>
      <c r="C3205" s="34"/>
      <c r="D3205" s="34">
        <v>125</v>
      </c>
    </row>
    <row r="3206" spans="1:4" hidden="1" x14ac:dyDescent="0.25">
      <c r="A3206" s="4">
        <v>41004</v>
      </c>
      <c r="B3206" s="4" t="s">
        <v>402</v>
      </c>
      <c r="C3206" s="34"/>
      <c r="D3206" s="34">
        <v>301.89</v>
      </c>
    </row>
    <row r="3207" spans="1:4" hidden="1" x14ac:dyDescent="0.25">
      <c r="A3207" s="4">
        <v>41004</v>
      </c>
      <c r="B3207" s="4" t="s">
        <v>403</v>
      </c>
      <c r="C3207" s="34"/>
      <c r="D3207" s="34">
        <v>685</v>
      </c>
    </row>
    <row r="3208" spans="1:4" hidden="1" x14ac:dyDescent="0.25">
      <c r="A3208" s="4">
        <v>41012</v>
      </c>
      <c r="B3208" s="4" t="s">
        <v>385</v>
      </c>
      <c r="C3208" s="34"/>
      <c r="D3208" s="34">
        <v>180</v>
      </c>
    </row>
    <row r="3209" spans="1:4" hidden="1" x14ac:dyDescent="0.25">
      <c r="A3209" s="4">
        <v>41029</v>
      </c>
      <c r="B3209" s="4" t="s">
        <v>372</v>
      </c>
      <c r="C3209" s="34"/>
      <c r="D3209" s="34">
        <v>324.5</v>
      </c>
    </row>
    <row r="3210" spans="1:4" hidden="1" x14ac:dyDescent="0.25">
      <c r="A3210" s="4">
        <v>41060</v>
      </c>
      <c r="B3210" s="4" t="s">
        <v>372</v>
      </c>
      <c r="C3210" s="34"/>
      <c r="D3210" s="34">
        <v>262.37</v>
      </c>
    </row>
    <row r="3211" spans="1:4" hidden="1" x14ac:dyDescent="0.25">
      <c r="A3211" s="4">
        <v>41089</v>
      </c>
      <c r="B3211" s="4" t="s">
        <v>372</v>
      </c>
      <c r="C3211" s="34"/>
      <c r="D3211" s="34">
        <v>224.63</v>
      </c>
    </row>
    <row r="3212" spans="1:4" hidden="1" x14ac:dyDescent="0.25">
      <c r="A3212" s="4">
        <v>40753</v>
      </c>
      <c r="B3212" s="4" t="s">
        <v>365</v>
      </c>
      <c r="C3212" s="34"/>
      <c r="D3212" s="34">
        <v>0.28999999999999998</v>
      </c>
    </row>
    <row r="3213" spans="1:4" hidden="1" x14ac:dyDescent="0.25">
      <c r="A3213" s="4">
        <v>40786</v>
      </c>
      <c r="B3213" s="4" t="s">
        <v>365</v>
      </c>
      <c r="C3213" s="34"/>
      <c r="D3213" s="34">
        <v>0.33</v>
      </c>
    </row>
    <row r="3214" spans="1:4" hidden="1" x14ac:dyDescent="0.25">
      <c r="A3214" s="4">
        <v>40816</v>
      </c>
      <c r="B3214" s="4" t="s">
        <v>365</v>
      </c>
      <c r="C3214" s="34"/>
      <c r="D3214" s="34">
        <v>0.3</v>
      </c>
    </row>
    <row r="3215" spans="1:4" hidden="1" x14ac:dyDescent="0.25">
      <c r="A3215" s="4">
        <v>40847</v>
      </c>
      <c r="B3215" s="4" t="s">
        <v>365</v>
      </c>
      <c r="C3215" s="34"/>
      <c r="D3215" s="34">
        <v>0.31</v>
      </c>
    </row>
    <row r="3216" spans="1:4" hidden="1" x14ac:dyDescent="0.25">
      <c r="A3216" s="4">
        <v>40877</v>
      </c>
      <c r="B3216" s="4" t="s">
        <v>365</v>
      </c>
      <c r="C3216" s="34"/>
      <c r="D3216" s="34">
        <v>0.28999999999999998</v>
      </c>
    </row>
    <row r="3217" spans="1:4" hidden="1" x14ac:dyDescent="0.25">
      <c r="A3217" s="4">
        <v>40908</v>
      </c>
      <c r="B3217" s="4" t="s">
        <v>365</v>
      </c>
      <c r="C3217" s="34"/>
      <c r="D3217" s="34">
        <v>0.28000000000000003</v>
      </c>
    </row>
    <row r="3218" spans="1:4" hidden="1" x14ac:dyDescent="0.25">
      <c r="A3218" s="4">
        <v>40939</v>
      </c>
      <c r="B3218" s="4" t="s">
        <v>365</v>
      </c>
      <c r="C3218" s="34"/>
      <c r="D3218" s="34">
        <v>0.28000000000000003</v>
      </c>
    </row>
    <row r="3219" spans="1:4" hidden="1" x14ac:dyDescent="0.25">
      <c r="A3219" s="4">
        <v>40968</v>
      </c>
      <c r="B3219" s="4" t="s">
        <v>365</v>
      </c>
      <c r="C3219" s="34"/>
      <c r="D3219" s="34">
        <v>0.26</v>
      </c>
    </row>
    <row r="3220" spans="1:4" hidden="1" x14ac:dyDescent="0.25">
      <c r="A3220" s="4">
        <v>40999</v>
      </c>
      <c r="B3220" s="4" t="s">
        <v>365</v>
      </c>
      <c r="C3220" s="34"/>
      <c r="D3220" s="34">
        <v>0.27</v>
      </c>
    </row>
    <row r="3221" spans="1:4" hidden="1" x14ac:dyDescent="0.25">
      <c r="A3221" s="4">
        <v>41029</v>
      </c>
      <c r="B3221" s="4" t="s">
        <v>365</v>
      </c>
      <c r="C3221" s="34"/>
      <c r="D3221" s="34">
        <v>0.28000000000000003</v>
      </c>
    </row>
    <row r="3222" spans="1:4" hidden="1" x14ac:dyDescent="0.25">
      <c r="A3222" s="4">
        <v>41060</v>
      </c>
      <c r="B3222" s="4" t="s">
        <v>365</v>
      </c>
      <c r="C3222" s="34"/>
      <c r="D3222" s="34">
        <v>0.25</v>
      </c>
    </row>
    <row r="3223" spans="1:4" hidden="1" x14ac:dyDescent="0.25">
      <c r="A3223" s="4">
        <v>41089</v>
      </c>
      <c r="B3223" s="4" t="s">
        <v>365</v>
      </c>
      <c r="C3223" s="34"/>
      <c r="D3223" s="34">
        <v>0.23</v>
      </c>
    </row>
    <row r="3224" spans="1:4" hidden="1" x14ac:dyDescent="0.25">
      <c r="A3224" s="4">
        <v>40766</v>
      </c>
      <c r="B3224" s="4" t="s">
        <v>306</v>
      </c>
      <c r="C3224" s="34"/>
      <c r="D3224" s="34">
        <v>318.92</v>
      </c>
    </row>
    <row r="3225" spans="1:4" hidden="1" x14ac:dyDescent="0.25">
      <c r="A3225" s="4">
        <v>40953</v>
      </c>
      <c r="B3225" s="4" t="s">
        <v>306</v>
      </c>
      <c r="C3225" s="34"/>
      <c r="D3225" s="34">
        <v>339.16</v>
      </c>
    </row>
    <row r="3226" spans="1:4" hidden="1" x14ac:dyDescent="0.25">
      <c r="A3226" s="4">
        <v>40816</v>
      </c>
      <c r="B3226" s="4" t="s">
        <v>283</v>
      </c>
      <c r="C3226" s="34"/>
      <c r="D3226" s="34">
        <v>719.6</v>
      </c>
    </row>
    <row r="3227" spans="1:4" hidden="1" x14ac:dyDescent="0.25">
      <c r="A3227" s="4">
        <v>40998</v>
      </c>
      <c r="B3227" s="4" t="s">
        <v>283</v>
      </c>
      <c r="C3227" s="34"/>
      <c r="D3227" s="34">
        <v>850.85</v>
      </c>
    </row>
    <row r="3228" spans="1:4" hidden="1" x14ac:dyDescent="0.25">
      <c r="A3228" s="4">
        <v>40816</v>
      </c>
      <c r="B3228" s="4" t="s">
        <v>307</v>
      </c>
      <c r="C3228" s="34"/>
      <c r="D3228" s="34">
        <v>310.97000000000003</v>
      </c>
    </row>
    <row r="3229" spans="1:4" hidden="1" x14ac:dyDescent="0.25">
      <c r="A3229" s="4">
        <v>41003</v>
      </c>
      <c r="B3229" s="4" t="s">
        <v>307</v>
      </c>
      <c r="C3229" s="34"/>
      <c r="D3229" s="34">
        <v>306.77</v>
      </c>
    </row>
    <row r="3230" spans="1:4" hidden="1" x14ac:dyDescent="0.25">
      <c r="A3230" s="4">
        <v>41090</v>
      </c>
      <c r="B3230" s="4" t="s">
        <v>250</v>
      </c>
      <c r="C3230" s="34">
        <v>0</v>
      </c>
      <c r="D3230" s="34"/>
    </row>
    <row r="3231" spans="1:4" hidden="1" x14ac:dyDescent="0.25">
      <c r="A3231" s="4">
        <v>41090</v>
      </c>
      <c r="B3231" s="4" t="s">
        <v>75</v>
      </c>
      <c r="C3231" s="34">
        <v>17969.96</v>
      </c>
      <c r="D3231" s="34"/>
    </row>
    <row r="3232" spans="1:4" hidden="1" x14ac:dyDescent="0.25">
      <c r="A3232" s="4"/>
      <c r="B3232" s="4"/>
      <c r="C3232" s="34"/>
      <c r="D3232" s="34"/>
    </row>
    <row r="3233" spans="1:4" hidden="1" x14ac:dyDescent="0.25">
      <c r="A3233" s="4">
        <v>41090</v>
      </c>
      <c r="B3233" t="s">
        <v>14</v>
      </c>
      <c r="C3233" s="36">
        <f>SUM(C3175:C3232)</f>
        <v>17969.96</v>
      </c>
      <c r="D3233" s="36">
        <f>SUM(D3175:D3232)</f>
        <v>15299.600000000004</v>
      </c>
    </row>
    <row r="3234" spans="1:4" hidden="1" x14ac:dyDescent="0.25">
      <c r="A3234" s="4"/>
      <c r="B3234" s="4" t="s">
        <v>15</v>
      </c>
      <c r="C3234" s="34">
        <f>IF(C3233&gt;D3233,C3233-D3233," ")</f>
        <v>2670.3599999999951</v>
      </c>
      <c r="D3234" s="34" t="str">
        <f>IF(D3233&gt;C3233,D3233-C3233," ")</f>
        <v xml:space="preserve"> </v>
      </c>
    </row>
    <row r="3235" spans="1:4" hidden="1" x14ac:dyDescent="0.25">
      <c r="A3235" s="4">
        <v>41092</v>
      </c>
      <c r="B3235" s="3" t="s">
        <v>424</v>
      </c>
      <c r="C3235" s="34"/>
      <c r="D3235" s="34">
        <v>330</v>
      </c>
    </row>
    <row r="3236" spans="1:4" hidden="1" x14ac:dyDescent="0.25">
      <c r="A3236" s="4">
        <v>41092</v>
      </c>
      <c r="B3236" s="3" t="s">
        <v>425</v>
      </c>
      <c r="C3236" s="34"/>
      <c r="D3236" s="34">
        <v>410</v>
      </c>
    </row>
    <row r="3237" spans="1:4" hidden="1" x14ac:dyDescent="0.25">
      <c r="A3237" s="4">
        <v>41106</v>
      </c>
      <c r="B3237" s="3" t="s">
        <v>427</v>
      </c>
      <c r="C3237" s="34"/>
      <c r="D3237" s="34">
        <v>450</v>
      </c>
    </row>
    <row r="3238" spans="1:4" hidden="1" x14ac:dyDescent="0.25">
      <c r="A3238" s="4">
        <v>41121</v>
      </c>
      <c r="B3238" s="3" t="s">
        <v>372</v>
      </c>
      <c r="C3238" s="34"/>
      <c r="D3238" s="34">
        <v>230.87</v>
      </c>
    </row>
    <row r="3239" spans="1:4" hidden="1" x14ac:dyDescent="0.25">
      <c r="A3239" s="4">
        <v>41152</v>
      </c>
      <c r="B3239" s="3" t="s">
        <v>372</v>
      </c>
      <c r="C3239" s="34"/>
      <c r="D3239" s="34">
        <v>238.15</v>
      </c>
    </row>
    <row r="3240" spans="1:4" hidden="1" x14ac:dyDescent="0.25">
      <c r="A3240" s="4">
        <v>41152</v>
      </c>
      <c r="B3240" s="3" t="s">
        <v>431</v>
      </c>
      <c r="C3240" s="34"/>
      <c r="D3240" s="34">
        <v>370.75</v>
      </c>
    </row>
    <row r="3241" spans="1:4" hidden="1" x14ac:dyDescent="0.25">
      <c r="A3241" s="4">
        <v>41152</v>
      </c>
      <c r="B3241" s="3" t="s">
        <v>432</v>
      </c>
      <c r="C3241" s="34"/>
      <c r="D3241" s="34">
        <v>138.56</v>
      </c>
    </row>
    <row r="3242" spans="1:4" hidden="1" x14ac:dyDescent="0.25">
      <c r="A3242" s="4">
        <v>41173</v>
      </c>
      <c r="B3242" s="3" t="s">
        <v>433</v>
      </c>
      <c r="C3242" s="34"/>
      <c r="D3242" s="34">
        <v>716.8</v>
      </c>
    </row>
    <row r="3243" spans="1:4" hidden="1" x14ac:dyDescent="0.25">
      <c r="A3243" s="4">
        <v>41173</v>
      </c>
      <c r="B3243" s="3" t="s">
        <v>434</v>
      </c>
      <c r="C3243" s="34"/>
      <c r="D3243" s="34">
        <v>40</v>
      </c>
    </row>
    <row r="3244" spans="1:4" hidden="1" x14ac:dyDescent="0.25">
      <c r="A3244" s="4">
        <v>41176</v>
      </c>
      <c r="B3244" s="3" t="s">
        <v>435</v>
      </c>
      <c r="C3244" s="34"/>
      <c r="D3244" s="34">
        <v>216.8</v>
      </c>
    </row>
    <row r="3245" spans="1:4" hidden="1" x14ac:dyDescent="0.25">
      <c r="A3245" s="4">
        <v>41179</v>
      </c>
      <c r="B3245" s="3" t="s">
        <v>436</v>
      </c>
      <c r="C3245" s="34"/>
      <c r="D3245" s="34">
        <v>388.8</v>
      </c>
    </row>
    <row r="3246" spans="1:4" hidden="1" x14ac:dyDescent="0.25">
      <c r="A3246" s="4">
        <v>41180</v>
      </c>
      <c r="B3246" s="3" t="s">
        <v>372</v>
      </c>
      <c r="C3246" s="34"/>
      <c r="D3246" s="34">
        <v>237.79</v>
      </c>
    </row>
    <row r="3247" spans="1:4" hidden="1" x14ac:dyDescent="0.25">
      <c r="A3247" s="4">
        <v>41180</v>
      </c>
      <c r="B3247" s="3" t="s">
        <v>437</v>
      </c>
      <c r="C3247" s="34"/>
      <c r="D3247" s="34">
        <v>275.42</v>
      </c>
    </row>
    <row r="3248" spans="1:4" hidden="1" x14ac:dyDescent="0.25">
      <c r="A3248" s="4">
        <v>41187</v>
      </c>
      <c r="B3248" s="3" t="s">
        <v>438</v>
      </c>
      <c r="C3248" s="34"/>
      <c r="D3248" s="34">
        <v>985</v>
      </c>
    </row>
    <row r="3249" spans="1:4" hidden="1" x14ac:dyDescent="0.25">
      <c r="A3249" s="4">
        <v>41194</v>
      </c>
      <c r="B3249" s="3" t="s">
        <v>385</v>
      </c>
      <c r="C3249" s="34"/>
      <c r="D3249" s="34">
        <v>200</v>
      </c>
    </row>
    <row r="3250" spans="1:4" hidden="1" x14ac:dyDescent="0.25">
      <c r="A3250" s="4">
        <v>41201</v>
      </c>
      <c r="B3250" s="3" t="s">
        <v>440</v>
      </c>
      <c r="C3250" s="34"/>
      <c r="D3250" s="34">
        <v>150</v>
      </c>
    </row>
    <row r="3251" spans="1:4" hidden="1" x14ac:dyDescent="0.25">
      <c r="A3251" s="4">
        <v>41213</v>
      </c>
      <c r="B3251" s="3" t="s">
        <v>372</v>
      </c>
      <c r="C3251" s="34"/>
      <c r="D3251" s="34">
        <v>237.22</v>
      </c>
    </row>
    <row r="3252" spans="1:4" hidden="1" x14ac:dyDescent="0.25">
      <c r="A3252" s="4">
        <v>41243</v>
      </c>
      <c r="B3252" s="3" t="s">
        <v>372</v>
      </c>
      <c r="C3252" s="34"/>
      <c r="D3252" s="34">
        <v>233.22</v>
      </c>
    </row>
    <row r="3253" spans="1:4" hidden="1" x14ac:dyDescent="0.25">
      <c r="A3253" s="4">
        <v>41261</v>
      </c>
      <c r="B3253" s="3" t="s">
        <v>443</v>
      </c>
      <c r="C3253" s="34"/>
      <c r="D3253" s="34">
        <v>450</v>
      </c>
    </row>
    <row r="3254" spans="1:4" hidden="1" x14ac:dyDescent="0.25">
      <c r="A3254" s="4">
        <v>41262</v>
      </c>
      <c r="B3254" s="3" t="s">
        <v>444</v>
      </c>
      <c r="C3254" s="34"/>
      <c r="D3254" s="34">
        <v>395</v>
      </c>
    </row>
    <row r="3255" spans="1:4" hidden="1" x14ac:dyDescent="0.25">
      <c r="A3255" s="4">
        <v>41263</v>
      </c>
      <c r="B3255" s="3" t="s">
        <v>445</v>
      </c>
      <c r="C3255" s="34"/>
      <c r="D3255" s="34">
        <v>420</v>
      </c>
    </row>
    <row r="3256" spans="1:4" hidden="1" x14ac:dyDescent="0.25">
      <c r="A3256" s="4">
        <v>41274</v>
      </c>
      <c r="B3256" s="3" t="s">
        <v>372</v>
      </c>
      <c r="C3256" s="34"/>
      <c r="D3256" s="34">
        <v>233.58</v>
      </c>
    </row>
    <row r="3257" spans="1:4" hidden="1" x14ac:dyDescent="0.25">
      <c r="A3257" s="4">
        <v>41305</v>
      </c>
      <c r="B3257" s="3" t="s">
        <v>372</v>
      </c>
      <c r="C3257" s="34"/>
      <c r="D3257" s="34">
        <v>234.58</v>
      </c>
    </row>
    <row r="3258" spans="1:4" hidden="1" x14ac:dyDescent="0.25">
      <c r="A3258" s="4">
        <v>41333</v>
      </c>
      <c r="B3258" s="3" t="s">
        <v>449</v>
      </c>
      <c r="C3258" s="34"/>
      <c r="D3258" s="34">
        <v>370.75</v>
      </c>
    </row>
    <row r="3259" spans="1:4" hidden="1" x14ac:dyDescent="0.25">
      <c r="A3259" s="4">
        <v>41333</v>
      </c>
      <c r="B3259" s="3" t="s">
        <v>450</v>
      </c>
      <c r="C3259" s="34"/>
      <c r="D3259" s="34">
        <v>142.31</v>
      </c>
    </row>
    <row r="3260" spans="1:4" hidden="1" x14ac:dyDescent="0.25">
      <c r="A3260" s="4">
        <v>41333</v>
      </c>
      <c r="B3260" s="3" t="s">
        <v>372</v>
      </c>
      <c r="C3260" s="34"/>
      <c r="D3260" s="34">
        <v>217</v>
      </c>
    </row>
    <row r="3261" spans="1:4" hidden="1" x14ac:dyDescent="0.25">
      <c r="A3261" s="4">
        <v>41353</v>
      </c>
      <c r="B3261" s="3" t="s">
        <v>451</v>
      </c>
      <c r="C3261" s="34"/>
      <c r="D3261" s="34">
        <v>40</v>
      </c>
    </row>
    <row r="3262" spans="1:4" hidden="1" x14ac:dyDescent="0.25">
      <c r="A3262" s="4">
        <v>41355</v>
      </c>
      <c r="B3262" s="3" t="s">
        <v>452</v>
      </c>
      <c r="C3262" s="34"/>
      <c r="D3262" s="34">
        <v>716.8</v>
      </c>
    </row>
    <row r="3263" spans="1:4" hidden="1" x14ac:dyDescent="0.25">
      <c r="A3263" s="4">
        <v>41361</v>
      </c>
      <c r="B3263" s="3" t="s">
        <v>453</v>
      </c>
      <c r="C3263" s="34"/>
      <c r="D3263" s="34">
        <v>54.2</v>
      </c>
    </row>
    <row r="3264" spans="1:4" hidden="1" x14ac:dyDescent="0.25">
      <c r="A3264" s="4">
        <v>41361</v>
      </c>
      <c r="B3264" s="3" t="s">
        <v>454</v>
      </c>
      <c r="C3264" s="34"/>
      <c r="D3264" s="34">
        <v>277.83999999999997</v>
      </c>
    </row>
    <row r="3265" spans="1:4" hidden="1" x14ac:dyDescent="0.25">
      <c r="A3265" s="4">
        <v>41361</v>
      </c>
      <c r="B3265" s="3" t="s">
        <v>372</v>
      </c>
      <c r="C3265" s="34"/>
      <c r="D3265" s="34">
        <v>246.93</v>
      </c>
    </row>
    <row r="3266" spans="1:4" hidden="1" x14ac:dyDescent="0.25">
      <c r="A3266" s="4">
        <v>41367</v>
      </c>
      <c r="B3266" s="3" t="s">
        <v>455</v>
      </c>
      <c r="C3266" s="34"/>
      <c r="D3266" s="34">
        <v>395.13</v>
      </c>
    </row>
    <row r="3267" spans="1:4" hidden="1" x14ac:dyDescent="0.25">
      <c r="A3267" s="4">
        <v>41368</v>
      </c>
      <c r="B3267" s="3" t="s">
        <v>456</v>
      </c>
      <c r="C3267" s="34"/>
      <c r="D3267" s="34">
        <v>364.5</v>
      </c>
    </row>
    <row r="3268" spans="1:4" hidden="1" x14ac:dyDescent="0.25">
      <c r="A3268" s="4">
        <v>41369</v>
      </c>
      <c r="B3268" s="3" t="s">
        <v>457</v>
      </c>
      <c r="C3268" s="34"/>
      <c r="D3268" s="34">
        <v>820</v>
      </c>
    </row>
    <row r="3269" spans="1:4" hidden="1" x14ac:dyDescent="0.25">
      <c r="A3269" s="4">
        <v>41374</v>
      </c>
      <c r="B3269" s="3" t="s">
        <v>440</v>
      </c>
      <c r="C3269" s="34"/>
      <c r="D3269" s="34">
        <v>250</v>
      </c>
    </row>
    <row r="3270" spans="1:4" hidden="1" x14ac:dyDescent="0.25">
      <c r="A3270" s="4">
        <v>41376</v>
      </c>
      <c r="B3270" s="3" t="s">
        <v>385</v>
      </c>
      <c r="C3270" s="34"/>
      <c r="D3270" s="34">
        <v>200</v>
      </c>
    </row>
    <row r="3271" spans="1:4" hidden="1" x14ac:dyDescent="0.25">
      <c r="A3271" s="4">
        <v>41383</v>
      </c>
      <c r="B3271" s="3" t="s">
        <v>458</v>
      </c>
      <c r="C3271" s="34"/>
      <c r="D3271" s="34">
        <v>33.53</v>
      </c>
    </row>
    <row r="3272" spans="1:4" hidden="1" x14ac:dyDescent="0.25">
      <c r="A3272" s="4">
        <v>41394</v>
      </c>
      <c r="B3272" s="3" t="s">
        <v>372</v>
      </c>
      <c r="C3272" s="34"/>
      <c r="D3272" s="34">
        <v>247.51</v>
      </c>
    </row>
    <row r="3273" spans="1:4" hidden="1" x14ac:dyDescent="0.25">
      <c r="A3273" s="4">
        <v>41410</v>
      </c>
      <c r="B3273" s="3" t="s">
        <v>465</v>
      </c>
      <c r="C3273" s="34"/>
      <c r="D3273" s="34">
        <v>16.45</v>
      </c>
    </row>
    <row r="3274" spans="1:4" hidden="1" x14ac:dyDescent="0.25">
      <c r="A3274" s="4">
        <v>41423</v>
      </c>
      <c r="B3274" s="3" t="s">
        <v>468</v>
      </c>
      <c r="C3274" s="34"/>
      <c r="D3274" s="34">
        <v>380.82</v>
      </c>
    </row>
    <row r="3275" spans="1:4" hidden="1" x14ac:dyDescent="0.25">
      <c r="A3275" s="4">
        <v>41425</v>
      </c>
      <c r="B3275" s="3" t="s">
        <v>372</v>
      </c>
      <c r="C3275" s="34"/>
      <c r="D3275" s="34">
        <v>179.92</v>
      </c>
    </row>
    <row r="3276" spans="1:4" hidden="1" x14ac:dyDescent="0.25">
      <c r="A3276" s="4">
        <v>41453</v>
      </c>
      <c r="B3276" s="3" t="s">
        <v>372</v>
      </c>
      <c r="C3276" s="34"/>
      <c r="D3276" s="34">
        <v>156.79</v>
      </c>
    </row>
    <row r="3277" spans="1:4" hidden="1" x14ac:dyDescent="0.25">
      <c r="A3277" s="4">
        <v>41359</v>
      </c>
      <c r="B3277" s="3" t="s">
        <v>479</v>
      </c>
      <c r="C3277" s="34"/>
      <c r="D3277" s="34">
        <v>328.3</v>
      </c>
    </row>
    <row r="3278" spans="1:4" hidden="1" x14ac:dyDescent="0.25">
      <c r="A3278" s="4">
        <v>41135</v>
      </c>
      <c r="B3278" s="4" t="s">
        <v>306</v>
      </c>
      <c r="C3278" s="34"/>
      <c r="D3278" s="34">
        <v>360</v>
      </c>
    </row>
    <row r="3279" spans="1:4" hidden="1" x14ac:dyDescent="0.25">
      <c r="A3279" s="4">
        <v>41319</v>
      </c>
      <c r="B3279" s="4" t="s">
        <v>306</v>
      </c>
      <c r="C3279" s="34"/>
      <c r="D3279" s="34">
        <v>381.77</v>
      </c>
    </row>
    <row r="3280" spans="1:4" hidden="1" x14ac:dyDescent="0.25">
      <c r="A3280" s="4">
        <v>41180</v>
      </c>
      <c r="B3280" s="4" t="s">
        <v>283</v>
      </c>
      <c r="C3280" s="34"/>
      <c r="D3280" s="34">
        <v>1000.35</v>
      </c>
    </row>
    <row r="3281" spans="1:4" hidden="1" x14ac:dyDescent="0.25">
      <c r="A3281" s="4">
        <v>41361</v>
      </c>
      <c r="B3281" s="4" t="s">
        <v>283</v>
      </c>
      <c r="C3281" s="34"/>
      <c r="D3281" s="34">
        <v>833.14</v>
      </c>
    </row>
    <row r="3282" spans="1:4" hidden="1" x14ac:dyDescent="0.25">
      <c r="A3282" s="4">
        <v>41184</v>
      </c>
      <c r="B3282" s="4" t="s">
        <v>307</v>
      </c>
      <c r="C3282" s="34"/>
      <c r="D3282" s="34">
        <v>385.55</v>
      </c>
    </row>
    <row r="3283" spans="1:4" hidden="1" x14ac:dyDescent="0.25">
      <c r="A3283" s="4">
        <v>41111</v>
      </c>
      <c r="B3283" s="4" t="s">
        <v>365</v>
      </c>
      <c r="C3283" s="34"/>
      <c r="D3283" s="34">
        <v>0.25</v>
      </c>
    </row>
    <row r="3284" spans="1:4" hidden="1" x14ac:dyDescent="0.25">
      <c r="A3284" s="4">
        <v>41152</v>
      </c>
      <c r="B3284" s="4" t="s">
        <v>365</v>
      </c>
      <c r="C3284" s="34"/>
      <c r="D3284" s="34">
        <v>0.24</v>
      </c>
    </row>
    <row r="3285" spans="1:4" hidden="1" x14ac:dyDescent="0.25">
      <c r="A3285" s="4">
        <v>41180</v>
      </c>
      <c r="B3285" s="4" t="s">
        <v>365</v>
      </c>
      <c r="C3285" s="34"/>
      <c r="D3285" s="34">
        <v>0.22</v>
      </c>
    </row>
    <row r="3286" spans="1:4" hidden="1" x14ac:dyDescent="0.25">
      <c r="A3286" s="4">
        <v>41213</v>
      </c>
      <c r="B3286" s="4" t="s">
        <v>365</v>
      </c>
      <c r="C3286" s="34"/>
      <c r="D3286" s="34">
        <v>0.24</v>
      </c>
    </row>
    <row r="3287" spans="1:4" hidden="1" x14ac:dyDescent="0.25">
      <c r="A3287" s="4">
        <v>41243</v>
      </c>
      <c r="B3287" s="4" t="s">
        <v>365</v>
      </c>
      <c r="C3287" s="34"/>
      <c r="D3287" s="34">
        <v>0.22</v>
      </c>
    </row>
    <row r="3288" spans="1:4" hidden="1" x14ac:dyDescent="0.25">
      <c r="A3288" s="4">
        <v>41274</v>
      </c>
      <c r="B3288" s="4" t="s">
        <v>365</v>
      </c>
      <c r="C3288" s="34"/>
      <c r="D3288" s="34">
        <v>0.21</v>
      </c>
    </row>
    <row r="3289" spans="1:4" hidden="1" x14ac:dyDescent="0.25">
      <c r="A3289" s="4">
        <v>41305</v>
      </c>
      <c r="B3289" s="4" t="s">
        <v>365</v>
      </c>
      <c r="C3289" s="34"/>
      <c r="D3289" s="34">
        <v>0.21</v>
      </c>
    </row>
    <row r="3290" spans="1:4" hidden="1" x14ac:dyDescent="0.25">
      <c r="A3290" s="4">
        <v>41698</v>
      </c>
      <c r="B3290" s="4" t="s">
        <v>365</v>
      </c>
      <c r="C3290" s="34"/>
      <c r="D3290" s="34">
        <v>0.19</v>
      </c>
    </row>
    <row r="3291" spans="1:4" hidden="1" x14ac:dyDescent="0.25">
      <c r="A3291" s="4">
        <v>41361</v>
      </c>
      <c r="B3291" s="4" t="s">
        <v>365</v>
      </c>
      <c r="C3291" s="34"/>
      <c r="D3291" s="34">
        <v>41.28</v>
      </c>
    </row>
    <row r="3292" spans="1:4" hidden="1" x14ac:dyDescent="0.25">
      <c r="A3292" s="4">
        <v>41394</v>
      </c>
      <c r="B3292" s="4" t="s">
        <v>365</v>
      </c>
      <c r="C3292" s="34"/>
      <c r="D3292" s="34">
        <v>135.94999999999999</v>
      </c>
    </row>
    <row r="3293" spans="1:4" hidden="1" x14ac:dyDescent="0.25">
      <c r="A3293" s="4">
        <v>41425</v>
      </c>
      <c r="B3293" s="4" t="s">
        <v>365</v>
      </c>
      <c r="C3293" s="34"/>
      <c r="D3293" s="34">
        <v>121.86</v>
      </c>
    </row>
    <row r="3294" spans="1:4" hidden="1" x14ac:dyDescent="0.25">
      <c r="A3294" s="4">
        <v>41453</v>
      </c>
      <c r="B3294" s="4" t="s">
        <v>365</v>
      </c>
      <c r="C3294" s="34"/>
      <c r="D3294" s="34">
        <v>106.28</v>
      </c>
    </row>
    <row r="3295" spans="1:4" hidden="1" x14ac:dyDescent="0.25">
      <c r="A3295" s="4">
        <v>41455</v>
      </c>
      <c r="B3295" s="4" t="s">
        <v>250</v>
      </c>
      <c r="C3295" s="34"/>
      <c r="D3295" s="34">
        <v>1898.68</v>
      </c>
    </row>
    <row r="3296" spans="1:4" hidden="1" x14ac:dyDescent="0.25">
      <c r="A3296" s="4">
        <v>41455</v>
      </c>
      <c r="B3296" s="4" t="s">
        <v>75</v>
      </c>
      <c r="C3296" s="34"/>
      <c r="D3296" s="34">
        <v>74820.039999999994</v>
      </c>
    </row>
    <row r="3297" spans="1:5" hidden="1" x14ac:dyDescent="0.25">
      <c r="A3297" s="4"/>
      <c r="B3297" s="4"/>
      <c r="C3297" s="34"/>
      <c r="D3297" s="34"/>
    </row>
    <row r="3298" spans="1:5" hidden="1" x14ac:dyDescent="0.25">
      <c r="A3298" s="4">
        <v>41455</v>
      </c>
      <c r="B3298" t="s">
        <v>14</v>
      </c>
      <c r="C3298" s="36">
        <f>SUM(C3235:C3297)</f>
        <v>0</v>
      </c>
      <c r="D3298" s="36">
        <f>SUM(D3235:D3297)</f>
        <v>93108</v>
      </c>
    </row>
    <row r="3299" spans="1:5" hidden="1" x14ac:dyDescent="0.25">
      <c r="A3299" s="4"/>
      <c r="B3299" s="4" t="s">
        <v>15</v>
      </c>
      <c r="C3299" s="34" t="str">
        <f>IF(C3298&gt;D3298,C3298-D3298," ")</f>
        <v xml:space="preserve"> </v>
      </c>
      <c r="D3299" s="34">
        <f>IF(D3298&gt;C3298,D3298-C3298," ")</f>
        <v>93108</v>
      </c>
    </row>
    <row r="3300" spans="1:5" hidden="1" x14ac:dyDescent="0.25">
      <c r="A3300" s="4"/>
      <c r="B3300" s="4"/>
      <c r="C3300" s="34"/>
      <c r="D3300" s="34"/>
      <c r="E3300" s="3"/>
    </row>
    <row r="3301" spans="1:5" hidden="1" x14ac:dyDescent="0.25">
      <c r="A3301" s="4">
        <v>41456</v>
      </c>
      <c r="B3301" s="4" t="s">
        <v>486</v>
      </c>
      <c r="C3301" s="34"/>
      <c r="D3301" s="34">
        <v>365</v>
      </c>
      <c r="E3301" s="3"/>
    </row>
    <row r="3302" spans="1:5" hidden="1" x14ac:dyDescent="0.25">
      <c r="A3302" s="4">
        <v>41457</v>
      </c>
      <c r="B3302" s="4" t="s">
        <v>487</v>
      </c>
      <c r="C3302" s="34"/>
      <c r="D3302" s="34">
        <v>480</v>
      </c>
      <c r="E3302" s="3"/>
    </row>
    <row r="3303" spans="1:5" hidden="1" x14ac:dyDescent="0.25">
      <c r="A3303" s="4">
        <v>41466</v>
      </c>
      <c r="B3303" s="4" t="s">
        <v>488</v>
      </c>
      <c r="C3303" s="34"/>
      <c r="D3303" s="34">
        <v>383.66</v>
      </c>
      <c r="E3303" s="3"/>
    </row>
    <row r="3304" spans="1:5" hidden="1" x14ac:dyDescent="0.25">
      <c r="A3304" s="4">
        <v>41471</v>
      </c>
      <c r="B3304" s="4" t="s">
        <v>489</v>
      </c>
      <c r="C3304" s="34"/>
      <c r="D3304" s="34">
        <v>465</v>
      </c>
      <c r="E3304" s="3"/>
    </row>
    <row r="3305" spans="1:5" hidden="1" x14ac:dyDescent="0.25">
      <c r="A3305" s="4">
        <v>41486</v>
      </c>
      <c r="B3305" s="4" t="s">
        <v>372</v>
      </c>
      <c r="C3305" s="34"/>
      <c r="D3305" s="34">
        <v>166.18</v>
      </c>
      <c r="E3305" s="3"/>
    </row>
    <row r="3306" spans="1:5" hidden="1" x14ac:dyDescent="0.25">
      <c r="A3306" s="4">
        <v>41516</v>
      </c>
      <c r="B3306" s="4" t="s">
        <v>492</v>
      </c>
      <c r="C3306" s="34"/>
      <c r="D3306" s="34">
        <v>381.99</v>
      </c>
      <c r="E3306" s="3"/>
    </row>
    <row r="3307" spans="1:5" hidden="1" x14ac:dyDescent="0.25">
      <c r="A3307" s="4">
        <v>41516</v>
      </c>
      <c r="B3307" s="4" t="s">
        <v>493</v>
      </c>
      <c r="C3307" s="34"/>
      <c r="D3307" s="34">
        <v>148.66999999999999</v>
      </c>
      <c r="E3307" s="3"/>
    </row>
    <row r="3308" spans="1:5" hidden="1" x14ac:dyDescent="0.25">
      <c r="A3308" s="4">
        <v>41516</v>
      </c>
      <c r="B3308" s="4" t="s">
        <v>372</v>
      </c>
      <c r="C3308" s="34"/>
      <c r="D3308" s="34">
        <v>161.54</v>
      </c>
      <c r="E3308" s="3"/>
    </row>
    <row r="3309" spans="1:5" hidden="1" x14ac:dyDescent="0.25">
      <c r="A3309" s="4">
        <v>41534</v>
      </c>
      <c r="B3309" s="4" t="s">
        <v>494</v>
      </c>
      <c r="C3309" s="34"/>
      <c r="D3309" s="34">
        <v>40</v>
      </c>
      <c r="E3309" s="3"/>
    </row>
    <row r="3310" spans="1:5" hidden="1" x14ac:dyDescent="0.25">
      <c r="A3310" s="4">
        <v>41537</v>
      </c>
      <c r="B3310" s="4" t="s">
        <v>495</v>
      </c>
      <c r="C3310" s="34"/>
      <c r="D3310" s="34">
        <v>716.8</v>
      </c>
      <c r="E3310" s="3"/>
    </row>
    <row r="3311" spans="1:5" hidden="1" x14ac:dyDescent="0.25">
      <c r="A3311" s="4">
        <v>41540</v>
      </c>
      <c r="B3311" s="4" t="s">
        <v>496</v>
      </c>
      <c r="C3311" s="34"/>
      <c r="D3311" s="34">
        <v>108.4</v>
      </c>
      <c r="E3311" s="3"/>
    </row>
    <row r="3312" spans="1:5" hidden="1" x14ac:dyDescent="0.25">
      <c r="A3312" s="4">
        <v>41542</v>
      </c>
      <c r="B3312" s="4" t="s">
        <v>497</v>
      </c>
      <c r="C3312" s="34"/>
      <c r="D3312" s="34">
        <v>321.89</v>
      </c>
      <c r="E3312" s="3"/>
    </row>
    <row r="3313" spans="1:5" hidden="1" x14ac:dyDescent="0.25">
      <c r="A3313" s="4">
        <v>41542</v>
      </c>
      <c r="B3313" s="4" t="s">
        <v>498</v>
      </c>
      <c r="C3313" s="34"/>
      <c r="D3313" s="34">
        <v>577.02</v>
      </c>
      <c r="E3313" s="3"/>
    </row>
    <row r="3314" spans="1:5" hidden="1" x14ac:dyDescent="0.25">
      <c r="A3314" s="4">
        <v>41544</v>
      </c>
      <c r="B3314" s="4" t="s">
        <v>499</v>
      </c>
      <c r="C3314" s="34"/>
      <c r="D3314" s="34">
        <v>280</v>
      </c>
      <c r="E3314" s="3"/>
    </row>
    <row r="3315" spans="1:5" hidden="1" x14ac:dyDescent="0.25">
      <c r="A3315" s="4">
        <v>41544</v>
      </c>
      <c r="B3315" s="4" t="s">
        <v>500</v>
      </c>
      <c r="C3315" s="34"/>
      <c r="D3315" s="34">
        <v>400.95</v>
      </c>
      <c r="E3315" s="3"/>
    </row>
    <row r="3316" spans="1:5" hidden="1" x14ac:dyDescent="0.25">
      <c r="A3316" s="4">
        <v>41547</v>
      </c>
      <c r="B3316" s="4" t="s">
        <v>372</v>
      </c>
      <c r="C3316" s="34"/>
      <c r="D3316" s="34">
        <v>157.86000000000001</v>
      </c>
      <c r="E3316" s="3"/>
    </row>
    <row r="3317" spans="1:5" hidden="1" x14ac:dyDescent="0.25">
      <c r="A3317" s="4">
        <v>41550</v>
      </c>
      <c r="B3317" s="4" t="s">
        <v>501</v>
      </c>
      <c r="C3317" s="34"/>
      <c r="D3317" s="34">
        <v>1000</v>
      </c>
      <c r="E3317" s="3"/>
    </row>
    <row r="3318" spans="1:5" hidden="1" x14ac:dyDescent="0.25">
      <c r="A3318" s="4">
        <v>41551</v>
      </c>
      <c r="B3318" s="4" t="s">
        <v>502</v>
      </c>
      <c r="C3318" s="34"/>
      <c r="D3318" s="34">
        <v>46.1</v>
      </c>
      <c r="E3318" s="3"/>
    </row>
    <row r="3319" spans="1:5" hidden="1" x14ac:dyDescent="0.25">
      <c r="A3319" s="4">
        <v>41557</v>
      </c>
      <c r="B3319" s="4" t="s">
        <v>503</v>
      </c>
      <c r="C3319" s="34"/>
      <c r="D3319" s="34">
        <v>229.5</v>
      </c>
      <c r="E3319" s="3"/>
    </row>
    <row r="3320" spans="1:5" hidden="1" x14ac:dyDescent="0.25">
      <c r="A3320" s="4">
        <v>41558</v>
      </c>
      <c r="B3320" s="4" t="s">
        <v>440</v>
      </c>
      <c r="C3320" s="34"/>
      <c r="D3320" s="34">
        <v>825</v>
      </c>
      <c r="E3320" s="3"/>
    </row>
    <row r="3321" spans="1:5" hidden="1" x14ac:dyDescent="0.25">
      <c r="A3321" s="4">
        <v>41558</v>
      </c>
      <c r="B3321" s="4" t="s">
        <v>385</v>
      </c>
      <c r="C3321" s="34"/>
      <c r="D3321" s="34">
        <v>200</v>
      </c>
      <c r="E3321" s="3"/>
    </row>
    <row r="3322" spans="1:5" hidden="1" x14ac:dyDescent="0.25">
      <c r="A3322" s="4">
        <v>41578</v>
      </c>
      <c r="B3322" s="4" t="s">
        <v>372</v>
      </c>
      <c r="C3322" s="34"/>
      <c r="D3322" s="34">
        <v>177.46</v>
      </c>
      <c r="E3322" s="3"/>
    </row>
    <row r="3323" spans="1:5" hidden="1" x14ac:dyDescent="0.25">
      <c r="A3323" s="4">
        <v>41604</v>
      </c>
      <c r="B3323" s="4" t="s">
        <v>510</v>
      </c>
      <c r="C3323" s="34"/>
      <c r="D3323" s="34">
        <v>564.5</v>
      </c>
      <c r="E3323" s="3"/>
    </row>
    <row r="3324" spans="1:5" hidden="1" x14ac:dyDescent="0.25">
      <c r="A3324" s="4">
        <v>41607</v>
      </c>
      <c r="B3324" s="4" t="s">
        <v>372</v>
      </c>
      <c r="C3324" s="34"/>
      <c r="D3324" s="34">
        <v>171.07</v>
      </c>
      <c r="E3324" s="3"/>
    </row>
    <row r="3325" spans="1:5" hidden="1" x14ac:dyDescent="0.25">
      <c r="A3325" s="4">
        <v>41624</v>
      </c>
      <c r="B3325" s="4" t="s">
        <v>511</v>
      </c>
      <c r="C3325" s="34"/>
      <c r="D3325" s="34">
        <v>455</v>
      </c>
      <c r="E3325" s="3"/>
    </row>
    <row r="3326" spans="1:5" hidden="1" x14ac:dyDescent="0.25">
      <c r="A3326" s="4">
        <v>41626</v>
      </c>
      <c r="B3326" s="4" t="s">
        <v>512</v>
      </c>
      <c r="C3326" s="34"/>
      <c r="D3326" s="34">
        <v>485</v>
      </c>
      <c r="E3326" s="3"/>
    </row>
    <row r="3327" spans="1:5" hidden="1" x14ac:dyDescent="0.25">
      <c r="A3327" s="4">
        <v>41627</v>
      </c>
      <c r="B3327" s="4" t="s">
        <v>513</v>
      </c>
      <c r="C3327" s="34"/>
      <c r="D3327" s="34">
        <v>490</v>
      </c>
      <c r="E3327" s="3"/>
    </row>
    <row r="3328" spans="1:5" hidden="1" x14ac:dyDescent="0.25">
      <c r="A3328" s="4">
        <v>41639</v>
      </c>
      <c r="B3328" s="4" t="s">
        <v>372</v>
      </c>
      <c r="C3328" s="34"/>
      <c r="D3328" s="34">
        <v>179.39</v>
      </c>
      <c r="E3328" s="3"/>
    </row>
    <row r="3329" spans="1:5" hidden="1" x14ac:dyDescent="0.25">
      <c r="A3329" s="4">
        <v>41670</v>
      </c>
      <c r="B3329" s="4" t="s">
        <v>372</v>
      </c>
      <c r="C3329" s="34"/>
      <c r="D3329" s="34">
        <v>181.89</v>
      </c>
      <c r="E3329" s="3"/>
    </row>
    <row r="3330" spans="1:5" hidden="1" x14ac:dyDescent="0.25">
      <c r="A3330" s="4">
        <v>41698</v>
      </c>
      <c r="B3330" s="4" t="s">
        <v>516</v>
      </c>
      <c r="C3330" s="34"/>
      <c r="D3330" s="34">
        <v>381.98</v>
      </c>
      <c r="E3330" s="3"/>
    </row>
    <row r="3331" spans="1:5" hidden="1" x14ac:dyDescent="0.25">
      <c r="A3331" s="4">
        <v>41698</v>
      </c>
      <c r="B3331" s="4" t="s">
        <v>517</v>
      </c>
      <c r="C3331" s="34"/>
      <c r="D3331" s="34">
        <v>148.66999999999999</v>
      </c>
      <c r="E3331" s="3"/>
    </row>
    <row r="3332" spans="1:5" hidden="1" x14ac:dyDescent="0.25">
      <c r="A3332" s="4">
        <v>41698</v>
      </c>
      <c r="B3332" s="4" t="s">
        <v>372</v>
      </c>
      <c r="C3332" s="34"/>
      <c r="D3332" s="34">
        <v>169.3</v>
      </c>
      <c r="E3332" s="3"/>
    </row>
    <row r="3333" spans="1:5" hidden="1" x14ac:dyDescent="0.25">
      <c r="A3333" s="4">
        <v>41708</v>
      </c>
      <c r="B3333" s="4" t="s">
        <v>440</v>
      </c>
      <c r="C3333" s="34"/>
      <c r="D3333" s="34">
        <v>660</v>
      </c>
      <c r="E3333" s="3"/>
    </row>
    <row r="3334" spans="1:5" hidden="1" x14ac:dyDescent="0.25">
      <c r="A3334" s="4">
        <v>41717</v>
      </c>
      <c r="B3334" s="4" t="s">
        <v>518</v>
      </c>
      <c r="C3334" s="34"/>
      <c r="D3334" s="34">
        <v>80</v>
      </c>
      <c r="E3334" s="3"/>
    </row>
    <row r="3335" spans="1:5" hidden="1" x14ac:dyDescent="0.25">
      <c r="A3335" s="4">
        <v>41719</v>
      </c>
      <c r="B3335" s="4" t="s">
        <v>519</v>
      </c>
      <c r="C3335" s="34"/>
      <c r="D3335" s="34">
        <v>308</v>
      </c>
      <c r="E3335" s="3"/>
    </row>
    <row r="3336" spans="1:5" hidden="1" x14ac:dyDescent="0.25">
      <c r="A3336" s="4">
        <v>41724</v>
      </c>
      <c r="B3336" s="4" t="s">
        <v>524</v>
      </c>
      <c r="C3336" s="34"/>
      <c r="D3336" s="34">
        <v>714.94</v>
      </c>
      <c r="E3336" s="3"/>
    </row>
    <row r="3337" spans="1:5" hidden="1" x14ac:dyDescent="0.25">
      <c r="A3337" s="4">
        <v>41724</v>
      </c>
      <c r="B3337" s="4" t="s">
        <v>525</v>
      </c>
      <c r="C3337" s="34"/>
      <c r="D3337" s="34">
        <v>323.62</v>
      </c>
      <c r="E3337" s="3"/>
    </row>
    <row r="3338" spans="1:5" hidden="1" x14ac:dyDescent="0.25">
      <c r="A3338" s="4">
        <v>41726</v>
      </c>
      <c r="B3338" s="4" t="s">
        <v>526</v>
      </c>
      <c r="C3338" s="34"/>
      <c r="D3338" s="34">
        <v>742.4</v>
      </c>
      <c r="E3338" s="3"/>
    </row>
    <row r="3339" spans="1:5" hidden="1" x14ac:dyDescent="0.25">
      <c r="A3339" s="4">
        <v>41726</v>
      </c>
      <c r="B3339" s="4" t="s">
        <v>527</v>
      </c>
      <c r="C3339" s="34"/>
      <c r="D3339" s="34">
        <v>140</v>
      </c>
      <c r="E3339" s="3"/>
    </row>
    <row r="3340" spans="1:5" hidden="1" x14ac:dyDescent="0.25">
      <c r="A3340" s="4">
        <v>41729</v>
      </c>
      <c r="B3340" s="4" t="s">
        <v>528</v>
      </c>
      <c r="C3340" s="34"/>
      <c r="D3340" s="34">
        <v>65.040000000000006</v>
      </c>
      <c r="E3340" s="3"/>
    </row>
    <row r="3341" spans="1:5" hidden="1" x14ac:dyDescent="0.25">
      <c r="A3341" s="4">
        <v>41729</v>
      </c>
      <c r="B3341" s="4" t="s">
        <v>372</v>
      </c>
      <c r="C3341" s="34"/>
      <c r="D3341" s="34">
        <v>206.22</v>
      </c>
      <c r="E3341" s="3"/>
    </row>
    <row r="3342" spans="1:5" hidden="1" x14ac:dyDescent="0.25">
      <c r="A3342" s="4">
        <v>41732</v>
      </c>
      <c r="B3342" s="4" t="s">
        <v>529</v>
      </c>
      <c r="C3342" s="34"/>
      <c r="D3342" s="34">
        <v>915</v>
      </c>
      <c r="E3342" s="3"/>
    </row>
    <row r="3343" spans="1:5" hidden="1" x14ac:dyDescent="0.25">
      <c r="A3343" s="4">
        <v>41733</v>
      </c>
      <c r="B3343" s="4" t="s">
        <v>530</v>
      </c>
      <c r="C3343" s="34"/>
      <c r="D3343" s="34">
        <v>69.849999999999994</v>
      </c>
      <c r="E3343" s="3"/>
    </row>
    <row r="3344" spans="1:5" hidden="1" x14ac:dyDescent="0.25">
      <c r="A3344" s="4">
        <v>41733</v>
      </c>
      <c r="B3344" s="4" t="s">
        <v>531</v>
      </c>
      <c r="C3344" s="34"/>
      <c r="D3344" s="34">
        <v>364.5</v>
      </c>
      <c r="E3344" s="3"/>
    </row>
    <row r="3345" spans="1:5" hidden="1" x14ac:dyDescent="0.25">
      <c r="A3345" s="4">
        <v>41739</v>
      </c>
      <c r="B3345" s="4" t="s">
        <v>533</v>
      </c>
      <c r="C3345" s="34"/>
      <c r="D3345" s="34">
        <v>229.5</v>
      </c>
      <c r="E3345" s="3"/>
    </row>
    <row r="3346" spans="1:5" hidden="1" x14ac:dyDescent="0.25">
      <c r="A3346" s="4">
        <v>41740</v>
      </c>
      <c r="B3346" s="4" t="s">
        <v>385</v>
      </c>
      <c r="C3346" s="34"/>
      <c r="D3346" s="34">
        <v>200</v>
      </c>
      <c r="E3346" s="3"/>
    </row>
    <row r="3347" spans="1:5" hidden="1" x14ac:dyDescent="0.25">
      <c r="A3347" s="4">
        <v>41759</v>
      </c>
      <c r="B3347" s="4" t="s">
        <v>372</v>
      </c>
      <c r="C3347" s="34"/>
      <c r="D3347" s="34">
        <v>235.43</v>
      </c>
      <c r="E3347" s="3"/>
    </row>
    <row r="3348" spans="1:5" hidden="1" x14ac:dyDescent="0.25">
      <c r="A3348" s="4">
        <v>41789</v>
      </c>
      <c r="B3348" s="4" t="s">
        <v>372</v>
      </c>
      <c r="C3348" s="34"/>
      <c r="D3348" s="34">
        <v>240.44</v>
      </c>
      <c r="E3348" s="3"/>
    </row>
    <row r="3349" spans="1:5" hidden="1" x14ac:dyDescent="0.25">
      <c r="A3349" s="4">
        <v>41796</v>
      </c>
      <c r="B3349" s="4" t="s">
        <v>538</v>
      </c>
      <c r="C3349" s="34"/>
      <c r="D3349" s="34">
        <v>283.36</v>
      </c>
      <c r="E3349" s="3"/>
    </row>
    <row r="3350" spans="1:5" hidden="1" x14ac:dyDescent="0.25">
      <c r="A3350" s="4">
        <v>41820</v>
      </c>
      <c r="B3350" s="4" t="s">
        <v>540</v>
      </c>
      <c r="C3350" s="34"/>
      <c r="D3350" s="34">
        <v>427.37</v>
      </c>
      <c r="E3350" s="3"/>
    </row>
    <row r="3351" spans="1:5" hidden="1" x14ac:dyDescent="0.25">
      <c r="A3351" s="4">
        <v>41820</v>
      </c>
      <c r="B3351" s="4" t="s">
        <v>372</v>
      </c>
      <c r="C3351" s="34"/>
      <c r="D3351" s="34">
        <v>228.44</v>
      </c>
      <c r="E3351" s="3"/>
    </row>
    <row r="3352" spans="1:5" hidden="1" x14ac:dyDescent="0.25">
      <c r="A3352" s="4">
        <v>41486</v>
      </c>
      <c r="B3352" s="4" t="s">
        <v>365</v>
      </c>
      <c r="C3352" s="34"/>
      <c r="D3352" s="34">
        <v>125.53</v>
      </c>
      <c r="E3352" s="3"/>
    </row>
    <row r="3353" spans="1:5" hidden="1" x14ac:dyDescent="0.25">
      <c r="A3353" s="4">
        <v>41516</v>
      </c>
      <c r="B3353" s="4" t="s">
        <v>365</v>
      </c>
      <c r="C3353" s="34"/>
      <c r="D3353" s="34">
        <v>108.16</v>
      </c>
      <c r="E3353" s="3"/>
    </row>
    <row r="3354" spans="1:5" hidden="1" x14ac:dyDescent="0.25">
      <c r="A3354" s="4">
        <v>41547</v>
      </c>
      <c r="B3354" s="4" t="s">
        <v>365</v>
      </c>
      <c r="C3354" s="34"/>
      <c r="D3354" s="34">
        <v>107.69</v>
      </c>
      <c r="E3354" s="3"/>
    </row>
    <row r="3355" spans="1:5" hidden="1" x14ac:dyDescent="0.25">
      <c r="A3355" s="4">
        <v>41569</v>
      </c>
      <c r="B3355" s="4" t="s">
        <v>365</v>
      </c>
      <c r="C3355" s="34"/>
      <c r="D3355" s="34">
        <v>76.59</v>
      </c>
      <c r="E3355" s="3"/>
    </row>
    <row r="3356" spans="1:5" hidden="1" x14ac:dyDescent="0.25">
      <c r="A3356" s="4">
        <v>41724</v>
      </c>
      <c r="B3356" s="4" t="s">
        <v>479</v>
      </c>
      <c r="C3356" s="34"/>
      <c r="D3356" s="34">
        <v>278.81</v>
      </c>
      <c r="E3356" s="3"/>
    </row>
    <row r="3357" spans="1:5" hidden="1" x14ac:dyDescent="0.25">
      <c r="A3357" s="4">
        <v>41500</v>
      </c>
      <c r="B3357" s="4" t="s">
        <v>306</v>
      </c>
      <c r="C3357" s="34"/>
      <c r="D3357" s="34">
        <v>391.38</v>
      </c>
      <c r="E3357" s="3"/>
    </row>
    <row r="3358" spans="1:5" hidden="1" x14ac:dyDescent="0.25">
      <c r="A3358" s="4">
        <v>41684</v>
      </c>
      <c r="B3358" s="4" t="s">
        <v>306</v>
      </c>
      <c r="C3358" s="34"/>
      <c r="D3358" s="34">
        <v>439.12</v>
      </c>
      <c r="E3358" s="3"/>
    </row>
    <row r="3359" spans="1:5" hidden="1" x14ac:dyDescent="0.25">
      <c r="A3359" s="4">
        <v>41544</v>
      </c>
      <c r="B3359" s="4" t="s">
        <v>283</v>
      </c>
      <c r="C3359" s="34"/>
      <c r="D3359" s="34">
        <v>1135.06</v>
      </c>
      <c r="E3359" s="3"/>
    </row>
    <row r="3360" spans="1:5" hidden="1" x14ac:dyDescent="0.25">
      <c r="A3360" s="4">
        <v>41731</v>
      </c>
      <c r="B3360" s="4" t="s">
        <v>283</v>
      </c>
      <c r="C3360" s="34"/>
      <c r="D3360" s="34">
        <v>947.75</v>
      </c>
      <c r="E3360" s="3"/>
    </row>
    <row r="3361" spans="1:5" hidden="1" x14ac:dyDescent="0.25">
      <c r="A3361" s="4">
        <v>41820</v>
      </c>
      <c r="B3361" s="4" t="s">
        <v>250</v>
      </c>
      <c r="C3361" s="34"/>
      <c r="D3361" s="34">
        <v>23211.47</v>
      </c>
      <c r="E3361" s="3"/>
    </row>
    <row r="3362" spans="1:5" hidden="1" x14ac:dyDescent="0.25">
      <c r="A3362" s="4">
        <v>41820</v>
      </c>
      <c r="B3362" s="4" t="s">
        <v>75</v>
      </c>
      <c r="C3362" s="34"/>
      <c r="D3362" s="34">
        <v>25030.84</v>
      </c>
    </row>
    <row r="3363" spans="1:5" hidden="1" x14ac:dyDescent="0.25">
      <c r="A3363" s="4"/>
      <c r="B3363" s="4"/>
      <c r="C3363" s="34"/>
      <c r="D3363" s="34"/>
    </row>
    <row r="3364" spans="1:5" hidden="1" x14ac:dyDescent="0.25">
      <c r="A3364" s="4">
        <v>41820</v>
      </c>
      <c r="B3364" t="s">
        <v>14</v>
      </c>
      <c r="C3364" s="36">
        <f>SUM(C3300:C3363)</f>
        <v>0</v>
      </c>
      <c r="D3364" s="36">
        <f>SUM(D3300:D3363)</f>
        <v>69146.33</v>
      </c>
    </row>
    <row r="3365" spans="1:5" hidden="1" x14ac:dyDescent="0.25">
      <c r="A3365" s="4"/>
      <c r="B3365" s="4" t="s">
        <v>15</v>
      </c>
      <c r="C3365" s="34" t="str">
        <f>IF(C3364&gt;D3364,C3364-D3364," ")</f>
        <v xml:space="preserve"> </v>
      </c>
      <c r="D3365" s="34">
        <f>IF(D3364&gt;C3364,D3364-C3364," ")</f>
        <v>69146.33</v>
      </c>
    </row>
    <row r="3366" spans="1:5" hidden="1" x14ac:dyDescent="0.25">
      <c r="A3366" s="4">
        <v>41821</v>
      </c>
      <c r="B3366" t="s">
        <v>552</v>
      </c>
      <c r="C3366" s="34"/>
      <c r="D3366" s="34">
        <v>415</v>
      </c>
    </row>
    <row r="3367" spans="1:5" hidden="1" x14ac:dyDescent="0.25">
      <c r="A3367" s="4">
        <v>41822</v>
      </c>
      <c r="B3367" t="s">
        <v>553</v>
      </c>
      <c r="C3367" s="34"/>
      <c r="D3367" s="34">
        <v>450</v>
      </c>
    </row>
    <row r="3368" spans="1:5" hidden="1" x14ac:dyDescent="0.25">
      <c r="A3368" s="4">
        <v>41828</v>
      </c>
      <c r="B3368" t="s">
        <v>554</v>
      </c>
      <c r="C3368" s="34"/>
      <c r="D3368" s="34">
        <v>495</v>
      </c>
    </row>
    <row r="3369" spans="1:5" hidden="1" x14ac:dyDescent="0.25">
      <c r="A3369" s="4">
        <v>41851</v>
      </c>
      <c r="B3369" t="s">
        <v>372</v>
      </c>
      <c r="C3369" s="34"/>
      <c r="D3369" s="34">
        <v>236.27</v>
      </c>
    </row>
    <row r="3370" spans="1:5" hidden="1" x14ac:dyDescent="0.25">
      <c r="A3370" s="4">
        <v>41880</v>
      </c>
      <c r="B3370" t="s">
        <v>372</v>
      </c>
      <c r="C3370" s="34"/>
      <c r="D3370" s="34">
        <v>240.6</v>
      </c>
    </row>
    <row r="3371" spans="1:5" hidden="1" x14ac:dyDescent="0.25">
      <c r="A3371" s="4">
        <v>41880</v>
      </c>
      <c r="B3371" t="s">
        <v>557</v>
      </c>
      <c r="C3371" s="34"/>
      <c r="D3371" s="34">
        <v>393.22</v>
      </c>
    </row>
    <row r="3372" spans="1:5" hidden="1" x14ac:dyDescent="0.25">
      <c r="A3372" s="4">
        <v>41880</v>
      </c>
      <c r="B3372" t="s">
        <v>558</v>
      </c>
      <c r="C3372" s="34"/>
      <c r="D3372" s="34">
        <v>152.79</v>
      </c>
    </row>
    <row r="3373" spans="1:5" hidden="1" x14ac:dyDescent="0.25">
      <c r="A3373" s="4">
        <v>41883</v>
      </c>
      <c r="B3373" t="s">
        <v>440</v>
      </c>
      <c r="C3373" s="34"/>
      <c r="D3373" s="34">
        <v>654</v>
      </c>
    </row>
    <row r="3374" spans="1:5" hidden="1" x14ac:dyDescent="0.25">
      <c r="A3374" s="4">
        <v>41891</v>
      </c>
      <c r="B3374" t="s">
        <v>559</v>
      </c>
      <c r="C3374" s="34"/>
      <c r="D3374" s="34">
        <v>80</v>
      </c>
    </row>
    <row r="3375" spans="1:5" hidden="1" x14ac:dyDescent="0.25">
      <c r="A3375" s="4">
        <v>41904</v>
      </c>
      <c r="B3375" t="s">
        <v>560</v>
      </c>
      <c r="C3375" s="34"/>
      <c r="D3375" s="34">
        <v>686</v>
      </c>
    </row>
    <row r="3376" spans="1:5" hidden="1" x14ac:dyDescent="0.25">
      <c r="A3376" s="4">
        <v>41905</v>
      </c>
      <c r="B3376" t="s">
        <v>561</v>
      </c>
      <c r="C3376" s="34"/>
      <c r="D3376" s="34">
        <v>331</v>
      </c>
    </row>
    <row r="3377" spans="1:4" hidden="1" x14ac:dyDescent="0.25">
      <c r="A3377" s="4">
        <v>41905</v>
      </c>
      <c r="B3377" t="s">
        <v>562</v>
      </c>
      <c r="C3377" s="34"/>
      <c r="D3377" s="34">
        <v>81.3</v>
      </c>
    </row>
    <row r="3378" spans="1:4" hidden="1" x14ac:dyDescent="0.25">
      <c r="A3378" s="4">
        <v>41906</v>
      </c>
      <c r="B3378" t="s">
        <v>563</v>
      </c>
      <c r="C3378" s="34"/>
      <c r="D3378" s="34">
        <v>738.34</v>
      </c>
    </row>
    <row r="3379" spans="1:4" hidden="1" x14ac:dyDescent="0.25">
      <c r="A3379" s="4">
        <v>41908</v>
      </c>
      <c r="B3379" t="s">
        <v>564</v>
      </c>
      <c r="C3379" s="34"/>
      <c r="D3379" s="34">
        <v>768</v>
      </c>
    </row>
    <row r="3380" spans="1:4" hidden="1" x14ac:dyDescent="0.25">
      <c r="A3380" s="4">
        <v>41912</v>
      </c>
      <c r="B3380" t="s">
        <v>565</v>
      </c>
      <c r="C3380" s="34"/>
      <c r="D3380" s="34">
        <v>400.95</v>
      </c>
    </row>
    <row r="3381" spans="1:4" hidden="1" x14ac:dyDescent="0.25">
      <c r="A3381" s="4">
        <v>41912</v>
      </c>
      <c r="B3381" t="s">
        <v>372</v>
      </c>
      <c r="C3381" s="34"/>
      <c r="D3381" s="34">
        <v>215.32</v>
      </c>
    </row>
    <row r="3382" spans="1:4" hidden="1" x14ac:dyDescent="0.25">
      <c r="A3382" s="4">
        <v>41914</v>
      </c>
      <c r="B3382" t="s">
        <v>566</v>
      </c>
      <c r="C3382" s="34"/>
      <c r="D3382" s="34">
        <v>1090</v>
      </c>
    </row>
    <row r="3383" spans="1:4" hidden="1" x14ac:dyDescent="0.25">
      <c r="A3383" s="4">
        <v>41915</v>
      </c>
      <c r="B3383" t="s">
        <v>567</v>
      </c>
      <c r="C3383" s="34"/>
      <c r="D3383" s="34">
        <v>6.93</v>
      </c>
    </row>
    <row r="3384" spans="1:4" hidden="1" x14ac:dyDescent="0.25">
      <c r="A3384" s="4">
        <v>41920</v>
      </c>
      <c r="B3384" t="s">
        <v>569</v>
      </c>
      <c r="C3384" s="34"/>
      <c r="D3384" s="34">
        <v>114.55</v>
      </c>
    </row>
    <row r="3385" spans="1:4" hidden="1" x14ac:dyDescent="0.25">
      <c r="A3385" s="4">
        <v>41921</v>
      </c>
      <c r="B3385" t="s">
        <v>570</v>
      </c>
      <c r="C3385" s="34"/>
      <c r="D3385" s="34">
        <v>229.5</v>
      </c>
    </row>
    <row r="3386" spans="1:4" hidden="1" x14ac:dyDescent="0.25">
      <c r="A3386" s="4">
        <v>41925</v>
      </c>
      <c r="B3386" t="s">
        <v>385</v>
      </c>
      <c r="C3386" s="34"/>
      <c r="D3386" s="34">
        <v>200</v>
      </c>
    </row>
    <row r="3387" spans="1:4" hidden="1" x14ac:dyDescent="0.25">
      <c r="A3387" s="4">
        <v>41943</v>
      </c>
      <c r="B3387" t="s">
        <v>372</v>
      </c>
      <c r="C3387" s="34"/>
      <c r="D3387" s="34">
        <v>248.49</v>
      </c>
    </row>
    <row r="3388" spans="1:4" hidden="1" x14ac:dyDescent="0.25">
      <c r="A3388" s="4">
        <v>41971</v>
      </c>
      <c r="B3388" t="s">
        <v>372</v>
      </c>
      <c r="C3388" s="34"/>
      <c r="D3388" s="34">
        <v>244.81</v>
      </c>
    </row>
    <row r="3389" spans="1:4" hidden="1" x14ac:dyDescent="0.25">
      <c r="A3389" s="4">
        <v>41989</v>
      </c>
      <c r="B3389" t="s">
        <v>573</v>
      </c>
      <c r="C3389" s="34"/>
      <c r="D3389" s="34">
        <v>475</v>
      </c>
    </row>
    <row r="3390" spans="1:4" hidden="1" x14ac:dyDescent="0.25">
      <c r="A3390" s="4">
        <v>41989</v>
      </c>
      <c r="B3390" t="s">
        <v>574</v>
      </c>
      <c r="C3390" s="34"/>
      <c r="D3390" s="34">
        <v>876</v>
      </c>
    </row>
    <row r="3391" spans="1:4" hidden="1" x14ac:dyDescent="0.25">
      <c r="A3391" s="4">
        <v>41989</v>
      </c>
      <c r="B3391" t="s">
        <v>575</v>
      </c>
      <c r="C3391" s="34"/>
      <c r="D3391" s="34">
        <v>495</v>
      </c>
    </row>
    <row r="3392" spans="1:4" hidden="1" x14ac:dyDescent="0.25">
      <c r="A3392" s="4">
        <v>41992</v>
      </c>
      <c r="B3392" t="s">
        <v>576</v>
      </c>
      <c r="C3392" s="34"/>
      <c r="D3392" s="34">
        <v>460</v>
      </c>
    </row>
    <row r="3393" spans="1:4" hidden="1" x14ac:dyDescent="0.25">
      <c r="A3393" s="4">
        <v>42004</v>
      </c>
      <c r="B3393" t="s">
        <v>372</v>
      </c>
      <c r="C3393" s="34"/>
      <c r="D3393" s="34">
        <v>259.73</v>
      </c>
    </row>
    <row r="3394" spans="1:4" hidden="1" x14ac:dyDescent="0.25">
      <c r="A3394" s="4">
        <v>42034</v>
      </c>
      <c r="B3394" t="s">
        <v>372</v>
      </c>
      <c r="C3394" s="34"/>
      <c r="D3394" s="34">
        <v>253.13</v>
      </c>
    </row>
    <row r="3395" spans="1:4" hidden="1" x14ac:dyDescent="0.25">
      <c r="A3395" s="4">
        <v>42062</v>
      </c>
      <c r="B3395" t="s">
        <v>372</v>
      </c>
      <c r="C3395" s="34"/>
      <c r="D3395" s="34">
        <v>195.61</v>
      </c>
    </row>
    <row r="3396" spans="1:4" hidden="1" x14ac:dyDescent="0.25">
      <c r="A3396" s="4">
        <v>42062</v>
      </c>
      <c r="B3396" t="s">
        <v>580</v>
      </c>
      <c r="C3396" s="34"/>
      <c r="D3396" s="34">
        <v>330.77</v>
      </c>
    </row>
    <row r="3397" spans="1:4" hidden="1" x14ac:dyDescent="0.25">
      <c r="A3397" s="4">
        <v>42062</v>
      </c>
      <c r="B3397" t="s">
        <v>581</v>
      </c>
      <c r="C3397" s="34"/>
      <c r="D3397" s="34">
        <v>237.45</v>
      </c>
    </row>
    <row r="3398" spans="1:4" hidden="1" x14ac:dyDescent="0.25">
      <c r="A3398" s="4">
        <v>42072</v>
      </c>
      <c r="B3398" t="s">
        <v>440</v>
      </c>
      <c r="C3398" s="34"/>
      <c r="D3398" s="34">
        <v>1113</v>
      </c>
    </row>
    <row r="3399" spans="1:4" hidden="1" x14ac:dyDescent="0.25">
      <c r="A3399" s="4">
        <v>42081</v>
      </c>
      <c r="B3399" t="s">
        <v>582</v>
      </c>
      <c r="C3399" s="34"/>
      <c r="D3399" s="34">
        <v>80</v>
      </c>
    </row>
    <row r="3400" spans="1:4" hidden="1" x14ac:dyDescent="0.25">
      <c r="A3400" s="4">
        <v>42081</v>
      </c>
      <c r="B3400" t="s">
        <v>583</v>
      </c>
      <c r="C3400" s="34"/>
      <c r="D3400" s="34">
        <v>378</v>
      </c>
    </row>
    <row r="3401" spans="1:4" hidden="1" x14ac:dyDescent="0.25">
      <c r="A3401" s="4">
        <v>42088</v>
      </c>
      <c r="B3401" t="s">
        <v>586</v>
      </c>
      <c r="C3401" s="34"/>
      <c r="D3401" s="34">
        <v>437.4</v>
      </c>
    </row>
    <row r="3402" spans="1:4" hidden="1" x14ac:dyDescent="0.25">
      <c r="A3402" s="4">
        <v>42088</v>
      </c>
      <c r="B3402" t="s">
        <v>587</v>
      </c>
      <c r="C3402" s="34"/>
      <c r="D3402" s="34">
        <v>1146.69</v>
      </c>
    </row>
    <row r="3403" spans="1:4" hidden="1" x14ac:dyDescent="0.25">
      <c r="A3403" s="4">
        <v>42089</v>
      </c>
      <c r="B3403" t="s">
        <v>383</v>
      </c>
      <c r="C3403" s="34"/>
      <c r="D3403" s="34">
        <v>33.479999999999997</v>
      </c>
    </row>
    <row r="3404" spans="1:4" hidden="1" x14ac:dyDescent="0.25">
      <c r="A3404" s="4">
        <v>42090</v>
      </c>
      <c r="B3404" t="s">
        <v>588</v>
      </c>
      <c r="C3404" s="34"/>
      <c r="D3404" s="34">
        <v>768</v>
      </c>
    </row>
    <row r="3405" spans="1:4" hidden="1" x14ac:dyDescent="0.25">
      <c r="A3405" s="4">
        <v>42094</v>
      </c>
      <c r="B3405" t="s">
        <v>589</v>
      </c>
      <c r="C3405" s="34"/>
      <c r="D3405" s="34">
        <v>83.82</v>
      </c>
    </row>
    <row r="3406" spans="1:4" hidden="1" x14ac:dyDescent="0.25">
      <c r="A3406" s="4">
        <v>42094</v>
      </c>
      <c r="B3406" t="s">
        <v>590</v>
      </c>
      <c r="C3406" s="34"/>
      <c r="D3406" s="34">
        <v>404.12</v>
      </c>
    </row>
    <row r="3407" spans="1:4" hidden="1" x14ac:dyDescent="0.25">
      <c r="A3407" s="4">
        <v>42094</v>
      </c>
      <c r="B3407" t="s">
        <v>372</v>
      </c>
      <c r="C3407" s="34"/>
      <c r="D3407" s="34">
        <v>242.54</v>
      </c>
    </row>
    <row r="3408" spans="1:4" hidden="1" x14ac:dyDescent="0.25">
      <c r="A3408" s="4">
        <v>42096</v>
      </c>
      <c r="B3408" t="s">
        <v>591</v>
      </c>
      <c r="C3408" s="34"/>
      <c r="D3408" s="34">
        <v>990</v>
      </c>
    </row>
    <row r="3409" spans="1:4" hidden="1" x14ac:dyDescent="0.25">
      <c r="A3409" s="4">
        <v>42103</v>
      </c>
      <c r="B3409" t="s">
        <v>592</v>
      </c>
      <c r="C3409" s="34"/>
      <c r="D3409" s="34">
        <v>238</v>
      </c>
    </row>
    <row r="3410" spans="1:4" hidden="1" x14ac:dyDescent="0.25">
      <c r="A3410" s="4">
        <v>42104</v>
      </c>
      <c r="B3410" t="s">
        <v>385</v>
      </c>
      <c r="C3410" s="34"/>
      <c r="D3410" s="34">
        <v>200</v>
      </c>
    </row>
    <row r="3411" spans="1:4" hidden="1" x14ac:dyDescent="0.25">
      <c r="A3411" s="4">
        <v>42107</v>
      </c>
      <c r="B3411" t="s">
        <v>593</v>
      </c>
      <c r="C3411" s="34"/>
      <c r="D3411" s="34">
        <v>139.69999999999999</v>
      </c>
    </row>
    <row r="3412" spans="1:4" hidden="1" x14ac:dyDescent="0.25">
      <c r="A3412" s="4">
        <v>42118</v>
      </c>
      <c r="B3412" t="s">
        <v>595</v>
      </c>
      <c r="C3412" s="34"/>
      <c r="D3412" s="34">
        <v>108</v>
      </c>
    </row>
    <row r="3413" spans="1:4" hidden="1" x14ac:dyDescent="0.25">
      <c r="A3413" s="4">
        <v>42124</v>
      </c>
      <c r="B3413" t="s">
        <v>372</v>
      </c>
      <c r="C3413" s="34"/>
      <c r="D3413" s="34">
        <v>273.67</v>
      </c>
    </row>
    <row r="3414" spans="1:4" hidden="1" x14ac:dyDescent="0.25">
      <c r="A3414" s="4">
        <v>42149</v>
      </c>
      <c r="B3414" t="s">
        <v>597</v>
      </c>
      <c r="C3414" s="34"/>
      <c r="D3414" s="34">
        <v>795.2</v>
      </c>
    </row>
    <row r="3415" spans="1:4" hidden="1" x14ac:dyDescent="0.25">
      <c r="A3415" s="4">
        <v>42153</v>
      </c>
      <c r="B3415" t="s">
        <v>372</v>
      </c>
      <c r="C3415" s="34"/>
      <c r="D3415" s="34">
        <v>255.7</v>
      </c>
    </row>
    <row r="3416" spans="1:4" hidden="1" x14ac:dyDescent="0.25">
      <c r="A3416" s="4">
        <v>42185</v>
      </c>
      <c r="B3416" t="s">
        <v>372</v>
      </c>
      <c r="C3416" s="34"/>
      <c r="D3416" s="34">
        <v>232.14</v>
      </c>
    </row>
    <row r="3417" spans="1:4" hidden="1" x14ac:dyDescent="0.25">
      <c r="A3417" s="4">
        <v>42089</v>
      </c>
      <c r="B3417" t="s">
        <v>479</v>
      </c>
      <c r="C3417" s="34"/>
      <c r="D3417" s="34">
        <v>434.65</v>
      </c>
    </row>
    <row r="3418" spans="1:4" hidden="1" x14ac:dyDescent="0.25">
      <c r="A3418" s="4">
        <v>42153</v>
      </c>
      <c r="B3418" t="s">
        <v>479</v>
      </c>
      <c r="C3418" s="34"/>
      <c r="D3418" s="34">
        <v>142.75</v>
      </c>
    </row>
    <row r="3419" spans="1:4" hidden="1" x14ac:dyDescent="0.25">
      <c r="A3419" s="4">
        <v>42230</v>
      </c>
      <c r="B3419" t="s">
        <v>306</v>
      </c>
      <c r="C3419" s="34"/>
      <c r="D3419" s="34">
        <v>476.46</v>
      </c>
    </row>
    <row r="3420" spans="1:4" hidden="1" x14ac:dyDescent="0.25">
      <c r="A3420" s="4">
        <v>42048</v>
      </c>
      <c r="B3420" t="s">
        <v>306</v>
      </c>
      <c r="C3420" s="34"/>
      <c r="D3420" s="34">
        <v>528.26</v>
      </c>
    </row>
    <row r="3421" spans="1:4" hidden="1" x14ac:dyDescent="0.25">
      <c r="A3421" s="4">
        <v>42286</v>
      </c>
      <c r="B3421" t="s">
        <v>283</v>
      </c>
      <c r="C3421" s="34"/>
      <c r="D3421" s="34">
        <v>1308.7</v>
      </c>
    </row>
    <row r="3422" spans="1:4" hidden="1" x14ac:dyDescent="0.25">
      <c r="A3422" s="4">
        <v>42354</v>
      </c>
      <c r="B3422" t="s">
        <v>283</v>
      </c>
      <c r="C3422" s="34"/>
      <c r="D3422" s="34">
        <v>292</v>
      </c>
    </row>
    <row r="3423" spans="1:4" hidden="1" x14ac:dyDescent="0.25">
      <c r="A3423" s="4">
        <v>42096</v>
      </c>
      <c r="B3423" t="s">
        <v>283</v>
      </c>
      <c r="C3423" s="34"/>
      <c r="D3423" s="34">
        <v>1027.95</v>
      </c>
    </row>
    <row r="3424" spans="1:4" hidden="1" x14ac:dyDescent="0.25">
      <c r="A3424" s="4">
        <v>42185</v>
      </c>
      <c r="B3424" s="4" t="s">
        <v>250</v>
      </c>
      <c r="C3424" s="34"/>
      <c r="D3424" s="34">
        <v>24919.75</v>
      </c>
    </row>
    <row r="3425" spans="1:4" hidden="1" x14ac:dyDescent="0.25">
      <c r="A3425" s="4">
        <v>42185</v>
      </c>
      <c r="B3425" s="4" t="s">
        <v>75</v>
      </c>
      <c r="C3425" s="34"/>
      <c r="D3425" s="34">
        <v>12435.98</v>
      </c>
    </row>
    <row r="3426" spans="1:4" hidden="1" x14ac:dyDescent="0.25">
      <c r="A3426" s="4">
        <v>42185</v>
      </c>
      <c r="B3426" t="s">
        <v>14</v>
      </c>
      <c r="C3426" s="36">
        <f>SUM(C3366:C3425)</f>
        <v>0</v>
      </c>
      <c r="D3426" s="36">
        <f>SUM(D3366:D3425)</f>
        <v>61540.72</v>
      </c>
    </row>
    <row r="3427" spans="1:4" hidden="1" x14ac:dyDescent="0.25">
      <c r="A3427" s="4"/>
      <c r="B3427" s="4" t="s">
        <v>15</v>
      </c>
      <c r="C3427" s="34" t="str">
        <f>IF(C3426&gt;D3426,C3426-D3426," ")</f>
        <v xml:space="preserve"> </v>
      </c>
      <c r="D3427" s="34">
        <f>IF(D3426&gt;C3426,D3426-C3426," ")</f>
        <v>61540.72</v>
      </c>
    </row>
    <row r="3428" spans="1:4" hidden="1" x14ac:dyDescent="0.25">
      <c r="A3428" s="4">
        <v>42186</v>
      </c>
      <c r="B3428" t="s">
        <v>612</v>
      </c>
      <c r="C3428" s="34"/>
      <c r="D3428" s="34">
        <v>430</v>
      </c>
    </row>
    <row r="3429" spans="1:4" hidden="1" x14ac:dyDescent="0.25">
      <c r="A3429" s="4">
        <v>42187</v>
      </c>
      <c r="B3429" t="s">
        <v>613</v>
      </c>
      <c r="C3429" s="34"/>
      <c r="D3429" s="34">
        <v>465</v>
      </c>
    </row>
    <row r="3430" spans="1:4" hidden="1" x14ac:dyDescent="0.25">
      <c r="A3430" s="4">
        <v>42188</v>
      </c>
      <c r="B3430" t="s">
        <v>614</v>
      </c>
      <c r="C3430" s="34"/>
      <c r="D3430" s="34">
        <v>495</v>
      </c>
    </row>
    <row r="3431" spans="1:4" hidden="1" x14ac:dyDescent="0.25">
      <c r="A3431" s="4">
        <v>42216</v>
      </c>
      <c r="B3431" t="s">
        <v>372</v>
      </c>
      <c r="C3431" s="34"/>
      <c r="D3431" s="34">
        <v>242.48</v>
      </c>
    </row>
    <row r="3432" spans="1:4" hidden="1" x14ac:dyDescent="0.25">
      <c r="A3432" s="4">
        <v>42242</v>
      </c>
      <c r="B3432" t="s">
        <v>440</v>
      </c>
      <c r="C3432" s="34"/>
      <c r="D3432" s="34">
        <v>756</v>
      </c>
    </row>
    <row r="3433" spans="1:4" hidden="1" x14ac:dyDescent="0.25">
      <c r="A3433" s="4">
        <v>42247</v>
      </c>
      <c r="B3433" t="s">
        <v>619</v>
      </c>
      <c r="C3433" s="34"/>
      <c r="D3433" s="34">
        <v>338.88</v>
      </c>
    </row>
    <row r="3434" spans="1:4" hidden="1" x14ac:dyDescent="0.25">
      <c r="A3434" s="4">
        <v>42247</v>
      </c>
      <c r="B3434" t="s">
        <v>620</v>
      </c>
      <c r="C3434" s="34"/>
      <c r="D3434" s="34">
        <v>254.68</v>
      </c>
    </row>
    <row r="3435" spans="1:4" hidden="1" x14ac:dyDescent="0.25">
      <c r="A3435" s="4">
        <v>42247</v>
      </c>
      <c r="B3435" t="s">
        <v>372</v>
      </c>
      <c r="C3435" s="34"/>
      <c r="D3435" s="34">
        <v>246.68</v>
      </c>
    </row>
    <row r="3436" spans="1:4" hidden="1" x14ac:dyDescent="0.25">
      <c r="A3436" s="4">
        <v>42255</v>
      </c>
      <c r="B3436" t="s">
        <v>621</v>
      </c>
      <c r="C3436" s="34"/>
      <c r="D3436" s="34">
        <v>80</v>
      </c>
    </row>
    <row r="3437" spans="1:4" hidden="1" x14ac:dyDescent="0.25">
      <c r="A3437" s="4">
        <v>42265</v>
      </c>
      <c r="B3437" t="s">
        <v>622</v>
      </c>
      <c r="C3437" s="34"/>
      <c r="D3437" s="34">
        <v>378</v>
      </c>
    </row>
    <row r="3438" spans="1:4" hidden="1" x14ac:dyDescent="0.25">
      <c r="A3438" s="4">
        <v>42270</v>
      </c>
      <c r="B3438" t="s">
        <v>623</v>
      </c>
      <c r="C3438" s="34"/>
      <c r="D3438" s="34">
        <v>572.71</v>
      </c>
    </row>
    <row r="3439" spans="1:4" hidden="1" x14ac:dyDescent="0.25">
      <c r="A3439" s="4">
        <v>42271</v>
      </c>
      <c r="B3439" t="s">
        <v>624</v>
      </c>
      <c r="C3439" s="34"/>
      <c r="D3439" s="34">
        <v>495.72</v>
      </c>
    </row>
    <row r="3440" spans="1:4" hidden="1" x14ac:dyDescent="0.25">
      <c r="A3440" s="4">
        <v>42272</v>
      </c>
      <c r="B3440" t="s">
        <v>625</v>
      </c>
      <c r="C3440" s="34"/>
      <c r="D3440" s="34">
        <v>793.6</v>
      </c>
    </row>
    <row r="3441" spans="1:4" hidden="1" x14ac:dyDescent="0.25">
      <c r="A3441" s="4">
        <v>42276</v>
      </c>
      <c r="B3441" t="s">
        <v>626</v>
      </c>
      <c r="C3441" s="34"/>
      <c r="D3441" s="34">
        <v>438.91</v>
      </c>
    </row>
    <row r="3442" spans="1:4" hidden="1" x14ac:dyDescent="0.25">
      <c r="A3442" s="4">
        <v>42277</v>
      </c>
      <c r="B3442" t="s">
        <v>372</v>
      </c>
      <c r="C3442" s="34"/>
      <c r="D3442" s="34">
        <v>242.42</v>
      </c>
    </row>
    <row r="3443" spans="1:4" hidden="1" x14ac:dyDescent="0.25">
      <c r="A3443" s="4">
        <v>42277</v>
      </c>
      <c r="B3443" t="s">
        <v>627</v>
      </c>
      <c r="C3443" s="34"/>
      <c r="D3443" s="34">
        <v>139.69999999999999</v>
      </c>
    </row>
    <row r="3444" spans="1:4" hidden="1" x14ac:dyDescent="0.25">
      <c r="A3444" s="4">
        <v>42278</v>
      </c>
      <c r="B3444" t="s">
        <v>628</v>
      </c>
      <c r="C3444" s="34"/>
      <c r="D3444" s="34">
        <v>1110</v>
      </c>
    </row>
    <row r="3445" spans="1:4" hidden="1" x14ac:dyDescent="0.25">
      <c r="A3445" s="4">
        <v>42278</v>
      </c>
      <c r="B3445" t="s">
        <v>383</v>
      </c>
      <c r="C3445" s="34"/>
      <c r="D3445" s="34">
        <v>100.44</v>
      </c>
    </row>
    <row r="3446" spans="1:4" hidden="1" x14ac:dyDescent="0.25">
      <c r="A3446" s="4">
        <v>42279</v>
      </c>
      <c r="B3446" t="s">
        <v>629</v>
      </c>
      <c r="C3446" s="34"/>
      <c r="D3446" s="34">
        <v>127</v>
      </c>
    </row>
    <row r="3447" spans="1:4" hidden="1" x14ac:dyDescent="0.25">
      <c r="A3447" s="4">
        <v>42285</v>
      </c>
      <c r="B3447" t="s">
        <v>630</v>
      </c>
      <c r="C3447" s="34"/>
      <c r="D3447" s="34">
        <v>238</v>
      </c>
    </row>
    <row r="3448" spans="1:4" hidden="1" x14ac:dyDescent="0.25">
      <c r="A3448" s="4">
        <v>42286</v>
      </c>
      <c r="B3448" t="s">
        <v>385</v>
      </c>
      <c r="C3448" s="34"/>
      <c r="D3448" s="34">
        <v>200</v>
      </c>
    </row>
    <row r="3449" spans="1:4" hidden="1" x14ac:dyDescent="0.25">
      <c r="A3449" s="4">
        <v>42300</v>
      </c>
      <c r="B3449" t="s">
        <v>632</v>
      </c>
      <c r="C3449" s="34"/>
      <c r="D3449" s="34">
        <v>117</v>
      </c>
    </row>
    <row r="3450" spans="1:4" hidden="1" x14ac:dyDescent="0.25">
      <c r="A3450" s="4">
        <v>42307</v>
      </c>
      <c r="B3450" t="s">
        <v>372</v>
      </c>
      <c r="C3450" s="34"/>
      <c r="D3450" s="34">
        <v>258.43</v>
      </c>
    </row>
    <row r="3451" spans="1:4" hidden="1" x14ac:dyDescent="0.25">
      <c r="A3451" s="4">
        <v>42338</v>
      </c>
      <c r="B3451" t="s">
        <v>372</v>
      </c>
      <c r="C3451" s="34"/>
      <c r="D3451" s="34">
        <v>253.88</v>
      </c>
    </row>
    <row r="3452" spans="1:4" hidden="1" x14ac:dyDescent="0.25">
      <c r="A3452" s="4">
        <v>42353</v>
      </c>
      <c r="B3452" t="s">
        <v>636</v>
      </c>
      <c r="C3452" s="34"/>
      <c r="D3452" s="34">
        <v>534.6</v>
      </c>
    </row>
    <row r="3453" spans="1:4" hidden="1" x14ac:dyDescent="0.25">
      <c r="A3453" s="4">
        <v>42354</v>
      </c>
      <c r="B3453" t="s">
        <v>637</v>
      </c>
      <c r="C3453" s="34"/>
      <c r="D3453" s="34">
        <v>475</v>
      </c>
    </row>
    <row r="3454" spans="1:4" hidden="1" x14ac:dyDescent="0.25">
      <c r="A3454" s="4">
        <v>42359</v>
      </c>
      <c r="B3454" t="s">
        <v>638</v>
      </c>
      <c r="C3454" s="34"/>
      <c r="D3454" s="34">
        <v>470</v>
      </c>
    </row>
    <row r="3455" spans="1:4" hidden="1" x14ac:dyDescent="0.25">
      <c r="A3455" s="4">
        <v>42368</v>
      </c>
      <c r="B3455" t="s">
        <v>640</v>
      </c>
      <c r="C3455" s="34"/>
      <c r="D3455" s="34">
        <v>47.4</v>
      </c>
    </row>
    <row r="3456" spans="1:4" hidden="1" x14ac:dyDescent="0.25">
      <c r="A3456" s="4">
        <v>42369</v>
      </c>
      <c r="B3456" t="s">
        <v>372</v>
      </c>
      <c r="C3456" s="34"/>
      <c r="D3456" s="34">
        <v>266.05</v>
      </c>
    </row>
    <row r="3457" spans="1:4" hidden="1" x14ac:dyDescent="0.25">
      <c r="A3457" s="4">
        <v>42398</v>
      </c>
      <c r="B3457" t="s">
        <v>372</v>
      </c>
      <c r="C3457" s="34"/>
      <c r="D3457" s="34">
        <v>268.14999999999998</v>
      </c>
    </row>
    <row r="3458" spans="1:4" hidden="1" x14ac:dyDescent="0.25">
      <c r="A3458" s="4">
        <v>42429</v>
      </c>
      <c r="B3458" t="s">
        <v>372</v>
      </c>
      <c r="C3458" s="34"/>
      <c r="D3458" s="34">
        <v>255.24</v>
      </c>
    </row>
    <row r="3459" spans="1:4" hidden="1" x14ac:dyDescent="0.25">
      <c r="A3459" s="4">
        <v>42429</v>
      </c>
      <c r="B3459" t="s">
        <v>644</v>
      </c>
      <c r="C3459" s="34"/>
      <c r="D3459" s="34">
        <v>338.89</v>
      </c>
    </row>
    <row r="3460" spans="1:4" hidden="1" x14ac:dyDescent="0.25">
      <c r="A3460" s="4">
        <v>42429</v>
      </c>
      <c r="B3460" t="s">
        <v>645</v>
      </c>
      <c r="C3460" s="34"/>
      <c r="D3460" s="34">
        <v>264.43</v>
      </c>
    </row>
    <row r="3461" spans="1:4" hidden="1" x14ac:dyDescent="0.25">
      <c r="A3461" s="4">
        <v>42433</v>
      </c>
      <c r="B3461" t="s">
        <v>440</v>
      </c>
      <c r="C3461" s="34"/>
      <c r="D3461" s="34">
        <v>1026</v>
      </c>
    </row>
    <row r="3462" spans="1:4" hidden="1" x14ac:dyDescent="0.25">
      <c r="A3462" s="4">
        <v>42444</v>
      </c>
      <c r="B3462" t="s">
        <v>648</v>
      </c>
      <c r="C3462" s="34"/>
      <c r="D3462" s="34">
        <v>420</v>
      </c>
    </row>
    <row r="3463" spans="1:4" hidden="1" x14ac:dyDescent="0.25">
      <c r="A3463" s="4">
        <v>42445</v>
      </c>
      <c r="B3463" t="s">
        <v>649</v>
      </c>
      <c r="C3463" s="34"/>
      <c r="D3463" s="34">
        <v>466.56</v>
      </c>
    </row>
    <row r="3464" spans="1:4" hidden="1" x14ac:dyDescent="0.25">
      <c r="A3464" s="4">
        <v>42447</v>
      </c>
      <c r="B3464" t="s">
        <v>650</v>
      </c>
      <c r="C3464" s="34"/>
      <c r="D3464" s="34">
        <v>80</v>
      </c>
    </row>
    <row r="3465" spans="1:4" hidden="1" x14ac:dyDescent="0.25">
      <c r="A3465" s="4">
        <v>42460</v>
      </c>
      <c r="B3465" t="s">
        <v>651</v>
      </c>
      <c r="C3465" s="34"/>
      <c r="D3465" s="34">
        <v>1033.56</v>
      </c>
    </row>
    <row r="3466" spans="1:4" hidden="1" x14ac:dyDescent="0.25">
      <c r="A3466" s="4">
        <v>42460</v>
      </c>
      <c r="B3466" t="s">
        <v>652</v>
      </c>
      <c r="C3466" s="34"/>
      <c r="D3466" s="34">
        <v>106.84</v>
      </c>
    </row>
    <row r="3467" spans="1:4" hidden="1" x14ac:dyDescent="0.25">
      <c r="A3467" s="4">
        <v>42460</v>
      </c>
      <c r="B3467" t="s">
        <v>653</v>
      </c>
      <c r="C3467" s="34"/>
      <c r="D3467" s="34">
        <v>125.73</v>
      </c>
    </row>
    <row r="3468" spans="1:4" hidden="1" x14ac:dyDescent="0.25">
      <c r="A3468" s="4">
        <v>42460</v>
      </c>
      <c r="B3468" t="s">
        <v>372</v>
      </c>
      <c r="C3468" s="34"/>
      <c r="D3468" s="34">
        <v>293.93</v>
      </c>
    </row>
    <row r="3469" spans="1:4" hidden="1" x14ac:dyDescent="0.25">
      <c r="A3469" s="4">
        <v>42461</v>
      </c>
      <c r="B3469" t="s">
        <v>654</v>
      </c>
      <c r="C3469" s="34"/>
      <c r="D3469" s="34">
        <v>793.6</v>
      </c>
    </row>
    <row r="3470" spans="1:4" hidden="1" x14ac:dyDescent="0.25">
      <c r="A3470" s="4">
        <v>42474</v>
      </c>
      <c r="B3470" t="s">
        <v>655</v>
      </c>
      <c r="C3470" s="34"/>
      <c r="D3470" s="34">
        <v>190.5</v>
      </c>
    </row>
    <row r="3471" spans="1:4" hidden="1" x14ac:dyDescent="0.25">
      <c r="A3471" s="4">
        <v>42474</v>
      </c>
      <c r="B3471" t="s">
        <v>656</v>
      </c>
      <c r="C3471" s="34"/>
      <c r="D3471" s="34">
        <v>246.5</v>
      </c>
    </row>
    <row r="3472" spans="1:4" hidden="1" x14ac:dyDescent="0.25">
      <c r="A3472" s="4">
        <v>42489</v>
      </c>
      <c r="B3472" t="s">
        <v>372</v>
      </c>
      <c r="C3472" s="34"/>
      <c r="D3472" s="34">
        <v>291.39</v>
      </c>
    </row>
    <row r="3473" spans="1:4" hidden="1" x14ac:dyDescent="0.25">
      <c r="A3473" s="4">
        <v>42521</v>
      </c>
      <c r="B3473" t="s">
        <v>372</v>
      </c>
      <c r="C3473" s="34"/>
      <c r="D3473" s="34">
        <v>269.08</v>
      </c>
    </row>
    <row r="3474" spans="1:4" hidden="1" x14ac:dyDescent="0.25">
      <c r="A3474" s="4">
        <v>42551</v>
      </c>
      <c r="B3474" t="s">
        <v>372</v>
      </c>
      <c r="C3474" s="34"/>
      <c r="D3474" s="34">
        <v>248.7</v>
      </c>
    </row>
    <row r="3475" spans="1:4" hidden="1" x14ac:dyDescent="0.25">
      <c r="A3475" s="4">
        <v>42230</v>
      </c>
      <c r="B3475" t="s">
        <v>306</v>
      </c>
      <c r="C3475" s="34"/>
      <c r="D3475" s="34">
        <v>567.65</v>
      </c>
    </row>
    <row r="3476" spans="1:4" hidden="1" x14ac:dyDescent="0.25">
      <c r="A3476" s="4">
        <v>42412</v>
      </c>
      <c r="B3476" t="s">
        <v>306</v>
      </c>
      <c r="C3476" s="34"/>
      <c r="D3476" s="34">
        <v>636.08000000000004</v>
      </c>
    </row>
    <row r="3477" spans="1:4" hidden="1" x14ac:dyDescent="0.25">
      <c r="A3477" s="4">
        <v>42277</v>
      </c>
      <c r="B3477" t="s">
        <v>283</v>
      </c>
      <c r="C3477" s="34"/>
      <c r="D3477" s="34">
        <v>1307.58</v>
      </c>
    </row>
    <row r="3478" spans="1:4" hidden="1" x14ac:dyDescent="0.25">
      <c r="A3478" s="4">
        <v>42467</v>
      </c>
      <c r="B3478" t="s">
        <v>283</v>
      </c>
      <c r="C3478" s="34"/>
      <c r="D3478" s="34">
        <v>1102.92</v>
      </c>
    </row>
    <row r="3479" spans="1:4" hidden="1" x14ac:dyDescent="0.25">
      <c r="A3479" s="4">
        <v>42468</v>
      </c>
      <c r="B3479" s="4" t="s">
        <v>307</v>
      </c>
      <c r="C3479" s="34"/>
      <c r="D3479" s="34">
        <v>372.46</v>
      </c>
    </row>
    <row r="3480" spans="1:4" hidden="1" x14ac:dyDescent="0.25">
      <c r="A3480" s="4">
        <v>42551</v>
      </c>
      <c r="B3480" s="4" t="s">
        <v>250</v>
      </c>
      <c r="C3480" s="34"/>
      <c r="D3480" s="34">
        <v>2057.4299999999998</v>
      </c>
    </row>
    <row r="3481" spans="1:4" hidden="1" x14ac:dyDescent="0.25">
      <c r="A3481" s="4">
        <v>42551</v>
      </c>
      <c r="B3481" s="4" t="s">
        <v>75</v>
      </c>
      <c r="C3481" s="34">
        <v>16479.29</v>
      </c>
      <c r="D3481" s="34"/>
    </row>
    <row r="3482" spans="1:4" hidden="1" x14ac:dyDescent="0.25">
      <c r="A3482" s="4">
        <v>42551</v>
      </c>
      <c r="B3482" t="s">
        <v>14</v>
      </c>
      <c r="C3482" s="36">
        <f>SUM(C3428:C3481)</f>
        <v>16479.29</v>
      </c>
      <c r="D3482" s="36">
        <f>SUM(D3428:D3481)</f>
        <v>23330.800000000003</v>
      </c>
    </row>
    <row r="3483" spans="1:4" hidden="1" x14ac:dyDescent="0.25">
      <c r="A3483" s="4"/>
      <c r="B3483" s="4" t="s">
        <v>15</v>
      </c>
      <c r="C3483" s="34" t="str">
        <f>IF(C3482&gt;D3482,C3482-D3482," ")</f>
        <v xml:space="preserve"> </v>
      </c>
      <c r="D3483" s="34">
        <f>IF(D3482&gt;C3482,D3482-C3482," ")</f>
        <v>6851.510000000002</v>
      </c>
    </row>
    <row r="3484" spans="1:4" hidden="1" x14ac:dyDescent="0.25">
      <c r="A3484" s="4">
        <v>42552</v>
      </c>
      <c r="B3484" s="3" t="s">
        <v>665</v>
      </c>
      <c r="C3484" s="34"/>
      <c r="D3484" s="34">
        <v>400</v>
      </c>
    </row>
    <row r="3485" spans="1:4" hidden="1" x14ac:dyDescent="0.25">
      <c r="A3485" s="4">
        <v>42555</v>
      </c>
      <c r="B3485" s="3" t="s">
        <v>667</v>
      </c>
      <c r="C3485" s="34"/>
      <c r="D3485" s="34">
        <v>490.68</v>
      </c>
    </row>
    <row r="3486" spans="1:4" hidden="1" x14ac:dyDescent="0.25">
      <c r="A3486" s="4">
        <v>42556</v>
      </c>
      <c r="B3486" s="3" t="s">
        <v>668</v>
      </c>
      <c r="C3486" s="34"/>
      <c r="D3486" s="34">
        <v>534.6</v>
      </c>
    </row>
    <row r="3487" spans="1:4" hidden="1" x14ac:dyDescent="0.25">
      <c r="A3487" s="4">
        <v>42580</v>
      </c>
      <c r="B3487" s="3" t="s">
        <v>372</v>
      </c>
      <c r="C3487" s="34"/>
      <c r="D3487" s="34">
        <v>257.14999999999998</v>
      </c>
    </row>
    <row r="3488" spans="1:4" hidden="1" x14ac:dyDescent="0.25">
      <c r="A3488" s="4">
        <v>42608</v>
      </c>
      <c r="B3488" s="3" t="s">
        <v>440</v>
      </c>
      <c r="C3488" s="34"/>
      <c r="D3488" s="34">
        <v>760</v>
      </c>
    </row>
    <row r="3489" spans="1:4" hidden="1" x14ac:dyDescent="0.25">
      <c r="A3489" s="4">
        <v>42613</v>
      </c>
      <c r="B3489" s="3" t="s">
        <v>672</v>
      </c>
      <c r="C3489" s="34"/>
      <c r="D3489" s="34">
        <v>345.37</v>
      </c>
    </row>
    <row r="3490" spans="1:4" hidden="1" x14ac:dyDescent="0.25">
      <c r="A3490" s="4">
        <v>42613</v>
      </c>
      <c r="B3490" s="3" t="s">
        <v>673</v>
      </c>
      <c r="C3490" s="34"/>
      <c r="D3490" s="34">
        <v>243.89</v>
      </c>
    </row>
    <row r="3491" spans="1:4" hidden="1" x14ac:dyDescent="0.25">
      <c r="A3491" s="4">
        <v>42613</v>
      </c>
      <c r="B3491" s="3" t="s">
        <v>372</v>
      </c>
      <c r="C3491" s="34"/>
      <c r="D3491" s="34">
        <v>225.44</v>
      </c>
    </row>
    <row r="3492" spans="1:4" hidden="1" x14ac:dyDescent="0.25">
      <c r="A3492" s="4">
        <v>42619</v>
      </c>
      <c r="B3492" s="3" t="s">
        <v>674</v>
      </c>
      <c r="C3492" s="34"/>
      <c r="D3492" s="34">
        <v>80</v>
      </c>
    </row>
    <row r="3493" spans="1:4" hidden="1" x14ac:dyDescent="0.25">
      <c r="A3493" s="4">
        <v>42627</v>
      </c>
      <c r="B3493" s="3" t="s">
        <v>675</v>
      </c>
      <c r="C3493" s="34"/>
      <c r="D3493" s="34">
        <v>420</v>
      </c>
    </row>
    <row r="3494" spans="1:4" hidden="1" x14ac:dyDescent="0.25">
      <c r="A3494" s="4">
        <v>42633</v>
      </c>
      <c r="B3494" s="3" t="s">
        <v>676</v>
      </c>
      <c r="C3494" s="34"/>
      <c r="D3494" s="34">
        <v>92.6</v>
      </c>
    </row>
    <row r="3495" spans="1:4" hidden="1" x14ac:dyDescent="0.25">
      <c r="A3495" s="4">
        <v>42635</v>
      </c>
      <c r="B3495" s="3" t="s">
        <v>677</v>
      </c>
      <c r="C3495" s="34"/>
      <c r="D3495" s="34">
        <v>524.88</v>
      </c>
    </row>
    <row r="3496" spans="1:4" hidden="1" x14ac:dyDescent="0.25">
      <c r="A3496" s="4">
        <v>42636</v>
      </c>
      <c r="B3496" s="3" t="s">
        <v>678</v>
      </c>
      <c r="C3496" s="34"/>
      <c r="D3496" s="34">
        <v>793.6</v>
      </c>
    </row>
    <row r="3497" spans="1:4" hidden="1" x14ac:dyDescent="0.25">
      <c r="A3497" s="4">
        <v>42641</v>
      </c>
      <c r="B3497" s="3" t="s">
        <v>680</v>
      </c>
      <c r="C3497" s="34"/>
      <c r="D3497" s="34">
        <v>133.35</v>
      </c>
    </row>
    <row r="3498" spans="1:4" hidden="1" x14ac:dyDescent="0.25">
      <c r="A3498" s="4">
        <v>42642</v>
      </c>
      <c r="B3498" s="3" t="s">
        <v>681</v>
      </c>
      <c r="C3498" s="34"/>
      <c r="D3498" s="34">
        <v>1158.8399999999999</v>
      </c>
    </row>
    <row r="3499" spans="1:4" hidden="1" x14ac:dyDescent="0.25">
      <c r="A3499" s="4">
        <v>42643</v>
      </c>
      <c r="B3499" s="3" t="s">
        <v>372</v>
      </c>
      <c r="C3499" s="34"/>
      <c r="D3499" s="34">
        <v>218.97</v>
      </c>
    </row>
    <row r="3500" spans="1:4" hidden="1" x14ac:dyDescent="0.25">
      <c r="A3500" s="4">
        <v>42643</v>
      </c>
      <c r="B3500" s="3" t="s">
        <v>682</v>
      </c>
      <c r="C3500" s="34"/>
      <c r="D3500" s="34">
        <v>286.14999999999998</v>
      </c>
    </row>
    <row r="3501" spans="1:4" hidden="1" x14ac:dyDescent="0.25">
      <c r="A3501" s="4">
        <v>42643</v>
      </c>
      <c r="B3501" s="3" t="s">
        <v>683</v>
      </c>
      <c r="C3501" s="34"/>
      <c r="D3501" s="34">
        <v>125.73</v>
      </c>
    </row>
    <row r="3502" spans="1:4" hidden="1" x14ac:dyDescent="0.25">
      <c r="A3502" s="4">
        <v>42649</v>
      </c>
      <c r="B3502" s="3" t="s">
        <v>684</v>
      </c>
      <c r="C3502" s="34"/>
      <c r="D3502" s="34">
        <v>6.6</v>
      </c>
    </row>
    <row r="3503" spans="1:4" hidden="1" x14ac:dyDescent="0.25">
      <c r="A3503" s="4">
        <v>42656</v>
      </c>
      <c r="B3503" s="3" t="s">
        <v>685</v>
      </c>
      <c r="C3503" s="34"/>
      <c r="D3503" s="34">
        <v>246.5</v>
      </c>
    </row>
    <row r="3504" spans="1:4" hidden="1" x14ac:dyDescent="0.25">
      <c r="A3504" s="4">
        <v>42674</v>
      </c>
      <c r="B3504" s="3" t="s">
        <v>372</v>
      </c>
      <c r="C3504" s="34"/>
      <c r="D3504" s="34">
        <v>230.53</v>
      </c>
    </row>
    <row r="3505" spans="1:4" hidden="1" x14ac:dyDescent="0.25">
      <c r="A3505" s="4">
        <v>42704</v>
      </c>
      <c r="B3505" s="3" t="s">
        <v>372</v>
      </c>
      <c r="C3505" s="34"/>
      <c r="D3505" s="34">
        <v>225.92</v>
      </c>
    </row>
    <row r="3506" spans="1:4" hidden="1" x14ac:dyDescent="0.25">
      <c r="A3506" s="4">
        <v>42717</v>
      </c>
      <c r="B3506" s="3" t="s">
        <v>689</v>
      </c>
      <c r="C3506" s="34"/>
      <c r="D3506" s="34">
        <v>534.6</v>
      </c>
    </row>
    <row r="3507" spans="1:4" hidden="1" x14ac:dyDescent="0.25">
      <c r="A3507" s="4">
        <v>42720</v>
      </c>
      <c r="B3507" s="3" t="s">
        <v>690</v>
      </c>
      <c r="C3507" s="34"/>
      <c r="D3507" s="34">
        <v>400</v>
      </c>
    </row>
    <row r="3508" spans="1:4" hidden="1" x14ac:dyDescent="0.25">
      <c r="A3508" s="4">
        <v>42725</v>
      </c>
      <c r="B3508" s="3" t="s">
        <v>693</v>
      </c>
      <c r="C3508" s="34"/>
      <c r="D3508" s="34">
        <v>490.68</v>
      </c>
    </row>
    <row r="3509" spans="1:4" hidden="1" x14ac:dyDescent="0.25">
      <c r="A3509" s="4">
        <v>42734</v>
      </c>
      <c r="B3509" s="3" t="s">
        <v>372</v>
      </c>
      <c r="C3509" s="34"/>
      <c r="D3509" s="34">
        <v>236.84</v>
      </c>
    </row>
    <row r="3510" spans="1:4" hidden="1" x14ac:dyDescent="0.25">
      <c r="A3510" s="4">
        <v>42766</v>
      </c>
      <c r="B3510" s="3" t="s">
        <v>372</v>
      </c>
      <c r="C3510" s="34"/>
      <c r="D3510" s="34">
        <v>239.08</v>
      </c>
    </row>
    <row r="3511" spans="1:4" hidden="1" x14ac:dyDescent="0.25">
      <c r="A3511" s="4">
        <v>42794</v>
      </c>
      <c r="B3511" s="3" t="s">
        <v>696</v>
      </c>
      <c r="C3511" s="34"/>
      <c r="D3511" s="34">
        <v>246.06</v>
      </c>
    </row>
    <row r="3512" spans="1:4" hidden="1" x14ac:dyDescent="0.25">
      <c r="A3512" s="4">
        <v>42794</v>
      </c>
      <c r="B3512" s="3" t="s">
        <v>697</v>
      </c>
      <c r="C3512" s="34"/>
      <c r="D3512" s="34">
        <v>345.37</v>
      </c>
    </row>
    <row r="3513" spans="1:4" hidden="1" x14ac:dyDescent="0.25">
      <c r="A3513" s="4">
        <v>42794</v>
      </c>
      <c r="B3513" s="3" t="s">
        <v>372</v>
      </c>
      <c r="C3513" s="34"/>
      <c r="D3513" s="34">
        <v>218.61</v>
      </c>
    </row>
    <row r="3514" spans="1:4" hidden="1" x14ac:dyDescent="0.25">
      <c r="A3514" s="4">
        <v>42796</v>
      </c>
      <c r="B3514" s="3" t="s">
        <v>440</v>
      </c>
      <c r="C3514" s="34"/>
      <c r="D3514" s="34">
        <v>768</v>
      </c>
    </row>
    <row r="3515" spans="1:4" hidden="1" x14ac:dyDescent="0.25">
      <c r="A3515" s="4">
        <v>42816</v>
      </c>
      <c r="B3515" s="3" t="s">
        <v>698</v>
      </c>
      <c r="C3515" s="34"/>
      <c r="D3515" s="34">
        <v>80</v>
      </c>
    </row>
    <row r="3516" spans="1:4" hidden="1" x14ac:dyDescent="0.25">
      <c r="A3516" s="4">
        <v>42818</v>
      </c>
      <c r="B3516" s="3" t="s">
        <v>700</v>
      </c>
      <c r="C3516" s="34"/>
      <c r="D3516" s="34">
        <v>462</v>
      </c>
    </row>
    <row r="3517" spans="1:4" hidden="1" x14ac:dyDescent="0.25">
      <c r="A3517" s="4">
        <v>42821</v>
      </c>
      <c r="B3517" s="3" t="s">
        <v>701</v>
      </c>
      <c r="C3517" s="34"/>
      <c r="D3517" s="34">
        <v>597.78</v>
      </c>
    </row>
    <row r="3518" spans="1:4" hidden="1" x14ac:dyDescent="0.25">
      <c r="A3518" s="4">
        <v>42822</v>
      </c>
      <c r="B3518" s="3" t="s">
        <v>702</v>
      </c>
      <c r="C3518" s="34"/>
      <c r="D3518" s="34">
        <v>265.89</v>
      </c>
    </row>
    <row r="3519" spans="1:4" hidden="1" x14ac:dyDescent="0.25">
      <c r="A3519" s="4">
        <v>42823</v>
      </c>
      <c r="B3519" s="3" t="s">
        <v>703</v>
      </c>
      <c r="C3519" s="34"/>
      <c r="D3519" s="34">
        <v>412.33</v>
      </c>
    </row>
    <row r="3520" spans="1:4" hidden="1" x14ac:dyDescent="0.25">
      <c r="A3520" s="4">
        <v>42825</v>
      </c>
      <c r="B3520" s="3" t="s">
        <v>704</v>
      </c>
      <c r="C3520" s="34"/>
      <c r="D3520" s="34">
        <v>793.6</v>
      </c>
    </row>
    <row r="3521" spans="1:4" hidden="1" x14ac:dyDescent="0.25">
      <c r="A3521" s="4">
        <v>42825</v>
      </c>
      <c r="B3521" s="3" t="s">
        <v>372</v>
      </c>
      <c r="C3521" s="34"/>
      <c r="D3521" s="34">
        <v>246.63</v>
      </c>
    </row>
    <row r="3522" spans="1:4" hidden="1" x14ac:dyDescent="0.25">
      <c r="A3522" s="4">
        <v>42829</v>
      </c>
      <c r="B3522" s="3" t="s">
        <v>705</v>
      </c>
      <c r="C3522" s="34"/>
      <c r="D3522" s="34">
        <v>1038.78</v>
      </c>
    </row>
    <row r="3523" spans="1:4" hidden="1" x14ac:dyDescent="0.25">
      <c r="A3523" s="4">
        <v>42831</v>
      </c>
      <c r="B3523" s="3" t="s">
        <v>706</v>
      </c>
      <c r="C3523" s="34"/>
      <c r="D3523" s="34">
        <v>23.82</v>
      </c>
    </row>
    <row r="3524" spans="1:4" hidden="1" x14ac:dyDescent="0.25">
      <c r="A3524" s="4">
        <v>42832</v>
      </c>
      <c r="B3524" s="3" t="s">
        <v>707</v>
      </c>
      <c r="C3524" s="34"/>
      <c r="D3524" s="34">
        <v>139.69999999999999</v>
      </c>
    </row>
    <row r="3525" spans="1:4" hidden="1" x14ac:dyDescent="0.25">
      <c r="A3525" s="4">
        <v>42838</v>
      </c>
      <c r="B3525" s="3" t="s">
        <v>709</v>
      </c>
      <c r="C3525" s="34"/>
      <c r="D3525" s="34">
        <v>246.5</v>
      </c>
    </row>
    <row r="3526" spans="1:4" hidden="1" x14ac:dyDescent="0.25">
      <c r="A3526" s="4">
        <v>42838</v>
      </c>
      <c r="B3526" s="3" t="s">
        <v>710</v>
      </c>
      <c r="C3526" s="34"/>
      <c r="D3526" s="34">
        <v>209.55</v>
      </c>
    </row>
    <row r="3527" spans="1:4" hidden="1" x14ac:dyDescent="0.25">
      <c r="A3527" s="4">
        <v>42853</v>
      </c>
      <c r="B3527" s="3" t="s">
        <v>372</v>
      </c>
      <c r="C3527" s="34"/>
      <c r="D3527" s="34">
        <v>243.4</v>
      </c>
    </row>
    <row r="3528" spans="1:4" hidden="1" x14ac:dyDescent="0.25">
      <c r="A3528" s="4">
        <v>42886</v>
      </c>
      <c r="B3528" s="3" t="s">
        <v>716</v>
      </c>
      <c r="C3528" s="34"/>
      <c r="D3528" s="34">
        <v>126.38</v>
      </c>
    </row>
    <row r="3529" spans="1:4" hidden="1" x14ac:dyDescent="0.25">
      <c r="A3529" s="4">
        <v>42916</v>
      </c>
      <c r="B3529" s="3" t="s">
        <v>716</v>
      </c>
      <c r="C3529" s="34"/>
      <c r="D3529" s="34">
        <v>84.23</v>
      </c>
    </row>
    <row r="3530" spans="1:4" hidden="1" x14ac:dyDescent="0.25">
      <c r="A3530" s="4">
        <v>42594</v>
      </c>
      <c r="B3530" t="s">
        <v>306</v>
      </c>
      <c r="C3530" s="34"/>
      <c r="D3530" s="34">
        <v>664.48</v>
      </c>
    </row>
    <row r="3531" spans="1:4" hidden="1" x14ac:dyDescent="0.25">
      <c r="A3531" s="4">
        <v>42776</v>
      </c>
      <c r="B3531" t="s">
        <v>306</v>
      </c>
      <c r="C3531" s="34"/>
      <c r="D3531" s="34">
        <v>736</v>
      </c>
    </row>
    <row r="3532" spans="1:4" hidden="1" x14ac:dyDescent="0.25">
      <c r="A3532" s="4">
        <v>42648</v>
      </c>
      <c r="B3532" t="s">
        <v>283</v>
      </c>
      <c r="C3532" s="34"/>
      <c r="D3532" s="34">
        <v>1176.0999999999999</v>
      </c>
    </row>
    <row r="3533" spans="1:4" hidden="1" x14ac:dyDescent="0.25">
      <c r="A3533" s="4">
        <v>42822</v>
      </c>
      <c r="B3533" t="s">
        <v>283</v>
      </c>
      <c r="C3533" s="34"/>
      <c r="D3533" s="34">
        <v>1308.98</v>
      </c>
    </row>
    <row r="3534" spans="1:4" hidden="1" x14ac:dyDescent="0.25">
      <c r="A3534" s="4">
        <v>42916</v>
      </c>
      <c r="B3534" s="4" t="s">
        <v>250</v>
      </c>
      <c r="C3534" s="34"/>
      <c r="D3534" s="34">
        <v>0</v>
      </c>
    </row>
    <row r="3535" spans="1:4" hidden="1" x14ac:dyDescent="0.25">
      <c r="A3535" s="4">
        <v>42916</v>
      </c>
      <c r="B3535" s="4" t="s">
        <v>75</v>
      </c>
      <c r="C3535" s="34"/>
      <c r="D3535" s="34">
        <v>26713.1</v>
      </c>
    </row>
    <row r="3536" spans="1:4" hidden="1" x14ac:dyDescent="0.25">
      <c r="A3536" s="4">
        <v>42916</v>
      </c>
      <c r="B3536" t="s">
        <v>14</v>
      </c>
      <c r="C3536" s="36">
        <f>SUM(C3484:C3535)</f>
        <v>0</v>
      </c>
      <c r="D3536" s="36">
        <f>SUM(D3484:D3535)</f>
        <v>46849.289999999994</v>
      </c>
    </row>
    <row r="3537" spans="1:4" hidden="1" x14ac:dyDescent="0.25">
      <c r="A3537" s="4"/>
      <c r="B3537" s="4" t="s">
        <v>15</v>
      </c>
      <c r="C3537" s="34" t="str">
        <f>IF(C3536&gt;D3536,C3536-D3536," ")</f>
        <v xml:space="preserve"> </v>
      </c>
      <c r="D3537" s="34">
        <f>IF(D3536&gt;C3536,D3536-C3536," ")</f>
        <v>46849.289999999994</v>
      </c>
    </row>
    <row r="3538" spans="1:4" hidden="1" x14ac:dyDescent="0.25">
      <c r="A3538" s="4">
        <v>42919</v>
      </c>
      <c r="B3538" s="4" t="s">
        <v>723</v>
      </c>
      <c r="C3538" s="34"/>
      <c r="D3538" s="34">
        <v>400</v>
      </c>
    </row>
    <row r="3539" spans="1:4" hidden="1" x14ac:dyDescent="0.25">
      <c r="A3539" s="4">
        <v>42920</v>
      </c>
      <c r="B3539" s="4" t="s">
        <v>724</v>
      </c>
      <c r="C3539" s="34"/>
      <c r="D3539" s="34">
        <v>490.68</v>
      </c>
    </row>
    <row r="3540" spans="1:4" hidden="1" x14ac:dyDescent="0.25">
      <c r="A3540" s="4">
        <v>42921</v>
      </c>
      <c r="B3540" s="4" t="s">
        <v>725</v>
      </c>
      <c r="C3540" s="34"/>
      <c r="D3540" s="34">
        <v>534.6</v>
      </c>
    </row>
    <row r="3541" spans="1:4" hidden="1" x14ac:dyDescent="0.25">
      <c r="A3541" s="4">
        <v>42947</v>
      </c>
      <c r="B3541" s="4" t="s">
        <v>716</v>
      </c>
      <c r="C3541" s="34"/>
      <c r="D3541" s="34">
        <v>87.67</v>
      </c>
    </row>
    <row r="3542" spans="1:4" hidden="1" x14ac:dyDescent="0.25">
      <c r="A3542" s="4">
        <v>42975</v>
      </c>
      <c r="B3542" s="4" t="s">
        <v>440</v>
      </c>
      <c r="C3542" s="34"/>
      <c r="D3542" s="34">
        <v>830</v>
      </c>
    </row>
    <row r="3543" spans="1:4" hidden="1" x14ac:dyDescent="0.25">
      <c r="A3543" s="4">
        <v>42975</v>
      </c>
      <c r="B3543" s="4" t="s">
        <v>440</v>
      </c>
      <c r="C3543" s="34"/>
      <c r="D3543" s="34">
        <v>114</v>
      </c>
    </row>
    <row r="3544" spans="1:4" hidden="1" x14ac:dyDescent="0.25">
      <c r="A3544" s="4">
        <v>42978</v>
      </c>
      <c r="B3544" s="4" t="s">
        <v>726</v>
      </c>
      <c r="C3544" s="34"/>
      <c r="D3544" s="34">
        <v>352.18</v>
      </c>
    </row>
    <row r="3545" spans="1:4" hidden="1" x14ac:dyDescent="0.25">
      <c r="A3545" s="4">
        <v>42978</v>
      </c>
      <c r="B3545" s="4" t="s">
        <v>727</v>
      </c>
      <c r="C3545" s="34"/>
      <c r="D3545" s="34">
        <v>241.99</v>
      </c>
    </row>
    <row r="3546" spans="1:4" hidden="1" x14ac:dyDescent="0.25">
      <c r="A3546" s="4">
        <v>42978</v>
      </c>
      <c r="B3546" s="4" t="s">
        <v>716</v>
      </c>
      <c r="C3546" s="34"/>
      <c r="D3546" s="34">
        <v>87.78</v>
      </c>
    </row>
    <row r="3547" spans="1:4" hidden="1" x14ac:dyDescent="0.25">
      <c r="A3547" s="4">
        <v>42990</v>
      </c>
      <c r="B3547" s="4" t="s">
        <v>729</v>
      </c>
      <c r="C3547" s="34"/>
      <c r="D3547" s="34">
        <v>80</v>
      </c>
    </row>
    <row r="3548" spans="1:4" hidden="1" x14ac:dyDescent="0.25">
      <c r="A3548" s="4">
        <v>42998</v>
      </c>
      <c r="B3548" s="4" t="s">
        <v>730</v>
      </c>
      <c r="C3548" s="34"/>
      <c r="D3548" s="34">
        <v>462</v>
      </c>
    </row>
    <row r="3549" spans="1:4" hidden="1" x14ac:dyDescent="0.25">
      <c r="A3549" s="4">
        <v>42999</v>
      </c>
      <c r="B3549" s="4" t="s">
        <v>731</v>
      </c>
      <c r="C3549" s="34"/>
      <c r="D3549" s="34">
        <v>394.03</v>
      </c>
    </row>
    <row r="3550" spans="1:4" hidden="1" x14ac:dyDescent="0.25">
      <c r="A3550" s="4">
        <v>43000</v>
      </c>
      <c r="B3550" s="4" t="s">
        <v>748</v>
      </c>
      <c r="C3550" s="34"/>
      <c r="D3550" s="34">
        <v>729</v>
      </c>
    </row>
    <row r="3551" spans="1:4" hidden="1" x14ac:dyDescent="0.25">
      <c r="A3551" s="4">
        <v>43004</v>
      </c>
      <c r="B3551" s="4" t="s">
        <v>749</v>
      </c>
      <c r="C3551" s="34"/>
      <c r="D3551" s="34">
        <v>264.75</v>
      </c>
    </row>
    <row r="3552" spans="1:4" hidden="1" x14ac:dyDescent="0.25">
      <c r="A3552" s="4">
        <v>43006</v>
      </c>
      <c r="B3552" s="4" t="s">
        <v>750</v>
      </c>
      <c r="C3552" s="34"/>
      <c r="D3552" s="34">
        <v>793.6</v>
      </c>
    </row>
    <row r="3553" spans="1:4" hidden="1" x14ac:dyDescent="0.25">
      <c r="A3553" s="4">
        <v>43007</v>
      </c>
      <c r="B3553" s="4" t="s">
        <v>751</v>
      </c>
      <c r="C3553" s="34"/>
      <c r="D3553" s="34">
        <v>139.69999999999999</v>
      </c>
    </row>
    <row r="3554" spans="1:4" hidden="1" x14ac:dyDescent="0.25">
      <c r="A3554" s="4">
        <v>43007</v>
      </c>
      <c r="B3554" s="4" t="s">
        <v>752</v>
      </c>
      <c r="C3554" s="34"/>
      <c r="D3554" s="34">
        <v>1200.5999999999999</v>
      </c>
    </row>
    <row r="3555" spans="1:4" hidden="1" x14ac:dyDescent="0.25">
      <c r="A3555" s="4">
        <v>43007</v>
      </c>
      <c r="B3555" s="4" t="s">
        <v>716</v>
      </c>
      <c r="C3555" s="34"/>
      <c r="D3555" s="34">
        <v>104.55</v>
      </c>
    </row>
    <row r="3556" spans="1:4" hidden="1" x14ac:dyDescent="0.25">
      <c r="A3556" s="4">
        <v>43020</v>
      </c>
      <c r="B3556" s="4" t="s">
        <v>753</v>
      </c>
      <c r="C3556" s="34"/>
      <c r="D3556" s="34">
        <v>246.5</v>
      </c>
    </row>
    <row r="3557" spans="1:4" hidden="1" x14ac:dyDescent="0.25">
      <c r="A3557" s="4">
        <v>43020</v>
      </c>
      <c r="B3557" s="4" t="s">
        <v>754</v>
      </c>
      <c r="C3557" s="34"/>
      <c r="D3557" s="34">
        <v>39.92</v>
      </c>
    </row>
    <row r="3558" spans="1:4" hidden="1" x14ac:dyDescent="0.25">
      <c r="A3558" s="4">
        <v>43039</v>
      </c>
      <c r="B3558" s="4" t="s">
        <v>372</v>
      </c>
      <c r="C3558" s="34"/>
      <c r="D3558" s="34">
        <v>165.97</v>
      </c>
    </row>
    <row r="3559" spans="1:4" hidden="1" x14ac:dyDescent="0.25">
      <c r="A3559" s="4">
        <v>43041</v>
      </c>
      <c r="B3559" s="4" t="s">
        <v>757</v>
      </c>
      <c r="C3559" s="34"/>
      <c r="D3559" s="34">
        <v>61.31</v>
      </c>
    </row>
    <row r="3560" spans="1:4" hidden="1" x14ac:dyDescent="0.25">
      <c r="A3560" s="4">
        <v>43069</v>
      </c>
      <c r="B3560" s="4" t="s">
        <v>372</v>
      </c>
      <c r="C3560" s="34"/>
      <c r="D3560" s="34">
        <v>79.5</v>
      </c>
    </row>
    <row r="3561" spans="1:4" hidden="1" x14ac:dyDescent="0.25">
      <c r="A3561" s="4">
        <v>43073</v>
      </c>
      <c r="B3561" s="4" t="s">
        <v>757</v>
      </c>
      <c r="C3561" s="34"/>
      <c r="D3561" s="34">
        <v>14.2</v>
      </c>
    </row>
    <row r="3562" spans="1:4" hidden="1" x14ac:dyDescent="0.25">
      <c r="A3562" s="4">
        <v>43098</v>
      </c>
      <c r="B3562" s="4" t="s">
        <v>372</v>
      </c>
      <c r="C3562" s="34"/>
      <c r="D3562" s="34">
        <v>82.22</v>
      </c>
    </row>
    <row r="3563" spans="1:4" hidden="1" x14ac:dyDescent="0.25">
      <c r="A3563" s="4">
        <v>43103</v>
      </c>
      <c r="B3563" s="4" t="s">
        <v>757</v>
      </c>
      <c r="C3563" s="34"/>
      <c r="D3563" s="34">
        <v>14.69</v>
      </c>
    </row>
    <row r="3564" spans="1:4" hidden="1" x14ac:dyDescent="0.25">
      <c r="A3564" s="4">
        <v>43131</v>
      </c>
      <c r="B3564" s="4" t="s">
        <v>372</v>
      </c>
      <c r="C3564" s="34"/>
      <c r="D3564" s="34">
        <v>72.599999999999994</v>
      </c>
    </row>
    <row r="3565" spans="1:4" hidden="1" x14ac:dyDescent="0.25">
      <c r="A3565" s="4">
        <v>43133</v>
      </c>
      <c r="B3565" s="4" t="s">
        <v>757</v>
      </c>
      <c r="C3565" s="34"/>
      <c r="D3565" s="34">
        <v>15.02</v>
      </c>
    </row>
    <row r="3566" spans="1:4" hidden="1" x14ac:dyDescent="0.25">
      <c r="A3566" s="4">
        <v>43159</v>
      </c>
      <c r="B3566" s="4" t="s">
        <v>372</v>
      </c>
      <c r="C3566" s="34"/>
      <c r="D3566" s="34">
        <v>69.2</v>
      </c>
    </row>
    <row r="3567" spans="1:4" hidden="1" x14ac:dyDescent="0.25">
      <c r="A3567" s="4">
        <v>43161</v>
      </c>
      <c r="B3567" s="4" t="s">
        <v>757</v>
      </c>
      <c r="C3567" s="34"/>
      <c r="D3567" s="34">
        <v>14.26</v>
      </c>
    </row>
    <row r="3568" spans="1:4" hidden="1" x14ac:dyDescent="0.25">
      <c r="A3568" s="4">
        <v>43181</v>
      </c>
      <c r="B3568" s="4" t="s">
        <v>759</v>
      </c>
      <c r="C3568" s="34"/>
      <c r="D3568" s="34">
        <v>22.03</v>
      </c>
    </row>
    <row r="3569" spans="1:4" hidden="1" x14ac:dyDescent="0.25">
      <c r="A3569" s="4">
        <v>43188</v>
      </c>
      <c r="B3569" s="4" t="s">
        <v>372</v>
      </c>
      <c r="C3569" s="34"/>
      <c r="D3569" s="34">
        <v>76.680000000000007</v>
      </c>
    </row>
    <row r="3570" spans="1:4" hidden="1" x14ac:dyDescent="0.25">
      <c r="A3570" s="4">
        <v>43194</v>
      </c>
      <c r="B3570" s="4" t="s">
        <v>757</v>
      </c>
      <c r="C3570" s="34"/>
      <c r="D3570" s="34">
        <v>15.81</v>
      </c>
    </row>
    <row r="3571" spans="1:4" hidden="1" x14ac:dyDescent="0.25">
      <c r="A3571" s="4">
        <v>43220</v>
      </c>
      <c r="B3571" s="4" t="s">
        <v>372</v>
      </c>
      <c r="C3571" s="34"/>
      <c r="D3571" s="34">
        <v>75.02</v>
      </c>
    </row>
    <row r="3572" spans="1:4" hidden="1" x14ac:dyDescent="0.25">
      <c r="A3572" s="4">
        <v>43222</v>
      </c>
      <c r="B3572" s="4" t="s">
        <v>757</v>
      </c>
      <c r="C3572" s="34"/>
      <c r="D3572" s="34">
        <v>15.44</v>
      </c>
    </row>
    <row r="3573" spans="1:4" hidden="1" x14ac:dyDescent="0.25">
      <c r="A3573" s="4">
        <v>43251</v>
      </c>
      <c r="B3573" s="4" t="s">
        <v>372</v>
      </c>
      <c r="C3573" s="34"/>
      <c r="D3573" s="34">
        <v>74.48</v>
      </c>
    </row>
    <row r="3574" spans="1:4" hidden="1" x14ac:dyDescent="0.25">
      <c r="A3574" s="4">
        <v>43255</v>
      </c>
      <c r="B3574" s="4" t="s">
        <v>757</v>
      </c>
      <c r="C3574" s="34"/>
      <c r="D3574" s="34">
        <v>15.38</v>
      </c>
    </row>
    <row r="3575" spans="1:4" hidden="1" x14ac:dyDescent="0.25">
      <c r="A3575" s="4">
        <v>43280</v>
      </c>
      <c r="B3575" s="4" t="s">
        <v>372</v>
      </c>
      <c r="C3575" s="34"/>
      <c r="D3575" s="34">
        <v>66.290000000000006</v>
      </c>
    </row>
    <row r="3576" spans="1:4" hidden="1" x14ac:dyDescent="0.25">
      <c r="A3576" s="4">
        <v>43039</v>
      </c>
      <c r="B3576" s="4" t="s">
        <v>716</v>
      </c>
      <c r="C3576" s="34"/>
      <c r="D3576" s="34">
        <v>9.9499999999999993</v>
      </c>
    </row>
    <row r="3577" spans="1:4" hidden="1" x14ac:dyDescent="0.25">
      <c r="A3577" s="4">
        <v>43041</v>
      </c>
      <c r="B3577" s="4" t="s">
        <v>757</v>
      </c>
      <c r="C3577" s="34"/>
      <c r="D3577" s="34">
        <v>4.96</v>
      </c>
    </row>
    <row r="3578" spans="1:4" hidden="1" x14ac:dyDescent="0.25">
      <c r="A3578" s="4">
        <v>43069</v>
      </c>
      <c r="B3578" s="4" t="s">
        <v>716</v>
      </c>
      <c r="C3578" s="34"/>
      <c r="D3578" s="34">
        <v>4.16</v>
      </c>
    </row>
    <row r="3579" spans="1:4" hidden="1" x14ac:dyDescent="0.25">
      <c r="A3579" s="4">
        <v>43073</v>
      </c>
      <c r="B3579" s="4" t="s">
        <v>757</v>
      </c>
      <c r="C3579" s="34"/>
      <c r="D3579" s="34">
        <v>2.0299999999999998</v>
      </c>
    </row>
    <row r="3580" spans="1:4" hidden="1" x14ac:dyDescent="0.25">
      <c r="A3580" s="4">
        <v>43082</v>
      </c>
      <c r="B3580" s="4" t="s">
        <v>777</v>
      </c>
      <c r="C3580" s="34"/>
      <c r="D3580" s="34">
        <v>534.6</v>
      </c>
    </row>
    <row r="3581" spans="1:4" hidden="1" x14ac:dyDescent="0.25">
      <c r="A3581" s="4">
        <v>43091</v>
      </c>
      <c r="B3581" s="4" t="s">
        <v>778</v>
      </c>
      <c r="C3581" s="34"/>
      <c r="D3581" s="34">
        <v>490.68</v>
      </c>
    </row>
    <row r="3582" spans="1:4" hidden="1" x14ac:dyDescent="0.25">
      <c r="A3582" s="4">
        <v>43098</v>
      </c>
      <c r="B3582" s="4" t="s">
        <v>716</v>
      </c>
      <c r="C3582" s="34"/>
      <c r="D3582" s="34">
        <v>4.1900000000000004</v>
      </c>
    </row>
    <row r="3583" spans="1:4" hidden="1" x14ac:dyDescent="0.25">
      <c r="A3583" s="4">
        <v>43103</v>
      </c>
      <c r="B3583" s="4" t="s">
        <v>757</v>
      </c>
      <c r="C3583" s="34"/>
      <c r="D3583" s="34">
        <v>2.09</v>
      </c>
    </row>
    <row r="3584" spans="1:4" hidden="1" x14ac:dyDescent="0.25">
      <c r="A3584" s="4">
        <v>43108</v>
      </c>
      <c r="B3584" s="4" t="s">
        <v>780</v>
      </c>
      <c r="C3584" s="34"/>
      <c r="D3584" s="34">
        <v>151.04</v>
      </c>
    </row>
    <row r="3585" spans="1:4" hidden="1" x14ac:dyDescent="0.25">
      <c r="A3585" s="4">
        <v>43116</v>
      </c>
      <c r="B3585" s="4" t="s">
        <v>781</v>
      </c>
      <c r="C3585" s="34"/>
      <c r="D3585" s="34">
        <v>600</v>
      </c>
    </row>
    <row r="3586" spans="1:4" hidden="1" x14ac:dyDescent="0.25">
      <c r="A3586" s="4">
        <v>43118</v>
      </c>
      <c r="B3586" s="4" t="s">
        <v>782</v>
      </c>
      <c r="C3586" s="34"/>
      <c r="D3586" s="34">
        <v>264.73</v>
      </c>
    </row>
    <row r="3587" spans="1:4" hidden="1" x14ac:dyDescent="0.25">
      <c r="A3587" s="4">
        <v>43124</v>
      </c>
      <c r="B3587" s="4" t="s">
        <v>783</v>
      </c>
      <c r="C3587" s="34"/>
      <c r="D3587" s="34">
        <v>489.21</v>
      </c>
    </row>
    <row r="3588" spans="1:4" hidden="1" x14ac:dyDescent="0.25">
      <c r="A3588" s="4">
        <v>43131</v>
      </c>
      <c r="B3588" s="4" t="s">
        <v>716</v>
      </c>
      <c r="C3588" s="34"/>
      <c r="D3588" s="34">
        <v>5.03</v>
      </c>
    </row>
    <row r="3589" spans="1:4" hidden="1" x14ac:dyDescent="0.25">
      <c r="A3589" s="4">
        <v>43133</v>
      </c>
      <c r="B3589" s="4" t="s">
        <v>757</v>
      </c>
      <c r="C3589" s="34"/>
      <c r="D3589" s="34">
        <v>2.5099999999999998</v>
      </c>
    </row>
    <row r="3590" spans="1:4" hidden="1" x14ac:dyDescent="0.25">
      <c r="A3590" s="4">
        <v>43147</v>
      </c>
      <c r="B3590" s="4" t="s">
        <v>786</v>
      </c>
      <c r="C3590" s="34"/>
      <c r="D3590" s="34">
        <v>512.4</v>
      </c>
    </row>
    <row r="3591" spans="1:4" hidden="1" x14ac:dyDescent="0.25">
      <c r="A3591" s="4">
        <v>43151</v>
      </c>
      <c r="B3591" s="4" t="s">
        <v>787</v>
      </c>
      <c r="C3591" s="34"/>
      <c r="D3591" s="34">
        <v>511.75</v>
      </c>
    </row>
    <row r="3592" spans="1:4" hidden="1" x14ac:dyDescent="0.25">
      <c r="A3592" s="4">
        <v>43159</v>
      </c>
      <c r="B3592" s="4" t="s">
        <v>788</v>
      </c>
      <c r="C3592" s="34"/>
      <c r="D3592" s="34">
        <v>243.47</v>
      </c>
    </row>
    <row r="3593" spans="1:4" hidden="1" x14ac:dyDescent="0.25">
      <c r="A3593" s="4">
        <v>43159</v>
      </c>
      <c r="B3593" s="4" t="s">
        <v>716</v>
      </c>
      <c r="C3593" s="34"/>
      <c r="D3593" s="34">
        <v>3.89</v>
      </c>
    </row>
    <row r="3594" spans="1:4" hidden="1" x14ac:dyDescent="0.25">
      <c r="A3594" s="4">
        <v>43161</v>
      </c>
      <c r="B3594" s="4" t="s">
        <v>757</v>
      </c>
      <c r="C3594" s="34"/>
      <c r="D3594" s="34">
        <v>1.95</v>
      </c>
    </row>
    <row r="3595" spans="1:4" hidden="1" x14ac:dyDescent="0.25">
      <c r="A3595" s="4">
        <v>43181</v>
      </c>
      <c r="B3595" s="4" t="s">
        <v>790</v>
      </c>
      <c r="C3595" s="34"/>
      <c r="D3595" s="34">
        <v>245.82</v>
      </c>
    </row>
    <row r="3596" spans="1:4" hidden="1" x14ac:dyDescent="0.25">
      <c r="A3596" s="4">
        <v>43181</v>
      </c>
      <c r="B3596" s="4" t="s">
        <v>791</v>
      </c>
      <c r="C3596" s="34"/>
      <c r="D3596" s="34">
        <v>398.21</v>
      </c>
    </row>
    <row r="3597" spans="1:4" hidden="1" x14ac:dyDescent="0.25">
      <c r="A3597" s="4">
        <v>43186</v>
      </c>
      <c r="B3597" s="4" t="s">
        <v>792</v>
      </c>
      <c r="C3597" s="34"/>
      <c r="D3597" s="34">
        <v>352.93</v>
      </c>
    </row>
    <row r="3598" spans="1:4" hidden="1" x14ac:dyDescent="0.25">
      <c r="A3598" s="4">
        <v>43187</v>
      </c>
      <c r="B3598" s="4" t="s">
        <v>793</v>
      </c>
      <c r="C3598" s="34"/>
      <c r="D3598" s="34">
        <v>724</v>
      </c>
    </row>
    <row r="3599" spans="1:4" hidden="1" x14ac:dyDescent="0.25">
      <c r="A3599" s="4">
        <v>43188</v>
      </c>
      <c r="B3599" s="4" t="s">
        <v>716</v>
      </c>
      <c r="C3599" s="34"/>
      <c r="D3599" s="34">
        <v>3.88</v>
      </c>
    </row>
    <row r="3600" spans="1:4" hidden="1" x14ac:dyDescent="0.25">
      <c r="A3600" s="4">
        <v>43194</v>
      </c>
      <c r="B3600" s="4" t="s">
        <v>757</v>
      </c>
      <c r="C3600" s="34"/>
      <c r="D3600" s="34">
        <v>1.95</v>
      </c>
    </row>
    <row r="3601" spans="1:4" hidden="1" x14ac:dyDescent="0.25">
      <c r="A3601" s="4">
        <v>43195</v>
      </c>
      <c r="B3601" s="4" t="s">
        <v>794</v>
      </c>
      <c r="C3601" s="34"/>
      <c r="D3601" s="34">
        <v>869.32</v>
      </c>
    </row>
    <row r="3602" spans="1:4" hidden="1" x14ac:dyDescent="0.25">
      <c r="A3602" s="4">
        <v>43199</v>
      </c>
      <c r="B3602" s="4" t="s">
        <v>795</v>
      </c>
      <c r="C3602" s="34"/>
      <c r="D3602" s="34">
        <v>30.07</v>
      </c>
    </row>
    <row r="3603" spans="1:4" hidden="1" x14ac:dyDescent="0.25">
      <c r="A3603" s="4">
        <v>43202</v>
      </c>
      <c r="B3603" s="4" t="s">
        <v>782</v>
      </c>
      <c r="C3603" s="34"/>
      <c r="D3603" s="34">
        <v>268.05</v>
      </c>
    </row>
    <row r="3604" spans="1:4" hidden="1" x14ac:dyDescent="0.25">
      <c r="A3604" s="4">
        <v>43210</v>
      </c>
      <c r="B3604" s="4" t="s">
        <v>796</v>
      </c>
      <c r="C3604" s="34"/>
      <c r="D3604" s="34">
        <v>25.4</v>
      </c>
    </row>
    <row r="3605" spans="1:4" hidden="1" x14ac:dyDescent="0.25">
      <c r="A3605" s="4">
        <v>43220</v>
      </c>
      <c r="B3605" s="4" t="s">
        <v>716</v>
      </c>
      <c r="C3605" s="34"/>
      <c r="D3605" s="34">
        <v>4.6399999999999997</v>
      </c>
    </row>
    <row r="3606" spans="1:4" hidden="1" x14ac:dyDescent="0.25">
      <c r="A3606" s="4">
        <v>43222</v>
      </c>
      <c r="B3606" s="4" t="s">
        <v>757</v>
      </c>
      <c r="C3606" s="34"/>
      <c r="D3606" s="34">
        <v>2.2999999999999998</v>
      </c>
    </row>
    <row r="3607" spans="1:4" hidden="1" x14ac:dyDescent="0.25">
      <c r="A3607" s="4">
        <v>43251</v>
      </c>
      <c r="B3607" s="4" t="s">
        <v>716</v>
      </c>
      <c r="C3607" s="34"/>
      <c r="D3607" s="34">
        <v>4.71</v>
      </c>
    </row>
    <row r="3608" spans="1:4" hidden="1" x14ac:dyDescent="0.25">
      <c r="A3608" s="4">
        <v>43255</v>
      </c>
      <c r="B3608" s="4" t="s">
        <v>757</v>
      </c>
      <c r="C3608" s="34"/>
      <c r="D3608" s="34">
        <v>2.36</v>
      </c>
    </row>
    <row r="3609" spans="1:4" hidden="1" x14ac:dyDescent="0.25">
      <c r="A3609" s="4">
        <v>43273</v>
      </c>
      <c r="B3609" s="4" t="s">
        <v>798</v>
      </c>
      <c r="C3609" s="34"/>
      <c r="D3609" s="34">
        <v>113.34</v>
      </c>
    </row>
    <row r="3610" spans="1:4" hidden="1" x14ac:dyDescent="0.25">
      <c r="A3610" s="4">
        <v>43280</v>
      </c>
      <c r="B3610" s="4" t="s">
        <v>716</v>
      </c>
      <c r="C3610" s="34"/>
      <c r="D3610" s="34">
        <v>6.19</v>
      </c>
    </row>
    <row r="3611" spans="1:4" hidden="1" x14ac:dyDescent="0.25">
      <c r="A3611" s="4">
        <v>42958</v>
      </c>
      <c r="B3611" t="s">
        <v>306</v>
      </c>
      <c r="C3611" s="34"/>
      <c r="D3611" s="34">
        <v>798.98</v>
      </c>
    </row>
    <row r="3612" spans="1:4" hidden="1" x14ac:dyDescent="0.25">
      <c r="A3612" s="4">
        <v>43006</v>
      </c>
      <c r="B3612" t="s">
        <v>283</v>
      </c>
      <c r="C3612" s="34"/>
      <c r="D3612" s="34">
        <v>1555.2</v>
      </c>
    </row>
    <row r="3613" spans="1:4" hidden="1" x14ac:dyDescent="0.25">
      <c r="A3613" s="4">
        <v>43281</v>
      </c>
      <c r="B3613" s="4" t="s">
        <v>250</v>
      </c>
      <c r="C3613" s="34"/>
      <c r="D3613" s="34">
        <v>10858.97</v>
      </c>
    </row>
    <row r="3614" spans="1:4" hidden="1" x14ac:dyDescent="0.25">
      <c r="A3614" s="4">
        <v>43281</v>
      </c>
      <c r="B3614" s="4" t="s">
        <v>75</v>
      </c>
      <c r="C3614" s="34">
        <f>14134.34-13586.04</f>
        <v>548.29999999999927</v>
      </c>
      <c r="D3614" s="34"/>
    </row>
    <row r="3615" spans="1:4" hidden="1" x14ac:dyDescent="0.25">
      <c r="A3615" s="4">
        <v>43281</v>
      </c>
      <c r="B3615" t="s">
        <v>14</v>
      </c>
      <c r="C3615" s="36">
        <f>SUM(C3538:C3614)</f>
        <v>548.29999999999927</v>
      </c>
      <c r="D3615" s="36">
        <f>SUM(D3538:D3614)</f>
        <v>28648.61</v>
      </c>
    </row>
    <row r="3616" spans="1:4" hidden="1" x14ac:dyDescent="0.25">
      <c r="A3616" s="4"/>
      <c r="B3616" s="4" t="s">
        <v>15</v>
      </c>
      <c r="C3616" s="34" t="str">
        <f>IF(C3615&gt;D3615,C3615-D3615," ")</f>
        <v xml:space="preserve"> </v>
      </c>
      <c r="D3616" s="34">
        <f>IF(D3615&gt;C3615,D3615-C3615," ")</f>
        <v>28100.31</v>
      </c>
    </row>
    <row r="3617" spans="1:4" hidden="1" x14ac:dyDescent="0.25">
      <c r="A3617" s="4">
        <v>43284</v>
      </c>
      <c r="B3617" s="4" t="s">
        <v>757</v>
      </c>
      <c r="C3617" s="34"/>
      <c r="D3617" s="34">
        <v>13.76</v>
      </c>
    </row>
    <row r="3618" spans="1:4" hidden="1" x14ac:dyDescent="0.25">
      <c r="A3618" s="4">
        <v>43312</v>
      </c>
      <c r="B3618" s="4" t="s">
        <v>372</v>
      </c>
      <c r="C3618" s="34"/>
      <c r="D3618" s="34">
        <v>70.989999999999995</v>
      </c>
    </row>
    <row r="3619" spans="1:4" hidden="1" x14ac:dyDescent="0.25">
      <c r="A3619" s="4">
        <v>43314</v>
      </c>
      <c r="B3619" s="4" t="s">
        <v>757</v>
      </c>
      <c r="C3619" s="34"/>
      <c r="D3619" s="34">
        <v>14.71</v>
      </c>
    </row>
    <row r="3620" spans="1:4" hidden="1" x14ac:dyDescent="0.25">
      <c r="A3620" s="4">
        <v>43343</v>
      </c>
      <c r="B3620" s="4" t="s">
        <v>372</v>
      </c>
      <c r="C3620" s="34"/>
      <c r="D3620" s="34">
        <v>71.03</v>
      </c>
    </row>
    <row r="3621" spans="1:4" hidden="1" x14ac:dyDescent="0.25">
      <c r="A3621" s="4">
        <v>43347</v>
      </c>
      <c r="B3621" s="4" t="s">
        <v>757</v>
      </c>
      <c r="C3621" s="34"/>
      <c r="D3621" s="34">
        <v>14.73</v>
      </c>
    </row>
    <row r="3622" spans="1:4" hidden="1" x14ac:dyDescent="0.25">
      <c r="A3622" s="4">
        <v>43371</v>
      </c>
      <c r="B3622" s="4" t="s">
        <v>372</v>
      </c>
      <c r="C3622" s="34"/>
      <c r="D3622" s="34">
        <v>68.95</v>
      </c>
    </row>
    <row r="3623" spans="1:4" hidden="1" x14ac:dyDescent="0.25">
      <c r="A3623" s="4">
        <v>43375</v>
      </c>
      <c r="B3623" s="4" t="s">
        <v>757</v>
      </c>
      <c r="C3623" s="34"/>
      <c r="D3623" s="34">
        <v>14.27</v>
      </c>
    </row>
    <row r="3624" spans="1:4" hidden="1" x14ac:dyDescent="0.25">
      <c r="A3624" s="4">
        <v>43404</v>
      </c>
      <c r="B3624" s="4" t="s">
        <v>372</v>
      </c>
      <c r="C3624" s="34"/>
      <c r="D3624" s="34">
        <v>70.790000000000006</v>
      </c>
    </row>
    <row r="3625" spans="1:4" hidden="1" x14ac:dyDescent="0.25">
      <c r="A3625" s="4">
        <v>43406</v>
      </c>
      <c r="B3625" s="4" t="s">
        <v>757</v>
      </c>
      <c r="C3625" s="34"/>
      <c r="D3625" s="34">
        <v>14.67</v>
      </c>
    </row>
    <row r="3626" spans="1:4" hidden="1" x14ac:dyDescent="0.25">
      <c r="A3626" s="4">
        <v>43434</v>
      </c>
      <c r="B3626" s="4" t="s">
        <v>372</v>
      </c>
      <c r="C3626" s="34"/>
      <c r="D3626" s="34">
        <v>42.56</v>
      </c>
    </row>
    <row r="3627" spans="1:4" hidden="1" x14ac:dyDescent="0.25">
      <c r="A3627" s="4">
        <v>43438</v>
      </c>
      <c r="B3627" s="4" t="s">
        <v>757</v>
      </c>
      <c r="C3627" s="34"/>
      <c r="D3627" s="34">
        <v>9.1999999999999993</v>
      </c>
    </row>
    <row r="3628" spans="1:4" hidden="1" x14ac:dyDescent="0.25">
      <c r="A3628" s="4">
        <v>43465</v>
      </c>
      <c r="B3628" s="4" t="s">
        <v>372</v>
      </c>
      <c r="C3628" s="34"/>
      <c r="D3628" s="34">
        <v>30.1</v>
      </c>
    </row>
    <row r="3629" spans="1:4" hidden="1" x14ac:dyDescent="0.25">
      <c r="A3629" s="4">
        <v>43468</v>
      </c>
      <c r="B3629" s="4" t="s">
        <v>757</v>
      </c>
      <c r="C3629" s="34"/>
      <c r="D3629" s="34">
        <v>6.84</v>
      </c>
    </row>
    <row r="3630" spans="1:4" hidden="1" x14ac:dyDescent="0.25">
      <c r="A3630" s="4">
        <v>43496</v>
      </c>
      <c r="B3630" s="4" t="s">
        <v>372</v>
      </c>
      <c r="C3630" s="34"/>
      <c r="D3630" s="34">
        <v>23.16</v>
      </c>
    </row>
    <row r="3631" spans="1:4" hidden="1" x14ac:dyDescent="0.25">
      <c r="A3631" s="4">
        <v>43500</v>
      </c>
      <c r="B3631" s="4" t="s">
        <v>757</v>
      </c>
      <c r="C3631" s="34"/>
      <c r="D3631" s="34">
        <v>5.51</v>
      </c>
    </row>
    <row r="3632" spans="1:4" hidden="1" x14ac:dyDescent="0.25">
      <c r="A3632" s="4">
        <v>43524</v>
      </c>
      <c r="B3632" s="4" t="s">
        <v>372</v>
      </c>
      <c r="C3632" s="34"/>
      <c r="D3632" s="34">
        <v>21.23</v>
      </c>
    </row>
    <row r="3633" spans="1:4" hidden="1" x14ac:dyDescent="0.25">
      <c r="A3633" s="4">
        <v>43528</v>
      </c>
      <c r="B3633" s="4" t="s">
        <v>757</v>
      </c>
      <c r="C3633" s="34"/>
      <c r="D3633" s="34">
        <v>5.03</v>
      </c>
    </row>
    <row r="3634" spans="1:4" hidden="1" x14ac:dyDescent="0.25">
      <c r="A3634" s="4">
        <v>43553</v>
      </c>
      <c r="B3634" s="4" t="s">
        <v>372</v>
      </c>
      <c r="C3634" s="34"/>
      <c r="D3634" s="34">
        <v>16.07</v>
      </c>
    </row>
    <row r="3635" spans="1:4" hidden="1" x14ac:dyDescent="0.25">
      <c r="A3635" s="4">
        <v>43557</v>
      </c>
      <c r="B3635" s="4" t="s">
        <v>757</v>
      </c>
      <c r="C3635" s="34"/>
      <c r="D3635" s="34">
        <v>4.1399999999999997</v>
      </c>
    </row>
    <row r="3636" spans="1:4" hidden="1" x14ac:dyDescent="0.25">
      <c r="A3636" s="4">
        <v>43585</v>
      </c>
      <c r="B3636" s="4" t="s">
        <v>372</v>
      </c>
      <c r="C3636" s="34"/>
      <c r="D3636" s="34">
        <v>13.71</v>
      </c>
    </row>
    <row r="3637" spans="1:4" hidden="1" x14ac:dyDescent="0.25">
      <c r="A3637" s="4">
        <v>43587</v>
      </c>
      <c r="B3637" s="4" t="s">
        <v>757</v>
      </c>
      <c r="C3637" s="34"/>
      <c r="D3637" s="34">
        <v>3.66</v>
      </c>
    </row>
    <row r="3638" spans="1:4" hidden="1" x14ac:dyDescent="0.25">
      <c r="A3638" s="4">
        <v>43616</v>
      </c>
      <c r="B3638" s="4" t="s">
        <v>372</v>
      </c>
      <c r="C3638" s="34"/>
      <c r="D3638" s="34">
        <v>7.67</v>
      </c>
    </row>
    <row r="3639" spans="1:4" hidden="1" x14ac:dyDescent="0.25">
      <c r="A3639" s="4">
        <v>43620</v>
      </c>
      <c r="B3639" s="4" t="s">
        <v>757</v>
      </c>
      <c r="C3639" s="34"/>
      <c r="D3639" s="34">
        <v>2.12</v>
      </c>
    </row>
    <row r="3640" spans="1:4" hidden="1" x14ac:dyDescent="0.25">
      <c r="A3640" s="4">
        <v>43644</v>
      </c>
      <c r="B3640" s="4" t="s">
        <v>372</v>
      </c>
      <c r="C3640" s="34"/>
      <c r="D3640" s="34">
        <v>0.06</v>
      </c>
    </row>
    <row r="3641" spans="1:4" hidden="1" x14ac:dyDescent="0.25">
      <c r="A3641" s="4">
        <v>43284</v>
      </c>
      <c r="B3641" s="4" t="s">
        <v>757</v>
      </c>
      <c r="C3641" s="34"/>
      <c r="D3641" s="34">
        <v>3.09</v>
      </c>
    </row>
    <row r="3642" spans="1:4" hidden="1" x14ac:dyDescent="0.25">
      <c r="A3642" s="4">
        <v>43285</v>
      </c>
      <c r="B3642" s="4" t="s">
        <v>823</v>
      </c>
      <c r="C3642" s="34"/>
      <c r="D3642" s="34">
        <v>490.68</v>
      </c>
    </row>
    <row r="3643" spans="1:4" hidden="1" x14ac:dyDescent="0.25">
      <c r="A3643" s="4">
        <v>43286</v>
      </c>
      <c r="B3643" s="4" t="s">
        <v>826</v>
      </c>
      <c r="C3643" s="34"/>
      <c r="D3643" s="34">
        <v>534.6</v>
      </c>
    </row>
    <row r="3644" spans="1:4" hidden="1" x14ac:dyDescent="0.25">
      <c r="A3644" s="4">
        <v>43292</v>
      </c>
      <c r="B3644" s="4" t="s">
        <v>795</v>
      </c>
      <c r="C3644" s="34"/>
      <c r="D3644" s="34">
        <v>239.71</v>
      </c>
    </row>
    <row r="3645" spans="1:4" hidden="1" x14ac:dyDescent="0.25">
      <c r="A3645" s="4">
        <v>43297</v>
      </c>
      <c r="B3645" s="4" t="s">
        <v>827</v>
      </c>
      <c r="C3645" s="34"/>
      <c r="D3645" s="34">
        <v>5591.98</v>
      </c>
    </row>
    <row r="3646" spans="1:4" hidden="1" x14ac:dyDescent="0.25">
      <c r="A3646" s="4">
        <v>43297</v>
      </c>
      <c r="B3646" s="4" t="s">
        <v>828</v>
      </c>
      <c r="C3646" s="34"/>
      <c r="D3646" s="34">
        <v>5848.28</v>
      </c>
    </row>
    <row r="3647" spans="1:4" hidden="1" x14ac:dyDescent="0.25">
      <c r="A3647" s="4">
        <v>43300</v>
      </c>
      <c r="B3647" s="4" t="s">
        <v>782</v>
      </c>
      <c r="C3647" s="34"/>
      <c r="D3647" s="34">
        <v>343</v>
      </c>
    </row>
    <row r="3648" spans="1:4" hidden="1" x14ac:dyDescent="0.25">
      <c r="A3648" s="4">
        <v>43301</v>
      </c>
      <c r="B3648" s="4" t="s">
        <v>830</v>
      </c>
      <c r="C3648" s="34"/>
      <c r="D3648" s="34">
        <v>181.17</v>
      </c>
    </row>
    <row r="3649" spans="1:4" hidden="1" x14ac:dyDescent="0.25">
      <c r="A3649" s="4">
        <v>43306</v>
      </c>
      <c r="B3649" s="4" t="s">
        <v>831</v>
      </c>
      <c r="C3649" s="34"/>
      <c r="D3649" s="34">
        <v>986.3</v>
      </c>
    </row>
    <row r="3650" spans="1:4" hidden="1" x14ac:dyDescent="0.25">
      <c r="A3650" s="4">
        <v>43312</v>
      </c>
      <c r="B3650" s="4" t="s">
        <v>781</v>
      </c>
      <c r="C3650" s="34"/>
      <c r="D3650" s="34">
        <v>600</v>
      </c>
    </row>
    <row r="3651" spans="1:4" hidden="1" x14ac:dyDescent="0.25">
      <c r="A3651" s="4">
        <v>43312</v>
      </c>
      <c r="B3651" s="4" t="s">
        <v>716</v>
      </c>
      <c r="C3651" s="34"/>
      <c r="D3651" s="34">
        <v>16.77</v>
      </c>
    </row>
    <row r="3652" spans="1:4" hidden="1" x14ac:dyDescent="0.25">
      <c r="A3652" s="4">
        <v>43314</v>
      </c>
      <c r="B3652" s="4" t="s">
        <v>757</v>
      </c>
      <c r="C3652" s="34"/>
      <c r="D3652" s="34">
        <v>8.39</v>
      </c>
    </row>
    <row r="3653" spans="1:4" hidden="1" x14ac:dyDescent="0.25">
      <c r="A3653" s="4">
        <v>43322</v>
      </c>
      <c r="B3653" s="4" t="s">
        <v>836</v>
      </c>
      <c r="C3653" s="34"/>
      <c r="D3653" s="34">
        <v>554.13</v>
      </c>
    </row>
    <row r="3654" spans="1:4" hidden="1" x14ac:dyDescent="0.25">
      <c r="A3654" s="4">
        <v>43339</v>
      </c>
      <c r="B3654" s="4" t="s">
        <v>787</v>
      </c>
      <c r="C3654" s="34"/>
      <c r="D3654" s="34">
        <v>171.35</v>
      </c>
    </row>
    <row r="3655" spans="1:4" hidden="1" x14ac:dyDescent="0.25">
      <c r="A3655" s="4">
        <v>43339</v>
      </c>
      <c r="B3655" s="4" t="s">
        <v>787</v>
      </c>
      <c r="C3655" s="34"/>
      <c r="D3655" s="34">
        <v>863.65</v>
      </c>
    </row>
    <row r="3656" spans="1:4" hidden="1" x14ac:dyDescent="0.25">
      <c r="A3656" s="4">
        <v>43343</v>
      </c>
      <c r="B3656" s="4" t="s">
        <v>716</v>
      </c>
      <c r="C3656" s="34"/>
      <c r="D3656" s="34">
        <v>16.47</v>
      </c>
    </row>
    <row r="3657" spans="1:4" hidden="1" x14ac:dyDescent="0.25">
      <c r="A3657" s="4">
        <v>43347</v>
      </c>
      <c r="B3657" s="4" t="s">
        <v>757</v>
      </c>
      <c r="C3657" s="34"/>
      <c r="D3657" s="34">
        <v>8.23</v>
      </c>
    </row>
    <row r="3658" spans="1:4" hidden="1" x14ac:dyDescent="0.25">
      <c r="A3658" s="4">
        <v>43363</v>
      </c>
      <c r="B3658" s="4" t="s">
        <v>840</v>
      </c>
      <c r="C3658" s="34"/>
      <c r="D3658" s="34">
        <v>514.71</v>
      </c>
    </row>
    <row r="3659" spans="1:4" hidden="1" x14ac:dyDescent="0.25">
      <c r="A3659" s="4">
        <v>43364</v>
      </c>
      <c r="B3659" s="4" t="s">
        <v>841</v>
      </c>
      <c r="C3659" s="34"/>
      <c r="D3659" s="34">
        <v>253.05</v>
      </c>
    </row>
    <row r="3660" spans="1:4" hidden="1" x14ac:dyDescent="0.25">
      <c r="A3660" s="4">
        <v>43368</v>
      </c>
      <c r="B3660" s="4" t="s">
        <v>842</v>
      </c>
      <c r="C3660" s="34"/>
      <c r="D3660" s="34">
        <v>442.73</v>
      </c>
    </row>
    <row r="3661" spans="1:4" hidden="1" x14ac:dyDescent="0.25">
      <c r="A3661" s="4">
        <v>43370</v>
      </c>
      <c r="B3661" s="4" t="s">
        <v>843</v>
      </c>
      <c r="C3661" s="34"/>
      <c r="D3661" s="34">
        <v>1012.8</v>
      </c>
    </row>
    <row r="3662" spans="1:4" hidden="1" x14ac:dyDescent="0.25">
      <c r="A3662" s="4">
        <v>43371</v>
      </c>
      <c r="B3662" s="4" t="s">
        <v>844</v>
      </c>
      <c r="C3662" s="34"/>
      <c r="D3662" s="34">
        <v>836.22</v>
      </c>
    </row>
    <row r="3663" spans="1:4" hidden="1" x14ac:dyDescent="0.25">
      <c r="A3663" s="4">
        <v>43371</v>
      </c>
      <c r="B3663" s="4" t="s">
        <v>716</v>
      </c>
      <c r="C3663" s="34"/>
      <c r="D3663" s="34">
        <v>15.52</v>
      </c>
    </row>
    <row r="3664" spans="1:4" hidden="1" x14ac:dyDescent="0.25">
      <c r="A3664" s="4">
        <v>43375</v>
      </c>
      <c r="B3664" s="4" t="s">
        <v>757</v>
      </c>
      <c r="C3664" s="34"/>
      <c r="D3664" s="34">
        <v>7.75</v>
      </c>
    </row>
    <row r="3665" spans="1:4" hidden="1" x14ac:dyDescent="0.25">
      <c r="A3665" s="4">
        <v>43378</v>
      </c>
      <c r="B3665" s="4" t="s">
        <v>845</v>
      </c>
      <c r="C3665" s="34"/>
      <c r="D3665" s="34">
        <v>139.69999999999999</v>
      </c>
    </row>
    <row r="3666" spans="1:4" hidden="1" x14ac:dyDescent="0.25">
      <c r="A3666" s="4">
        <v>43378</v>
      </c>
      <c r="B3666" s="4" t="s">
        <v>795</v>
      </c>
      <c r="C3666" s="34"/>
      <c r="D3666" s="34">
        <v>14.93</v>
      </c>
    </row>
    <row r="3667" spans="1:4" hidden="1" x14ac:dyDescent="0.25">
      <c r="A3667" s="4">
        <v>43384</v>
      </c>
      <c r="B3667" s="4" t="s">
        <v>782</v>
      </c>
      <c r="C3667" s="34"/>
      <c r="D3667" s="34">
        <v>263.77</v>
      </c>
    </row>
    <row r="3668" spans="1:4" hidden="1" x14ac:dyDescent="0.25">
      <c r="A3668" s="4">
        <v>43388</v>
      </c>
      <c r="B3668" s="4" t="s">
        <v>848</v>
      </c>
      <c r="C3668" s="34"/>
      <c r="D3668" s="34">
        <v>3.22</v>
      </c>
    </row>
    <row r="3669" spans="1:4" hidden="1" x14ac:dyDescent="0.25">
      <c r="A3669" s="4">
        <v>43403</v>
      </c>
      <c r="B3669" s="4" t="s">
        <v>783</v>
      </c>
      <c r="C3669" s="34"/>
      <c r="D3669" s="34">
        <v>518.58000000000004</v>
      </c>
    </row>
    <row r="3670" spans="1:4" hidden="1" x14ac:dyDescent="0.25">
      <c r="A3670" s="4">
        <v>43404</v>
      </c>
      <c r="B3670" s="4" t="s">
        <v>716</v>
      </c>
      <c r="C3670" s="34"/>
      <c r="D3670" s="34">
        <v>18.399999999999999</v>
      </c>
    </row>
    <row r="3671" spans="1:4" hidden="1" x14ac:dyDescent="0.25">
      <c r="A3671" s="4">
        <v>43406</v>
      </c>
      <c r="B3671" s="4" t="s">
        <v>757</v>
      </c>
      <c r="C3671" s="34"/>
      <c r="D3671" s="34">
        <v>9.2100000000000009</v>
      </c>
    </row>
    <row r="3672" spans="1:4" hidden="1" x14ac:dyDescent="0.25">
      <c r="A3672" s="4">
        <v>43425</v>
      </c>
      <c r="B3672" s="4" t="s">
        <v>848</v>
      </c>
      <c r="C3672" s="34"/>
      <c r="D3672" s="34">
        <v>2.4900000000000002</v>
      </c>
    </row>
    <row r="3673" spans="1:4" hidden="1" x14ac:dyDescent="0.25">
      <c r="A3673" s="4">
        <v>43434</v>
      </c>
      <c r="B3673" s="4" t="s">
        <v>716</v>
      </c>
      <c r="C3673" s="34"/>
      <c r="D3673" s="34">
        <v>8.27</v>
      </c>
    </row>
    <row r="3674" spans="1:4" hidden="1" x14ac:dyDescent="0.25">
      <c r="A3674" s="4">
        <v>43438</v>
      </c>
      <c r="B3674" s="4" t="s">
        <v>757</v>
      </c>
      <c r="C3674" s="34"/>
      <c r="D3674" s="34">
        <v>4.12</v>
      </c>
    </row>
    <row r="3675" spans="1:4" hidden="1" x14ac:dyDescent="0.25">
      <c r="A3675" s="4">
        <v>43448</v>
      </c>
      <c r="B3675" s="4" t="s">
        <v>860</v>
      </c>
      <c r="C3675" s="34"/>
      <c r="D3675" s="34">
        <v>534.6</v>
      </c>
    </row>
    <row r="3676" spans="1:4" hidden="1" x14ac:dyDescent="0.25">
      <c r="A3676" s="4">
        <v>43454</v>
      </c>
      <c r="B3676" s="4" t="s">
        <v>862</v>
      </c>
      <c r="C3676" s="34"/>
      <c r="D3676" s="34">
        <v>885</v>
      </c>
    </row>
    <row r="3677" spans="1:4" hidden="1" x14ac:dyDescent="0.25">
      <c r="A3677" s="4">
        <v>43454</v>
      </c>
      <c r="B3677" s="4" t="s">
        <v>863</v>
      </c>
      <c r="C3677" s="34"/>
      <c r="D3677" s="34">
        <v>490.68</v>
      </c>
    </row>
    <row r="3678" spans="1:4" hidden="1" x14ac:dyDescent="0.25">
      <c r="A3678" s="4">
        <v>43455</v>
      </c>
      <c r="B3678" s="4" t="s">
        <v>848</v>
      </c>
      <c r="C3678" s="34"/>
      <c r="D3678" s="34">
        <v>3.18</v>
      </c>
    </row>
    <row r="3679" spans="1:4" hidden="1" x14ac:dyDescent="0.25">
      <c r="A3679" s="4">
        <v>43455</v>
      </c>
      <c r="B3679" s="4" t="s">
        <v>848</v>
      </c>
      <c r="C3679" s="34"/>
      <c r="D3679" s="34">
        <v>3.11</v>
      </c>
    </row>
    <row r="3680" spans="1:4" hidden="1" x14ac:dyDescent="0.25">
      <c r="A3680" s="4">
        <v>43465</v>
      </c>
      <c r="B3680" s="4" t="s">
        <v>716</v>
      </c>
      <c r="C3680" s="34"/>
      <c r="D3680" s="34">
        <v>4.78</v>
      </c>
    </row>
    <row r="3681" spans="1:4" hidden="1" x14ac:dyDescent="0.25">
      <c r="A3681" s="4">
        <v>43468</v>
      </c>
      <c r="B3681" s="4" t="s">
        <v>757</v>
      </c>
      <c r="C3681" s="34"/>
      <c r="D3681" s="34">
        <v>2.39</v>
      </c>
    </row>
    <row r="3682" spans="1:4" hidden="1" x14ac:dyDescent="0.25">
      <c r="A3682" s="4">
        <v>43473</v>
      </c>
      <c r="B3682" s="4" t="s">
        <v>795</v>
      </c>
      <c r="C3682" s="34"/>
      <c r="D3682" s="34">
        <v>45.01</v>
      </c>
    </row>
    <row r="3683" spans="1:4" hidden="1" x14ac:dyDescent="0.25">
      <c r="A3683" s="4">
        <v>43480</v>
      </c>
      <c r="B3683" s="4" t="s">
        <v>781</v>
      </c>
      <c r="C3683" s="34"/>
      <c r="D3683" s="34">
        <v>600</v>
      </c>
    </row>
    <row r="3684" spans="1:4" hidden="1" x14ac:dyDescent="0.25">
      <c r="A3684" s="4">
        <v>43481</v>
      </c>
      <c r="B3684" s="4" t="s">
        <v>866</v>
      </c>
      <c r="C3684" s="34"/>
      <c r="D3684" s="34">
        <v>110.03</v>
      </c>
    </row>
    <row r="3685" spans="1:4" hidden="1" x14ac:dyDescent="0.25">
      <c r="A3685" s="4">
        <v>43481</v>
      </c>
      <c r="B3685" s="4" t="s">
        <v>782</v>
      </c>
      <c r="C3685" s="34"/>
      <c r="D3685" s="34">
        <v>301.07</v>
      </c>
    </row>
    <row r="3686" spans="1:4" hidden="1" x14ac:dyDescent="0.25">
      <c r="A3686" s="4">
        <v>43482</v>
      </c>
      <c r="B3686" s="4" t="s">
        <v>867</v>
      </c>
      <c r="C3686" s="34"/>
      <c r="D3686" s="34">
        <v>39.24</v>
      </c>
    </row>
    <row r="3687" spans="1:4" hidden="1" x14ac:dyDescent="0.25">
      <c r="A3687" s="4">
        <v>43482</v>
      </c>
      <c r="B3687" s="4" t="s">
        <v>868</v>
      </c>
      <c r="C3687" s="34"/>
      <c r="D3687" s="34">
        <v>343.53</v>
      </c>
    </row>
    <row r="3688" spans="1:4" hidden="1" x14ac:dyDescent="0.25">
      <c r="A3688" s="4">
        <v>43495</v>
      </c>
      <c r="B3688" s="4" t="s">
        <v>869</v>
      </c>
      <c r="C3688" s="34"/>
      <c r="D3688" s="34">
        <v>706.37</v>
      </c>
    </row>
    <row r="3689" spans="1:4" hidden="1" x14ac:dyDescent="0.25">
      <c r="A3689" s="4">
        <v>43495</v>
      </c>
      <c r="B3689" s="4" t="s">
        <v>783</v>
      </c>
      <c r="C3689" s="34"/>
      <c r="D3689" s="34">
        <v>514.85</v>
      </c>
    </row>
    <row r="3690" spans="1:4" hidden="1" x14ac:dyDescent="0.25">
      <c r="A3690" s="4">
        <v>43496</v>
      </c>
      <c r="B3690" s="4" t="s">
        <v>716</v>
      </c>
      <c r="C3690" s="34"/>
      <c r="D3690" s="34">
        <v>7.35</v>
      </c>
    </row>
    <row r="3691" spans="1:4" hidden="1" x14ac:dyDescent="0.25">
      <c r="A3691" s="4">
        <v>43500</v>
      </c>
      <c r="B3691" s="4" t="s">
        <v>757</v>
      </c>
      <c r="C3691" s="34"/>
      <c r="D3691" s="34">
        <v>3.67</v>
      </c>
    </row>
    <row r="3692" spans="1:4" hidden="1" x14ac:dyDescent="0.25">
      <c r="A3692" s="4">
        <v>43511</v>
      </c>
      <c r="B3692" s="4" t="s">
        <v>874</v>
      </c>
      <c r="C3692" s="34"/>
      <c r="D3692" s="34">
        <v>674.83</v>
      </c>
    </row>
    <row r="3693" spans="1:4" hidden="1" x14ac:dyDescent="0.25">
      <c r="A3693" s="4">
        <v>43524</v>
      </c>
      <c r="B3693" s="4" t="s">
        <v>787</v>
      </c>
      <c r="C3693" s="34"/>
      <c r="D3693" s="34">
        <v>848.7</v>
      </c>
    </row>
    <row r="3694" spans="1:4" hidden="1" x14ac:dyDescent="0.25">
      <c r="A3694" s="4">
        <v>43524</v>
      </c>
      <c r="B3694" s="4" t="s">
        <v>716</v>
      </c>
      <c r="C3694" s="34"/>
      <c r="D3694" s="34">
        <v>8.3000000000000007</v>
      </c>
    </row>
    <row r="3695" spans="1:4" hidden="1" x14ac:dyDescent="0.25">
      <c r="A3695" s="4">
        <v>43528</v>
      </c>
      <c r="B3695" s="4" t="s">
        <v>757</v>
      </c>
      <c r="C3695" s="34"/>
      <c r="D3695" s="34">
        <v>4.13</v>
      </c>
    </row>
    <row r="3696" spans="1:4" hidden="1" x14ac:dyDescent="0.25">
      <c r="A3696" s="4">
        <v>43544</v>
      </c>
      <c r="B3696" s="4" t="s">
        <v>879</v>
      </c>
      <c r="C3696" s="34"/>
      <c r="D3696" s="34">
        <v>898.31</v>
      </c>
    </row>
    <row r="3697" spans="1:4" hidden="1" x14ac:dyDescent="0.25">
      <c r="A3697" s="4">
        <v>43544</v>
      </c>
      <c r="B3697" s="4" t="s">
        <v>880</v>
      </c>
      <c r="C3697" s="34"/>
      <c r="D3697" s="34">
        <v>86.76</v>
      </c>
    </row>
    <row r="3698" spans="1:4" hidden="1" x14ac:dyDescent="0.25">
      <c r="A3698" s="4">
        <v>43549</v>
      </c>
      <c r="B3698" s="4" t="s">
        <v>848</v>
      </c>
      <c r="C3698" s="34"/>
      <c r="D3698" s="34">
        <v>3.1</v>
      </c>
    </row>
    <row r="3699" spans="1:4" hidden="1" x14ac:dyDescent="0.25">
      <c r="A3699" s="4">
        <v>43550</v>
      </c>
      <c r="B3699" s="4" t="s">
        <v>881</v>
      </c>
      <c r="C3699" s="34"/>
      <c r="D3699" s="34">
        <v>390.4</v>
      </c>
    </row>
    <row r="3700" spans="1:4" hidden="1" x14ac:dyDescent="0.25">
      <c r="A3700" s="4">
        <v>43552</v>
      </c>
      <c r="B3700" s="4" t="s">
        <v>882</v>
      </c>
      <c r="C3700" s="34"/>
      <c r="D3700" s="34">
        <v>724</v>
      </c>
    </row>
    <row r="3701" spans="1:4" hidden="1" x14ac:dyDescent="0.25">
      <c r="A3701" s="4">
        <v>43553</v>
      </c>
      <c r="B3701" s="4" t="s">
        <v>883</v>
      </c>
      <c r="C3701" s="34"/>
      <c r="D3701" s="34">
        <v>290</v>
      </c>
    </row>
    <row r="3702" spans="1:4" hidden="1" x14ac:dyDescent="0.25">
      <c r="A3702" s="4">
        <v>43553</v>
      </c>
      <c r="B3702" s="4" t="s">
        <v>716</v>
      </c>
      <c r="C3702" s="34"/>
      <c r="D3702" s="34">
        <v>4.38</v>
      </c>
    </row>
    <row r="3703" spans="1:4" hidden="1" x14ac:dyDescent="0.25">
      <c r="A3703" s="4">
        <v>43557</v>
      </c>
      <c r="B3703" s="4" t="s">
        <v>757</v>
      </c>
      <c r="C3703" s="34"/>
      <c r="D3703" s="34">
        <v>2.21</v>
      </c>
    </row>
    <row r="3704" spans="1:4" hidden="1" x14ac:dyDescent="0.25">
      <c r="A3704" s="4">
        <v>43560</v>
      </c>
      <c r="B3704" s="4" t="s">
        <v>795</v>
      </c>
      <c r="C3704" s="34"/>
      <c r="D3704" s="34">
        <v>478.09</v>
      </c>
    </row>
    <row r="3705" spans="1:4" hidden="1" x14ac:dyDescent="0.25">
      <c r="A3705" s="4">
        <v>43564</v>
      </c>
      <c r="B3705" s="4" t="s">
        <v>888</v>
      </c>
      <c r="C3705" s="34"/>
      <c r="D3705" s="34">
        <v>70.239999999999995</v>
      </c>
    </row>
    <row r="3706" spans="1:4" hidden="1" x14ac:dyDescent="0.25">
      <c r="A3706" s="4">
        <v>43565</v>
      </c>
      <c r="B3706" s="4" t="s">
        <v>889</v>
      </c>
      <c r="C3706" s="34"/>
      <c r="D3706" s="34">
        <v>1688</v>
      </c>
    </row>
    <row r="3707" spans="1:4" hidden="1" x14ac:dyDescent="0.25">
      <c r="A3707" s="4">
        <v>43571</v>
      </c>
      <c r="B3707" s="4" t="s">
        <v>890</v>
      </c>
      <c r="C3707" s="34"/>
      <c r="D3707" s="34">
        <v>134.66999999999999</v>
      </c>
    </row>
    <row r="3708" spans="1:4" hidden="1" x14ac:dyDescent="0.25">
      <c r="A3708" s="4">
        <v>43573</v>
      </c>
      <c r="B3708" s="4" t="s">
        <v>891</v>
      </c>
      <c r="C3708" s="34"/>
      <c r="D3708" s="34">
        <v>177.8</v>
      </c>
    </row>
    <row r="3709" spans="1:4" hidden="1" x14ac:dyDescent="0.25">
      <c r="A3709" s="4">
        <v>43578</v>
      </c>
      <c r="B3709" s="4" t="s">
        <v>782</v>
      </c>
      <c r="C3709" s="34"/>
      <c r="D3709" s="34">
        <v>309.26</v>
      </c>
    </row>
    <row r="3710" spans="1:4" hidden="1" x14ac:dyDescent="0.25">
      <c r="A3710" s="4">
        <v>43585</v>
      </c>
      <c r="B3710" s="4" t="s">
        <v>716</v>
      </c>
      <c r="C3710" s="34"/>
      <c r="D3710" s="34">
        <v>6.74</v>
      </c>
    </row>
    <row r="3711" spans="1:4" hidden="1" x14ac:dyDescent="0.25">
      <c r="A3711" s="4">
        <v>43587</v>
      </c>
      <c r="B3711" s="4" t="s">
        <v>757</v>
      </c>
      <c r="C3711" s="34"/>
      <c r="D3711" s="34">
        <v>3.37</v>
      </c>
    </row>
    <row r="3712" spans="1:4" hidden="1" x14ac:dyDescent="0.25">
      <c r="A3712" s="4">
        <v>43593</v>
      </c>
      <c r="B3712" s="4" t="s">
        <v>895</v>
      </c>
      <c r="C3712" s="34"/>
      <c r="D3712" s="34">
        <v>534.36</v>
      </c>
    </row>
    <row r="3713" spans="1:4" hidden="1" x14ac:dyDescent="0.25">
      <c r="A3713" s="4">
        <v>43616</v>
      </c>
      <c r="B3713" s="4" t="s">
        <v>716</v>
      </c>
      <c r="C3713" s="34"/>
      <c r="D3713" s="34">
        <v>13.6</v>
      </c>
    </row>
    <row r="3714" spans="1:4" hidden="1" x14ac:dyDescent="0.25">
      <c r="A3714" s="4">
        <v>43620</v>
      </c>
      <c r="B3714" s="4" t="s">
        <v>757</v>
      </c>
      <c r="C3714" s="34"/>
      <c r="D3714" s="34">
        <v>6.79</v>
      </c>
    </row>
    <row r="3715" spans="1:4" hidden="1" x14ac:dyDescent="0.25">
      <c r="A3715" s="4">
        <v>43640</v>
      </c>
      <c r="B3715" s="4" t="s">
        <v>904</v>
      </c>
      <c r="C3715" s="34"/>
      <c r="D3715" s="34">
        <v>490.68</v>
      </c>
    </row>
    <row r="3716" spans="1:4" hidden="1" x14ac:dyDescent="0.25">
      <c r="A3716" s="4">
        <v>43642</v>
      </c>
      <c r="B3716" s="4" t="s">
        <v>905</v>
      </c>
      <c r="C3716" s="34"/>
      <c r="D3716" s="34">
        <v>590</v>
      </c>
    </row>
    <row r="3717" spans="1:4" hidden="1" x14ac:dyDescent="0.25">
      <c r="A3717" s="4">
        <v>43644</v>
      </c>
      <c r="B3717" s="4" t="s">
        <v>716</v>
      </c>
      <c r="C3717" s="34"/>
      <c r="D3717" s="34">
        <v>2.16</v>
      </c>
    </row>
    <row r="3718" spans="1:4" hidden="1" x14ac:dyDescent="0.25">
      <c r="A3718" s="4">
        <v>43646</v>
      </c>
      <c r="B3718" s="4" t="s">
        <v>250</v>
      </c>
      <c r="C3718" s="34"/>
      <c r="D3718" s="34">
        <v>2920.83</v>
      </c>
    </row>
    <row r="3719" spans="1:4" hidden="1" x14ac:dyDescent="0.25">
      <c r="A3719" s="4">
        <v>43646</v>
      </c>
      <c r="B3719" s="4" t="s">
        <v>906</v>
      </c>
      <c r="C3719" s="34"/>
      <c r="D3719" s="34">
        <v>65386.49</v>
      </c>
    </row>
    <row r="3720" spans="1:4" hidden="1" x14ac:dyDescent="0.25">
      <c r="A3720" s="4">
        <v>43646</v>
      </c>
      <c r="B3720" t="s">
        <v>14</v>
      </c>
      <c r="C3720" s="36">
        <f>SUM(C3617:C3719)</f>
        <v>0</v>
      </c>
      <c r="D3720" s="36">
        <f>SUM(D3617:D3719)</f>
        <v>102411.29</v>
      </c>
    </row>
    <row r="3721" spans="1:4" hidden="1" x14ac:dyDescent="0.25">
      <c r="A3721" s="4"/>
      <c r="B3721" s="4" t="s">
        <v>15</v>
      </c>
      <c r="C3721" s="34" t="str">
        <f>IF(C3720&gt;D3720,C3720-D3720," ")</f>
        <v xml:space="preserve"> </v>
      </c>
      <c r="D3721" s="34">
        <f>IF(D3720&gt;C3720,D3720-C3720," ")</f>
        <v>102411.29</v>
      </c>
    </row>
    <row r="3722" spans="1:4" hidden="1" x14ac:dyDescent="0.25">
      <c r="A3722" s="4">
        <v>43648</v>
      </c>
      <c r="B3722" s="4" t="s">
        <v>757</v>
      </c>
      <c r="C3722" s="34"/>
      <c r="D3722" s="34">
        <v>0.28999999999999998</v>
      </c>
    </row>
    <row r="3723" spans="1:4" hidden="1" x14ac:dyDescent="0.25">
      <c r="A3723" s="4">
        <v>43677</v>
      </c>
      <c r="B3723" s="4" t="s">
        <v>372</v>
      </c>
      <c r="C3723" s="34"/>
      <c r="D3723" s="34">
        <v>0.27</v>
      </c>
    </row>
    <row r="3724" spans="1:4" hidden="1" x14ac:dyDescent="0.25">
      <c r="A3724" s="4">
        <v>43679</v>
      </c>
      <c r="B3724" s="4" t="s">
        <v>757</v>
      </c>
      <c r="C3724" s="34"/>
      <c r="D3724" s="34">
        <v>1.1100000000000001</v>
      </c>
    </row>
    <row r="3725" spans="1:4" hidden="1" x14ac:dyDescent="0.25">
      <c r="A3725" s="4">
        <v>43707</v>
      </c>
      <c r="B3725" s="4" t="s">
        <v>372</v>
      </c>
      <c r="C3725" s="34"/>
      <c r="D3725" s="34">
        <v>0.26</v>
      </c>
    </row>
    <row r="3726" spans="1:4" hidden="1" x14ac:dyDescent="0.25">
      <c r="A3726" s="4">
        <v>43711</v>
      </c>
      <c r="B3726" s="4" t="s">
        <v>757</v>
      </c>
      <c r="C3726" s="34"/>
      <c r="D3726" s="34">
        <v>1.1100000000000001</v>
      </c>
    </row>
    <row r="3727" spans="1:4" hidden="1" x14ac:dyDescent="0.25">
      <c r="A3727" s="4">
        <v>43738</v>
      </c>
      <c r="B3727" s="4" t="s">
        <v>372</v>
      </c>
      <c r="C3727" s="34"/>
      <c r="D3727" s="34">
        <v>0.26</v>
      </c>
    </row>
    <row r="3728" spans="1:4" hidden="1" x14ac:dyDescent="0.25">
      <c r="A3728" s="4">
        <v>43740</v>
      </c>
      <c r="B3728" s="4" t="s">
        <v>757</v>
      </c>
      <c r="C3728" s="34"/>
      <c r="D3728" s="34">
        <v>1.07</v>
      </c>
    </row>
    <row r="3729" spans="1:4" hidden="1" x14ac:dyDescent="0.25">
      <c r="A3729" s="4">
        <v>43769</v>
      </c>
      <c r="B3729" s="4" t="s">
        <v>372</v>
      </c>
      <c r="C3729" s="34"/>
      <c r="D3729" s="34">
        <v>4.43</v>
      </c>
    </row>
    <row r="3730" spans="1:4" hidden="1" x14ac:dyDescent="0.25">
      <c r="A3730" s="4">
        <v>43773</v>
      </c>
      <c r="B3730" s="4" t="s">
        <v>757</v>
      </c>
      <c r="C3730" s="34"/>
      <c r="D3730" s="34">
        <v>3.06</v>
      </c>
    </row>
    <row r="3731" spans="1:4" hidden="1" x14ac:dyDescent="0.25">
      <c r="A3731" s="4">
        <v>43798</v>
      </c>
      <c r="B3731" s="4" t="s">
        <v>372</v>
      </c>
      <c r="C3731" s="34"/>
      <c r="D3731" s="34">
        <v>7.15</v>
      </c>
    </row>
    <row r="3732" spans="1:4" hidden="1" x14ac:dyDescent="0.25">
      <c r="A3732" s="4">
        <v>43802</v>
      </c>
      <c r="B3732" s="4" t="s">
        <v>757</v>
      </c>
      <c r="C3732" s="34"/>
      <c r="D3732" s="34">
        <v>4.26</v>
      </c>
    </row>
    <row r="3733" spans="1:4" hidden="1" x14ac:dyDescent="0.25">
      <c r="A3733" s="4">
        <v>43830</v>
      </c>
      <c r="B3733" s="4" t="s">
        <v>372</v>
      </c>
      <c r="C3733" s="34"/>
      <c r="D3733" s="34">
        <v>7.38</v>
      </c>
    </row>
    <row r="3734" spans="1:4" hidden="1" x14ac:dyDescent="0.25">
      <c r="A3734" s="4">
        <v>43833</v>
      </c>
      <c r="B3734" s="4" t="s">
        <v>757</v>
      </c>
      <c r="C3734" s="34"/>
      <c r="D3734" s="34">
        <v>4.4000000000000004</v>
      </c>
    </row>
    <row r="3735" spans="1:4" hidden="1" x14ac:dyDescent="0.25">
      <c r="A3735" s="4">
        <v>43861</v>
      </c>
      <c r="B3735" s="4" t="s">
        <v>372</v>
      </c>
      <c r="C3735" s="34"/>
      <c r="D3735" s="34">
        <v>7.63</v>
      </c>
    </row>
    <row r="3736" spans="1:4" hidden="1" x14ac:dyDescent="0.25">
      <c r="A3736" s="4">
        <v>43865</v>
      </c>
      <c r="B3736" s="4" t="s">
        <v>757</v>
      </c>
      <c r="C3736" s="34"/>
      <c r="D3736" s="34">
        <v>4.51</v>
      </c>
    </row>
    <row r="3737" spans="1:4" hidden="1" x14ac:dyDescent="0.25">
      <c r="A3737" s="4">
        <v>43889</v>
      </c>
      <c r="B3737" s="4" t="s">
        <v>372</v>
      </c>
      <c r="C3737" s="34"/>
      <c r="D3737" s="34">
        <v>9.24</v>
      </c>
    </row>
    <row r="3738" spans="1:4" hidden="1" x14ac:dyDescent="0.25">
      <c r="A3738" s="4">
        <v>43893</v>
      </c>
      <c r="B3738" s="4" t="s">
        <v>757</v>
      </c>
      <c r="C3738" s="34"/>
      <c r="D3738" s="34">
        <v>5.19</v>
      </c>
    </row>
    <row r="3739" spans="1:4" hidden="1" x14ac:dyDescent="0.25">
      <c r="A3739" s="4">
        <v>43921</v>
      </c>
      <c r="B3739" s="4" t="s">
        <v>372</v>
      </c>
      <c r="C3739" s="34"/>
      <c r="D3739" s="34">
        <v>5</v>
      </c>
    </row>
    <row r="3740" spans="1:4" hidden="1" x14ac:dyDescent="0.25">
      <c r="A3740" s="4">
        <v>43923</v>
      </c>
      <c r="B3740" s="4" t="s">
        <v>757</v>
      </c>
      <c r="C3740" s="34"/>
      <c r="D3740" s="34">
        <v>5.55</v>
      </c>
    </row>
    <row r="3741" spans="1:4" hidden="1" x14ac:dyDescent="0.25">
      <c r="A3741" s="4">
        <v>43951</v>
      </c>
      <c r="B3741" s="4" t="s">
        <v>372</v>
      </c>
      <c r="C3741" s="34"/>
      <c r="D3741" s="34">
        <v>1.1499999999999999</v>
      </c>
    </row>
    <row r="3742" spans="1:4" hidden="1" x14ac:dyDescent="0.25">
      <c r="A3742" s="4">
        <v>43955</v>
      </c>
      <c r="B3742" s="4" t="s">
        <v>757</v>
      </c>
      <c r="C3742" s="34"/>
      <c r="D3742" s="34">
        <v>5.37</v>
      </c>
    </row>
    <row r="3743" spans="1:4" hidden="1" x14ac:dyDescent="0.25">
      <c r="A3743" s="4">
        <v>43980</v>
      </c>
      <c r="B3743" s="4" t="s">
        <v>372</v>
      </c>
      <c r="C3743" s="34"/>
      <c r="D3743" s="34">
        <v>1.29</v>
      </c>
    </row>
    <row r="3744" spans="1:4" hidden="1" x14ac:dyDescent="0.25">
      <c r="A3744" s="4">
        <v>43984</v>
      </c>
      <c r="B3744" s="4" t="s">
        <v>757</v>
      </c>
      <c r="C3744" s="34"/>
      <c r="D3744" s="34">
        <v>6.67</v>
      </c>
    </row>
    <row r="3745" spans="1:4" hidden="1" x14ac:dyDescent="0.25">
      <c r="A3745" s="4">
        <v>44012</v>
      </c>
      <c r="B3745" s="4" t="s">
        <v>372</v>
      </c>
      <c r="C3745" s="34"/>
      <c r="D3745" s="34">
        <v>1.27</v>
      </c>
    </row>
    <row r="3746" spans="1:4" hidden="1" x14ac:dyDescent="0.25">
      <c r="A3746" s="4">
        <v>43648</v>
      </c>
      <c r="B3746" s="4" t="s">
        <v>757</v>
      </c>
      <c r="C3746" s="34"/>
      <c r="D3746" s="34">
        <v>1.1000000000000001</v>
      </c>
    </row>
    <row r="3747" spans="1:4" hidden="1" x14ac:dyDescent="0.25">
      <c r="A3747" s="4">
        <v>43649</v>
      </c>
      <c r="B3747" s="4" t="s">
        <v>921</v>
      </c>
      <c r="C3747" s="34"/>
      <c r="D3747" s="34">
        <v>448.2</v>
      </c>
    </row>
    <row r="3748" spans="1:4" hidden="1" x14ac:dyDescent="0.25">
      <c r="A3748" s="4">
        <v>43651</v>
      </c>
      <c r="B3748" s="4" t="s">
        <v>848</v>
      </c>
      <c r="C3748" s="34"/>
      <c r="D3748" s="34">
        <v>3.12</v>
      </c>
    </row>
    <row r="3749" spans="1:4" hidden="1" x14ac:dyDescent="0.25">
      <c r="A3749" s="4">
        <v>43657</v>
      </c>
      <c r="B3749" s="4" t="s">
        <v>922</v>
      </c>
      <c r="C3749" s="34"/>
      <c r="D3749" s="34">
        <v>118.16</v>
      </c>
    </row>
    <row r="3750" spans="1:4" hidden="1" x14ac:dyDescent="0.25">
      <c r="A3750" s="4">
        <v>43658</v>
      </c>
      <c r="B3750" s="4" t="s">
        <v>795</v>
      </c>
      <c r="C3750" s="34"/>
      <c r="D3750" s="34">
        <v>1372.74</v>
      </c>
    </row>
    <row r="3751" spans="1:4" hidden="1" x14ac:dyDescent="0.25">
      <c r="A3751" s="4">
        <v>43662</v>
      </c>
      <c r="B3751" s="4" t="s">
        <v>924</v>
      </c>
      <c r="C3751" s="34"/>
      <c r="D3751" s="34">
        <v>634.55999999999995</v>
      </c>
    </row>
    <row r="3752" spans="1:4" hidden="1" x14ac:dyDescent="0.25">
      <c r="A3752" s="4">
        <v>43662</v>
      </c>
      <c r="B3752" s="4" t="s">
        <v>828</v>
      </c>
      <c r="C3752" s="34"/>
      <c r="D3752" s="34">
        <v>6727.03</v>
      </c>
    </row>
    <row r="3753" spans="1:4" hidden="1" x14ac:dyDescent="0.25">
      <c r="A3753" s="4">
        <v>43664</v>
      </c>
      <c r="B3753" s="4" t="s">
        <v>782</v>
      </c>
      <c r="C3753" s="34"/>
      <c r="D3753" s="34">
        <v>188.88</v>
      </c>
    </row>
    <row r="3754" spans="1:4" hidden="1" x14ac:dyDescent="0.25">
      <c r="A3754" s="4">
        <v>43664</v>
      </c>
      <c r="B3754" s="4" t="s">
        <v>827</v>
      </c>
      <c r="C3754" s="34"/>
      <c r="D3754" s="34">
        <v>4083.84</v>
      </c>
    </row>
    <row r="3755" spans="1:4" hidden="1" x14ac:dyDescent="0.25">
      <c r="A3755" s="4">
        <v>43675</v>
      </c>
      <c r="B3755" s="4" t="s">
        <v>781</v>
      </c>
      <c r="C3755" s="34"/>
      <c r="D3755" s="34">
        <v>893.58</v>
      </c>
    </row>
    <row r="3756" spans="1:4" hidden="1" x14ac:dyDescent="0.25">
      <c r="A3756" s="4">
        <v>43677</v>
      </c>
      <c r="B3756" s="4" t="s">
        <v>716</v>
      </c>
      <c r="C3756" s="34"/>
      <c r="D3756" s="34">
        <v>5.68</v>
      </c>
    </row>
    <row r="3757" spans="1:4" hidden="1" x14ac:dyDescent="0.25">
      <c r="A3757" s="4">
        <v>43679</v>
      </c>
      <c r="B3757" s="4" t="s">
        <v>757</v>
      </c>
      <c r="C3757" s="34"/>
      <c r="D3757" s="34">
        <v>2.85</v>
      </c>
    </row>
    <row r="3758" spans="1:4" hidden="1" x14ac:dyDescent="0.25">
      <c r="A3758" s="4">
        <v>43686</v>
      </c>
      <c r="B3758" s="4" t="s">
        <v>929</v>
      </c>
      <c r="C3758" s="34"/>
      <c r="D3758" s="34">
        <v>698.1</v>
      </c>
    </row>
    <row r="3759" spans="1:4" hidden="1" x14ac:dyDescent="0.25">
      <c r="A3759" s="4">
        <v>43704</v>
      </c>
      <c r="B3759" s="4" t="s">
        <v>931</v>
      </c>
      <c r="C3759" s="34"/>
      <c r="D3759" s="34">
        <v>650</v>
      </c>
    </row>
    <row r="3760" spans="1:4" hidden="1" x14ac:dyDescent="0.25">
      <c r="A3760" s="4">
        <v>43706</v>
      </c>
      <c r="B3760" s="4" t="s">
        <v>787</v>
      </c>
      <c r="C3760" s="34"/>
      <c r="D3760" s="34">
        <v>384.1</v>
      </c>
    </row>
    <row r="3761" spans="1:4" hidden="1" x14ac:dyDescent="0.25">
      <c r="A3761" s="4">
        <v>43706</v>
      </c>
      <c r="B3761" s="4" t="s">
        <v>787</v>
      </c>
      <c r="C3761" s="34"/>
      <c r="D3761" s="34">
        <v>897</v>
      </c>
    </row>
    <row r="3762" spans="1:4" hidden="1" x14ac:dyDescent="0.25">
      <c r="A3762" s="4">
        <v>43707</v>
      </c>
      <c r="B3762" s="4" t="s">
        <v>716</v>
      </c>
      <c r="C3762" s="34"/>
      <c r="D3762" s="34">
        <v>17.25</v>
      </c>
    </row>
    <row r="3763" spans="1:4" hidden="1" x14ac:dyDescent="0.25">
      <c r="A3763" s="4">
        <v>43711</v>
      </c>
      <c r="B3763" s="4" t="s">
        <v>757</v>
      </c>
      <c r="C3763" s="34"/>
      <c r="D3763" s="34">
        <v>8.6199999999999992</v>
      </c>
    </row>
    <row r="3764" spans="1:4" hidden="1" x14ac:dyDescent="0.25">
      <c r="A3764" s="4">
        <v>43724</v>
      </c>
      <c r="B3764" s="4" t="s">
        <v>939</v>
      </c>
      <c r="C3764" s="34"/>
      <c r="D3764" s="34">
        <v>216.9</v>
      </c>
    </row>
    <row r="3765" spans="1:4" hidden="1" x14ac:dyDescent="0.25">
      <c r="A3765" s="4">
        <v>43728</v>
      </c>
      <c r="B3765" s="4" t="s">
        <v>940</v>
      </c>
      <c r="C3765" s="34"/>
      <c r="D3765" s="34">
        <v>376.4</v>
      </c>
    </row>
    <row r="3766" spans="1:4" hidden="1" x14ac:dyDescent="0.25">
      <c r="A3766" s="4">
        <v>43733</v>
      </c>
      <c r="B3766" s="4" t="s">
        <v>941</v>
      </c>
      <c r="C3766" s="34"/>
      <c r="D3766" s="34">
        <v>568.51</v>
      </c>
    </row>
    <row r="3767" spans="1:4" hidden="1" x14ac:dyDescent="0.25">
      <c r="A3767" s="4">
        <v>43733</v>
      </c>
      <c r="B3767" s="4" t="s">
        <v>942</v>
      </c>
      <c r="C3767" s="34"/>
      <c r="D3767" s="34">
        <v>391.5</v>
      </c>
    </row>
    <row r="3768" spans="1:4" hidden="1" x14ac:dyDescent="0.25">
      <c r="A3768" s="4">
        <v>43733</v>
      </c>
      <c r="B3768" s="4" t="s">
        <v>943</v>
      </c>
      <c r="C3768" s="34"/>
      <c r="D3768" s="34">
        <v>187.5</v>
      </c>
    </row>
    <row r="3769" spans="1:4" hidden="1" x14ac:dyDescent="0.25">
      <c r="A3769" s="4">
        <v>43734</v>
      </c>
      <c r="B3769" s="4" t="s">
        <v>944</v>
      </c>
      <c r="C3769" s="34"/>
      <c r="D3769" s="34">
        <v>299.62</v>
      </c>
    </row>
    <row r="3770" spans="1:4" hidden="1" x14ac:dyDescent="0.25">
      <c r="A3770" s="4">
        <v>43734</v>
      </c>
      <c r="B3770" s="4" t="s">
        <v>945</v>
      </c>
      <c r="C3770" s="34"/>
      <c r="D3770" s="34">
        <v>836.22</v>
      </c>
    </row>
    <row r="3771" spans="1:4" hidden="1" x14ac:dyDescent="0.25">
      <c r="A3771" s="4">
        <v>43735</v>
      </c>
      <c r="B3771" s="4" t="s">
        <v>883</v>
      </c>
      <c r="C3771" s="34"/>
      <c r="D3771" s="34">
        <v>435</v>
      </c>
    </row>
    <row r="3772" spans="1:4" hidden="1" x14ac:dyDescent="0.25">
      <c r="A3772" s="4">
        <v>43738</v>
      </c>
      <c r="B3772" s="4" t="s">
        <v>716</v>
      </c>
      <c r="C3772" s="34"/>
      <c r="D3772" s="34">
        <v>7.7</v>
      </c>
    </row>
    <row r="3773" spans="1:4" hidden="1" x14ac:dyDescent="0.25">
      <c r="A3773" s="4">
        <v>43740</v>
      </c>
      <c r="B3773" s="4" t="s">
        <v>757</v>
      </c>
      <c r="C3773" s="34"/>
      <c r="D3773" s="34">
        <v>7.73</v>
      </c>
    </row>
    <row r="3774" spans="1:4" hidden="1" x14ac:dyDescent="0.25">
      <c r="A3774" s="4">
        <v>43747</v>
      </c>
      <c r="B3774" s="4" t="s">
        <v>949</v>
      </c>
      <c r="C3774" s="34"/>
      <c r="D3774" s="34">
        <v>658.32</v>
      </c>
    </row>
    <row r="3775" spans="1:4" hidden="1" x14ac:dyDescent="0.25">
      <c r="A3775" s="4">
        <v>43748</v>
      </c>
      <c r="B3775" s="4" t="s">
        <v>795</v>
      </c>
      <c r="C3775" s="34"/>
      <c r="D3775" s="34">
        <v>99.98</v>
      </c>
    </row>
    <row r="3776" spans="1:4" hidden="1" x14ac:dyDescent="0.25">
      <c r="A3776" s="4">
        <v>43748</v>
      </c>
      <c r="B3776" s="4" t="s">
        <v>848</v>
      </c>
      <c r="C3776" s="34"/>
      <c r="D3776" s="34">
        <v>3.18</v>
      </c>
    </row>
    <row r="3777" spans="1:4" hidden="1" x14ac:dyDescent="0.25">
      <c r="A3777" s="4">
        <v>43749</v>
      </c>
      <c r="B3777" s="4" t="s">
        <v>782</v>
      </c>
      <c r="C3777" s="34"/>
      <c r="D3777" s="34">
        <v>191.72</v>
      </c>
    </row>
    <row r="3778" spans="1:4" hidden="1" x14ac:dyDescent="0.25">
      <c r="A3778" s="4">
        <v>43754</v>
      </c>
      <c r="B3778" s="4" t="s">
        <v>950</v>
      </c>
      <c r="C3778" s="34"/>
      <c r="D3778" s="34">
        <v>128.86000000000001</v>
      </c>
    </row>
    <row r="3779" spans="1:4" hidden="1" x14ac:dyDescent="0.25">
      <c r="A3779" s="4">
        <v>43769</v>
      </c>
      <c r="B3779" s="4" t="s">
        <v>716</v>
      </c>
      <c r="C3779" s="34"/>
      <c r="D3779" s="34">
        <v>0.8</v>
      </c>
    </row>
    <row r="3780" spans="1:4" hidden="1" x14ac:dyDescent="0.25">
      <c r="A3780" s="4">
        <v>43773</v>
      </c>
      <c r="B3780" s="4" t="s">
        <v>757</v>
      </c>
      <c r="C3780" s="34"/>
      <c r="D3780" s="34">
        <v>8.3000000000000007</v>
      </c>
    </row>
    <row r="3781" spans="1:4" hidden="1" x14ac:dyDescent="0.25">
      <c r="A3781" s="4">
        <v>43781</v>
      </c>
      <c r="B3781" s="4" t="s">
        <v>831</v>
      </c>
      <c r="C3781" s="34"/>
      <c r="D3781" s="34">
        <v>924.34</v>
      </c>
    </row>
    <row r="3782" spans="1:4" hidden="1" x14ac:dyDescent="0.25">
      <c r="A3782" s="4">
        <v>43802</v>
      </c>
      <c r="B3782" s="4" t="s">
        <v>757</v>
      </c>
      <c r="C3782" s="34"/>
      <c r="D3782" s="34">
        <v>19.02</v>
      </c>
    </row>
    <row r="3783" spans="1:4" hidden="1" x14ac:dyDescent="0.25">
      <c r="A3783" s="4">
        <v>43816</v>
      </c>
      <c r="B3783" s="4" t="s">
        <v>848</v>
      </c>
      <c r="C3783" s="34"/>
      <c r="D3783" s="34">
        <v>3.17</v>
      </c>
    </row>
    <row r="3784" spans="1:4" hidden="1" x14ac:dyDescent="0.25">
      <c r="A3784" s="4">
        <v>43818</v>
      </c>
      <c r="B3784" s="4" t="s">
        <v>961</v>
      </c>
      <c r="C3784" s="34"/>
      <c r="D3784" s="34">
        <v>737.5</v>
      </c>
    </row>
    <row r="3785" spans="1:4" hidden="1" x14ac:dyDescent="0.25">
      <c r="A3785" s="4">
        <v>43819</v>
      </c>
      <c r="B3785" s="4" t="s">
        <v>962</v>
      </c>
      <c r="C3785" s="34"/>
      <c r="D3785" s="34">
        <v>417.6</v>
      </c>
    </row>
    <row r="3786" spans="1:4" hidden="1" x14ac:dyDescent="0.25">
      <c r="A3786" s="4">
        <v>43833</v>
      </c>
      <c r="B3786" s="4" t="s">
        <v>757</v>
      </c>
      <c r="C3786" s="34"/>
      <c r="D3786" s="34">
        <v>15.33</v>
      </c>
    </row>
    <row r="3787" spans="1:4" hidden="1" x14ac:dyDescent="0.25">
      <c r="A3787" s="4">
        <v>43845</v>
      </c>
      <c r="B3787" s="4" t="s">
        <v>782</v>
      </c>
      <c r="C3787" s="34"/>
      <c r="D3787" s="34">
        <v>197.19</v>
      </c>
    </row>
    <row r="3788" spans="1:4" hidden="1" x14ac:dyDescent="0.25">
      <c r="A3788" s="4">
        <v>43846</v>
      </c>
      <c r="B3788" s="4" t="s">
        <v>781</v>
      </c>
      <c r="C3788" s="34"/>
      <c r="D3788" s="34">
        <v>982.94</v>
      </c>
    </row>
    <row r="3789" spans="1:4" hidden="1" x14ac:dyDescent="0.25">
      <c r="A3789" s="4">
        <v>43847</v>
      </c>
      <c r="B3789" s="4" t="s">
        <v>965</v>
      </c>
      <c r="C3789" s="34"/>
      <c r="D3789" s="34">
        <v>219.59</v>
      </c>
    </row>
    <row r="3790" spans="1:4" hidden="1" x14ac:dyDescent="0.25">
      <c r="A3790" s="4">
        <v>43850</v>
      </c>
      <c r="B3790" s="4" t="s">
        <v>795</v>
      </c>
      <c r="C3790" s="34"/>
      <c r="D3790" s="34">
        <v>135.44999999999999</v>
      </c>
    </row>
    <row r="3791" spans="1:4" hidden="1" x14ac:dyDescent="0.25">
      <c r="A3791" s="4">
        <v>43865</v>
      </c>
      <c r="B3791" s="4" t="s">
        <v>757</v>
      </c>
      <c r="C3791" s="34"/>
      <c r="D3791" s="34">
        <v>15.56</v>
      </c>
    </row>
    <row r="3792" spans="1:4" hidden="1" x14ac:dyDescent="0.25">
      <c r="A3792" s="4">
        <v>43875</v>
      </c>
      <c r="B3792" s="4" t="s">
        <v>968</v>
      </c>
      <c r="C3792" s="34"/>
      <c r="D3792" s="34">
        <v>729.12</v>
      </c>
    </row>
    <row r="3793" spans="1:4" hidden="1" x14ac:dyDescent="0.25">
      <c r="A3793" s="4">
        <v>43881</v>
      </c>
      <c r="B3793" s="4" t="s">
        <v>969</v>
      </c>
      <c r="C3793" s="34"/>
      <c r="D3793" s="34">
        <v>568.75</v>
      </c>
    </row>
    <row r="3794" spans="1:4" hidden="1" x14ac:dyDescent="0.25">
      <c r="A3794" s="4">
        <v>43888</v>
      </c>
      <c r="B3794" s="4" t="s">
        <v>787</v>
      </c>
      <c r="C3794" s="34"/>
      <c r="D3794" s="34">
        <v>1068.3499999999999</v>
      </c>
    </row>
    <row r="3795" spans="1:4" hidden="1" x14ac:dyDescent="0.25">
      <c r="A3795" s="4">
        <v>43893</v>
      </c>
      <c r="B3795" s="4" t="s">
        <v>757</v>
      </c>
      <c r="C3795" s="34"/>
      <c r="D3795" s="34">
        <v>14.76</v>
      </c>
    </row>
    <row r="3796" spans="1:4" hidden="1" x14ac:dyDescent="0.25">
      <c r="A3796" s="4">
        <v>43910</v>
      </c>
      <c r="B3796" s="4" t="s">
        <v>972</v>
      </c>
      <c r="C3796" s="34"/>
      <c r="D3796" s="34">
        <v>587.74</v>
      </c>
    </row>
    <row r="3797" spans="1:4" hidden="1" x14ac:dyDescent="0.25">
      <c r="A3797" s="4">
        <v>43914</v>
      </c>
      <c r="B3797" s="4" t="s">
        <v>973</v>
      </c>
      <c r="C3797" s="34"/>
      <c r="D3797" s="34">
        <v>497.02</v>
      </c>
    </row>
    <row r="3798" spans="1:4" hidden="1" x14ac:dyDescent="0.25">
      <c r="A3798" s="4">
        <v>43915</v>
      </c>
      <c r="B3798" s="4" t="s">
        <v>974</v>
      </c>
      <c r="C3798" s="34"/>
      <c r="D3798" s="34">
        <v>312.5</v>
      </c>
    </row>
    <row r="3799" spans="1:4" hidden="1" x14ac:dyDescent="0.25">
      <c r="A3799" s="4">
        <v>43917</v>
      </c>
      <c r="B3799" s="4" t="s">
        <v>975</v>
      </c>
      <c r="C3799" s="34"/>
      <c r="D3799" s="34">
        <v>253.2</v>
      </c>
    </row>
    <row r="3800" spans="1:4" hidden="1" x14ac:dyDescent="0.25">
      <c r="A3800" s="4">
        <v>43917</v>
      </c>
      <c r="B3800" s="4" t="s">
        <v>883</v>
      </c>
      <c r="C3800" s="34"/>
      <c r="D3800" s="34">
        <v>435</v>
      </c>
    </row>
    <row r="3801" spans="1:4" hidden="1" x14ac:dyDescent="0.25">
      <c r="A3801" s="4">
        <v>43921</v>
      </c>
      <c r="B3801" s="4" t="s">
        <v>976</v>
      </c>
      <c r="C3801" s="34"/>
      <c r="D3801" s="34">
        <v>633</v>
      </c>
    </row>
    <row r="3802" spans="1:4" hidden="1" x14ac:dyDescent="0.25">
      <c r="A3802" s="4">
        <v>43921</v>
      </c>
      <c r="B3802" s="4" t="s">
        <v>977</v>
      </c>
      <c r="C3802" s="34"/>
      <c r="D3802" s="34">
        <v>724</v>
      </c>
    </row>
    <row r="3803" spans="1:4" hidden="1" x14ac:dyDescent="0.25">
      <c r="A3803" s="4">
        <v>43923</v>
      </c>
      <c r="B3803" s="4" t="s">
        <v>757</v>
      </c>
      <c r="C3803" s="34"/>
      <c r="D3803" s="34">
        <v>16.170000000000002</v>
      </c>
    </row>
    <row r="3804" spans="1:4" hidden="1" x14ac:dyDescent="0.25">
      <c r="A3804" s="4">
        <v>43937</v>
      </c>
      <c r="B3804" s="4" t="s">
        <v>782</v>
      </c>
      <c r="C3804" s="34"/>
      <c r="D3804" s="34">
        <v>195.57</v>
      </c>
    </row>
    <row r="3805" spans="1:4" hidden="1" x14ac:dyDescent="0.25">
      <c r="A3805" s="4">
        <v>43941</v>
      </c>
      <c r="B3805" s="4" t="s">
        <v>980</v>
      </c>
      <c r="C3805" s="34"/>
      <c r="D3805" s="34">
        <v>166.27</v>
      </c>
    </row>
    <row r="3806" spans="1:4" hidden="1" x14ac:dyDescent="0.25">
      <c r="A3806" s="4">
        <v>43955</v>
      </c>
      <c r="B3806" s="4" t="s">
        <v>757</v>
      </c>
      <c r="C3806" s="34"/>
      <c r="D3806" s="34">
        <v>16.190000000000001</v>
      </c>
    </row>
    <row r="3807" spans="1:4" hidden="1" x14ac:dyDescent="0.25">
      <c r="A3807" s="4">
        <v>43964</v>
      </c>
      <c r="B3807" s="4" t="s">
        <v>831</v>
      </c>
      <c r="C3807" s="34"/>
      <c r="D3807" s="34">
        <v>631.23</v>
      </c>
    </row>
    <row r="3808" spans="1:4" hidden="1" x14ac:dyDescent="0.25">
      <c r="A3808" s="4">
        <v>43984</v>
      </c>
      <c r="B3808" s="4" t="s">
        <v>757</v>
      </c>
      <c r="C3808" s="34"/>
      <c r="D3808" s="34">
        <v>16.14</v>
      </c>
    </row>
    <row r="3809" spans="1:4" hidden="1" x14ac:dyDescent="0.25">
      <c r="A3809" s="4">
        <v>44012</v>
      </c>
      <c r="B3809" s="4" t="s">
        <v>250</v>
      </c>
      <c r="C3809" s="34"/>
      <c r="D3809" s="34">
        <v>1639.64</v>
      </c>
    </row>
    <row r="3810" spans="1:4" hidden="1" x14ac:dyDescent="0.25">
      <c r="A3810" s="4">
        <v>44012</v>
      </c>
      <c r="B3810" s="4" t="s">
        <v>75</v>
      </c>
      <c r="C3810" s="34">
        <f>43604.41+3071.85+0.01</f>
        <v>46676.270000000004</v>
      </c>
      <c r="D3810" s="34"/>
    </row>
    <row r="3811" spans="1:4" hidden="1" x14ac:dyDescent="0.25">
      <c r="A3811" s="4"/>
      <c r="B3811" s="4"/>
      <c r="C3811" s="34"/>
      <c r="D3811" s="34"/>
    </row>
    <row r="3812" spans="1:4" hidden="1" x14ac:dyDescent="0.25">
      <c r="A3812" s="4"/>
      <c r="B3812" s="4"/>
      <c r="C3812" s="34"/>
      <c r="D3812" s="34"/>
    </row>
    <row r="3813" spans="1:4" hidden="1" x14ac:dyDescent="0.25">
      <c r="A3813" s="4">
        <v>44012</v>
      </c>
      <c r="B3813" t="s">
        <v>14</v>
      </c>
      <c r="C3813" s="36">
        <f>SUM(C3722:C3812)</f>
        <v>46676.270000000004</v>
      </c>
      <c r="D3813" s="36">
        <f>SUM(D3722:D3812)</f>
        <v>33813.31</v>
      </c>
    </row>
    <row r="3814" spans="1:4" hidden="1" x14ac:dyDescent="0.25">
      <c r="A3814" s="4"/>
      <c r="B3814" s="4" t="s">
        <v>15</v>
      </c>
      <c r="C3814" s="34">
        <f>IF(C3813&gt;D3813,C3813-D3813," ")</f>
        <v>12862.960000000006</v>
      </c>
      <c r="D3814" s="34" t="str">
        <f>IF(D3813&gt;C3813,D3813-C3813," ")</f>
        <v xml:space="preserve"> </v>
      </c>
    </row>
    <row r="3815" spans="1:4" hidden="1" x14ac:dyDescent="0.25">
      <c r="A3815" s="4">
        <v>44014</v>
      </c>
      <c r="B3815" s="4" t="s">
        <v>757</v>
      </c>
      <c r="C3815" s="34"/>
      <c r="D3815" s="34">
        <v>6.49</v>
      </c>
    </row>
    <row r="3816" spans="1:4" hidden="1" x14ac:dyDescent="0.25">
      <c r="A3816" s="4">
        <v>44043</v>
      </c>
      <c r="B3816" s="4" t="s">
        <v>372</v>
      </c>
      <c r="C3816" s="34"/>
      <c r="D3816" s="34">
        <v>1.55</v>
      </c>
    </row>
    <row r="3817" spans="1:4" hidden="1" x14ac:dyDescent="0.25">
      <c r="A3817" s="4">
        <v>44047</v>
      </c>
      <c r="B3817" s="4" t="s">
        <v>757</v>
      </c>
      <c r="C3817" s="34"/>
      <c r="D3817" s="34">
        <v>7.54</v>
      </c>
    </row>
    <row r="3818" spans="1:4" hidden="1" x14ac:dyDescent="0.25">
      <c r="A3818" s="4">
        <v>44074</v>
      </c>
      <c r="B3818" s="4" t="s">
        <v>372</v>
      </c>
      <c r="C3818" s="34"/>
      <c r="D3818" s="34">
        <v>1.54</v>
      </c>
    </row>
    <row r="3819" spans="1:4" hidden="1" x14ac:dyDescent="0.25">
      <c r="A3819" s="4">
        <v>44076</v>
      </c>
      <c r="B3819" s="4" t="s">
        <v>757</v>
      </c>
      <c r="C3819" s="34"/>
      <c r="D3819" s="34">
        <v>7.46</v>
      </c>
    </row>
    <row r="3820" spans="1:4" hidden="1" x14ac:dyDescent="0.25">
      <c r="A3820" s="4">
        <v>44104</v>
      </c>
      <c r="B3820" s="4" t="s">
        <v>372</v>
      </c>
      <c r="C3820" s="34"/>
      <c r="D3820" s="34">
        <v>1.1599999999999999</v>
      </c>
    </row>
    <row r="3821" spans="1:4" hidden="1" x14ac:dyDescent="0.25">
      <c r="A3821" s="4">
        <v>44106</v>
      </c>
      <c r="B3821" s="4" t="s">
        <v>757</v>
      </c>
      <c r="C3821" s="34"/>
      <c r="D3821" s="34">
        <v>5.7</v>
      </c>
    </row>
    <row r="3822" spans="1:4" hidden="1" x14ac:dyDescent="0.25">
      <c r="A3822" s="4"/>
      <c r="B3822" s="4"/>
      <c r="C3822" s="34"/>
      <c r="D3822" s="34"/>
    </row>
    <row r="3823" spans="1:4" hidden="1" x14ac:dyDescent="0.25">
      <c r="A3823" s="4">
        <v>44013</v>
      </c>
      <c r="B3823" s="4" t="s">
        <v>1079</v>
      </c>
      <c r="C3823" s="34"/>
      <c r="D3823" s="34">
        <v>442.5</v>
      </c>
    </row>
    <row r="3824" spans="1:4" hidden="1" x14ac:dyDescent="0.25">
      <c r="A3824" s="4">
        <v>44014</v>
      </c>
      <c r="B3824" s="4" t="s">
        <v>757</v>
      </c>
      <c r="C3824" s="34"/>
      <c r="D3824" s="34">
        <v>12.76</v>
      </c>
    </row>
    <row r="3825" spans="1:4" hidden="1" x14ac:dyDescent="0.25">
      <c r="A3825" s="4">
        <v>44025</v>
      </c>
      <c r="B3825" s="4" t="s">
        <v>1009</v>
      </c>
      <c r="C3825" s="34"/>
      <c r="D3825" s="34">
        <v>82.77</v>
      </c>
    </row>
    <row r="3826" spans="1:4" hidden="1" x14ac:dyDescent="0.25">
      <c r="A3826" s="4">
        <v>44027</v>
      </c>
      <c r="B3826" s="4" t="s">
        <v>782</v>
      </c>
      <c r="C3826" s="34"/>
      <c r="D3826" s="34">
        <v>192.61</v>
      </c>
    </row>
    <row r="3827" spans="1:4" hidden="1" x14ac:dyDescent="0.25">
      <c r="A3827" s="4">
        <v>44028</v>
      </c>
      <c r="B3827" s="4" t="s">
        <v>1010</v>
      </c>
      <c r="C3827" s="34"/>
      <c r="D3827" s="34">
        <v>189.37</v>
      </c>
    </row>
    <row r="3828" spans="1:4" hidden="1" x14ac:dyDescent="0.25">
      <c r="A3828" s="4">
        <v>44029</v>
      </c>
      <c r="B3828" s="4" t="s">
        <v>828</v>
      </c>
      <c r="C3828" s="34"/>
      <c r="D3828" s="34">
        <v>4304.54</v>
      </c>
    </row>
    <row r="3829" spans="1:4" hidden="1" x14ac:dyDescent="0.25">
      <c r="A3829" s="4">
        <v>44033</v>
      </c>
      <c r="B3829" s="4" t="s">
        <v>827</v>
      </c>
      <c r="C3829" s="34"/>
      <c r="D3829" s="34">
        <v>1678.99</v>
      </c>
    </row>
    <row r="3830" spans="1:4" hidden="1" x14ac:dyDescent="0.25">
      <c r="A3830" s="4">
        <v>44033</v>
      </c>
      <c r="B3830" s="4" t="s">
        <v>795</v>
      </c>
      <c r="C3830" s="34"/>
      <c r="D3830" s="34">
        <v>813.11</v>
      </c>
    </row>
    <row r="3831" spans="1:4" hidden="1" x14ac:dyDescent="0.25">
      <c r="A3831" s="4">
        <v>44040</v>
      </c>
      <c r="B3831" s="4" t="s">
        <v>781</v>
      </c>
      <c r="C3831" s="34"/>
      <c r="D3831" s="34">
        <v>1024.6400000000001</v>
      </c>
    </row>
    <row r="3832" spans="1:4" hidden="1" x14ac:dyDescent="0.25">
      <c r="A3832" s="4">
        <v>44047</v>
      </c>
      <c r="B3832" s="4" t="s">
        <v>757</v>
      </c>
      <c r="C3832" s="34"/>
      <c r="D3832" s="34">
        <v>13.87</v>
      </c>
    </row>
    <row r="3833" spans="1:4" hidden="1" x14ac:dyDescent="0.25">
      <c r="A3833" s="4">
        <v>44057</v>
      </c>
      <c r="B3833" s="4" t="s">
        <v>1013</v>
      </c>
      <c r="C3833" s="34"/>
      <c r="D3833" s="34">
        <v>376.32</v>
      </c>
    </row>
    <row r="3834" spans="1:4" hidden="1" x14ac:dyDescent="0.25">
      <c r="A3834" s="4">
        <v>44057</v>
      </c>
      <c r="B3834" s="4" t="s">
        <v>895</v>
      </c>
      <c r="C3834" s="34"/>
      <c r="D3834" s="34">
        <v>320.55</v>
      </c>
    </row>
    <row r="3835" spans="1:4" hidden="1" x14ac:dyDescent="0.25">
      <c r="A3835" s="4">
        <v>44069</v>
      </c>
      <c r="B3835" s="4" t="s">
        <v>787</v>
      </c>
      <c r="C3835" s="34"/>
      <c r="D3835" s="34">
        <v>1053.4000000000001</v>
      </c>
    </row>
    <row r="3836" spans="1:4" hidden="1" x14ac:dyDescent="0.25">
      <c r="A3836" s="4">
        <v>44069</v>
      </c>
      <c r="B3836" s="4" t="s">
        <v>787</v>
      </c>
      <c r="C3836" s="34"/>
      <c r="D3836" s="34">
        <v>349.6</v>
      </c>
    </row>
    <row r="3837" spans="1:4" hidden="1" x14ac:dyDescent="0.25">
      <c r="A3837" s="4">
        <v>44071</v>
      </c>
      <c r="B3837" s="4" t="s">
        <v>1016</v>
      </c>
      <c r="C3837" s="34"/>
      <c r="D3837" s="34">
        <v>341.25</v>
      </c>
    </row>
    <row r="3838" spans="1:4" hidden="1" x14ac:dyDescent="0.25">
      <c r="A3838" s="4">
        <v>44076</v>
      </c>
      <c r="B3838" s="4" t="s">
        <v>757</v>
      </c>
      <c r="C3838" s="34"/>
      <c r="D3838" s="34">
        <v>19.8</v>
      </c>
    </row>
    <row r="3839" spans="1:4" hidden="1" x14ac:dyDescent="0.25">
      <c r="A3839" s="4">
        <v>44092</v>
      </c>
      <c r="B3839" s="4" t="s">
        <v>1020</v>
      </c>
      <c r="C3839" s="34"/>
      <c r="D3839" s="34">
        <v>424.82</v>
      </c>
    </row>
    <row r="3840" spans="1:4" hidden="1" x14ac:dyDescent="0.25">
      <c r="A3840" s="4">
        <v>44096</v>
      </c>
      <c r="B3840" s="4" t="s">
        <v>1021</v>
      </c>
      <c r="C3840" s="34"/>
      <c r="D3840" s="34">
        <v>377.28</v>
      </c>
    </row>
    <row r="3841" spans="1:4" hidden="1" x14ac:dyDescent="0.25">
      <c r="A3841" s="4">
        <v>44103</v>
      </c>
      <c r="B3841" s="4" t="s">
        <v>1022</v>
      </c>
      <c r="C3841" s="34"/>
      <c r="D3841" s="34">
        <v>232.1</v>
      </c>
    </row>
    <row r="3842" spans="1:4" hidden="1" x14ac:dyDescent="0.25">
      <c r="A3842" s="4">
        <v>44104</v>
      </c>
      <c r="B3842" s="4" t="s">
        <v>1023</v>
      </c>
      <c r="C3842" s="34"/>
      <c r="D3842" s="34">
        <v>354.76</v>
      </c>
    </row>
    <row r="3843" spans="1:4" hidden="1" x14ac:dyDescent="0.25">
      <c r="A3843" s="4">
        <v>44105</v>
      </c>
      <c r="B3843" s="4" t="s">
        <v>1024</v>
      </c>
      <c r="C3843" s="34"/>
      <c r="D3843" s="34">
        <v>801.8</v>
      </c>
    </row>
    <row r="3844" spans="1:4" hidden="1" x14ac:dyDescent="0.25">
      <c r="A3844" s="4">
        <v>44106</v>
      </c>
      <c r="B3844" s="4" t="s">
        <v>883</v>
      </c>
      <c r="C3844" s="34"/>
      <c r="D3844" s="34">
        <v>290</v>
      </c>
    </row>
    <row r="3845" spans="1:4" hidden="1" x14ac:dyDescent="0.25">
      <c r="A3845" s="4">
        <v>44106</v>
      </c>
      <c r="B3845" s="4" t="s">
        <v>757</v>
      </c>
      <c r="C3845" s="34"/>
      <c r="D3845" s="34">
        <v>11.18</v>
      </c>
    </row>
    <row r="3846" spans="1:4" hidden="1" x14ac:dyDescent="0.25">
      <c r="A3846" s="4">
        <v>44112</v>
      </c>
      <c r="B3846" s="4" t="s">
        <v>795</v>
      </c>
      <c r="C3846" s="34"/>
      <c r="D3846" s="34">
        <v>314.43</v>
      </c>
    </row>
    <row r="3847" spans="1:4" hidden="1" x14ac:dyDescent="0.25">
      <c r="A3847" s="4">
        <v>44120</v>
      </c>
      <c r="B3847" s="4" t="s">
        <v>1028</v>
      </c>
      <c r="C3847" s="34"/>
      <c r="D3847" s="34">
        <v>33.29</v>
      </c>
    </row>
    <row r="3848" spans="1:4" hidden="1" x14ac:dyDescent="0.25">
      <c r="A3848" s="4">
        <v>44120</v>
      </c>
      <c r="B3848" s="4" t="s">
        <v>782</v>
      </c>
      <c r="C3848" s="34"/>
      <c r="D3848" s="34">
        <v>173.44</v>
      </c>
    </row>
    <row r="3849" spans="1:4" hidden="1" x14ac:dyDescent="0.25">
      <c r="A3849" s="4">
        <v>44125</v>
      </c>
      <c r="B3849" s="4" t="s">
        <v>1029</v>
      </c>
      <c r="C3849" s="34"/>
      <c r="D3849" s="34">
        <v>166.59</v>
      </c>
    </row>
    <row r="3850" spans="1:4" hidden="1" x14ac:dyDescent="0.25">
      <c r="A3850" s="4">
        <v>44138</v>
      </c>
      <c r="B3850" s="4" t="s">
        <v>757</v>
      </c>
      <c r="C3850" s="34"/>
      <c r="D3850" s="34">
        <v>10.84</v>
      </c>
    </row>
    <row r="3851" spans="1:4" hidden="1" x14ac:dyDescent="0.25">
      <c r="A3851" s="4">
        <v>44161</v>
      </c>
      <c r="B3851" s="4" t="s">
        <v>827</v>
      </c>
      <c r="C3851" s="34"/>
      <c r="D3851" s="34">
        <v>780.33</v>
      </c>
    </row>
    <row r="3852" spans="1:4" hidden="1" x14ac:dyDescent="0.25">
      <c r="A3852" s="4">
        <v>44167</v>
      </c>
      <c r="B3852" s="4" t="s">
        <v>757</v>
      </c>
      <c r="C3852" s="34"/>
      <c r="D3852" s="34">
        <v>10.09</v>
      </c>
    </row>
    <row r="3853" spans="1:4" hidden="1" x14ac:dyDescent="0.25">
      <c r="A3853" s="4">
        <v>44182</v>
      </c>
      <c r="B3853" s="4" t="s">
        <v>1039</v>
      </c>
      <c r="C3853" s="34"/>
      <c r="D3853" s="34">
        <v>649</v>
      </c>
    </row>
    <row r="3854" spans="1:4" hidden="1" x14ac:dyDescent="0.25">
      <c r="A3854" s="4">
        <v>44196</v>
      </c>
      <c r="B3854" s="4" t="s">
        <v>716</v>
      </c>
      <c r="C3854" s="34"/>
      <c r="D3854" s="34">
        <v>10.71</v>
      </c>
    </row>
    <row r="3855" spans="1:4" hidden="1" x14ac:dyDescent="0.25">
      <c r="A3855" s="4">
        <v>44204</v>
      </c>
      <c r="B3855" s="4" t="s">
        <v>795</v>
      </c>
      <c r="C3855" s="34"/>
      <c r="D3855" s="34">
        <v>454.28</v>
      </c>
    </row>
    <row r="3856" spans="1:4" hidden="1" x14ac:dyDescent="0.25">
      <c r="A3856" s="4">
        <v>44211</v>
      </c>
      <c r="B3856" s="4" t="s">
        <v>1042</v>
      </c>
      <c r="C3856" s="34"/>
      <c r="D3856" s="34">
        <v>450</v>
      </c>
    </row>
    <row r="3857" spans="1:4" hidden="1" x14ac:dyDescent="0.25">
      <c r="A3857" s="4">
        <v>44215</v>
      </c>
      <c r="B3857" s="4" t="s">
        <v>1043</v>
      </c>
      <c r="C3857" s="34"/>
      <c r="D3857" s="34">
        <v>188.97</v>
      </c>
    </row>
    <row r="3858" spans="1:4" hidden="1" x14ac:dyDescent="0.25">
      <c r="A3858" s="4">
        <v>44217</v>
      </c>
      <c r="B3858" s="4" t="s">
        <v>782</v>
      </c>
      <c r="C3858" s="34"/>
      <c r="D3858" s="34">
        <v>175.72</v>
      </c>
    </row>
    <row r="3859" spans="1:4" hidden="1" x14ac:dyDescent="0.25">
      <c r="A3859" s="4">
        <v>44225</v>
      </c>
      <c r="B3859" s="4" t="s">
        <v>716</v>
      </c>
      <c r="C3859" s="34"/>
      <c r="D3859" s="34">
        <v>1.05</v>
      </c>
    </row>
    <row r="3860" spans="1:4" hidden="1" x14ac:dyDescent="0.25">
      <c r="A3860" s="4">
        <v>44243</v>
      </c>
      <c r="B3860" s="4" t="s">
        <v>1050</v>
      </c>
      <c r="C3860" s="34"/>
      <c r="D3860" s="34">
        <v>352.8</v>
      </c>
    </row>
    <row r="3861" spans="1:4" hidden="1" x14ac:dyDescent="0.25">
      <c r="A3861" s="4">
        <v>44245</v>
      </c>
      <c r="B3861" s="4" t="s">
        <v>831</v>
      </c>
      <c r="C3861" s="34"/>
      <c r="D3861" s="34">
        <v>364.93</v>
      </c>
    </row>
    <row r="3862" spans="1:4" hidden="1" x14ac:dyDescent="0.25">
      <c r="A3862" s="4">
        <v>44249</v>
      </c>
      <c r="B3862" s="4" t="s">
        <v>1052</v>
      </c>
      <c r="C3862" s="34"/>
      <c r="D3862" s="34">
        <v>341.25</v>
      </c>
    </row>
    <row r="3863" spans="1:4" hidden="1" x14ac:dyDescent="0.25">
      <c r="A3863" s="4">
        <v>44252</v>
      </c>
      <c r="B3863" s="4" t="s">
        <v>787</v>
      </c>
      <c r="C3863" s="34"/>
      <c r="D3863" s="34">
        <v>1116.6500000000001</v>
      </c>
    </row>
    <row r="3864" spans="1:4" hidden="1" x14ac:dyDescent="0.25">
      <c r="A3864" s="4">
        <v>44274</v>
      </c>
      <c r="B3864" s="4" t="s">
        <v>1056</v>
      </c>
      <c r="C3864" s="34"/>
      <c r="D3864" s="34">
        <v>7.62</v>
      </c>
    </row>
    <row r="3865" spans="1:4" hidden="1" x14ac:dyDescent="0.25">
      <c r="A3865" s="4">
        <v>44279</v>
      </c>
      <c r="B3865" s="4" t="s">
        <v>1057</v>
      </c>
      <c r="C3865" s="34"/>
      <c r="D3865" s="34">
        <v>179.27</v>
      </c>
    </row>
    <row r="3866" spans="1:4" hidden="1" x14ac:dyDescent="0.25">
      <c r="A3866" s="4">
        <v>44280</v>
      </c>
      <c r="B3866" s="4" t="s">
        <v>1058</v>
      </c>
      <c r="C3866" s="34"/>
      <c r="D3866" s="34">
        <v>154.44</v>
      </c>
    </row>
    <row r="3867" spans="1:4" hidden="1" x14ac:dyDescent="0.25">
      <c r="A3867" s="4">
        <v>44281</v>
      </c>
      <c r="B3867" s="4" t="s">
        <v>883</v>
      </c>
      <c r="C3867" s="34"/>
      <c r="D3867" s="34">
        <v>362.5</v>
      </c>
    </row>
    <row r="3868" spans="1:4" hidden="1" x14ac:dyDescent="0.25">
      <c r="A3868" s="4">
        <v>44281</v>
      </c>
      <c r="B3868" s="4" t="s">
        <v>1059</v>
      </c>
      <c r="C3868" s="34"/>
      <c r="D3868" s="34">
        <v>278.52</v>
      </c>
    </row>
    <row r="3869" spans="1:4" hidden="1" x14ac:dyDescent="0.25">
      <c r="A3869" s="4">
        <v>44285</v>
      </c>
      <c r="B3869" s="4" t="s">
        <v>1061</v>
      </c>
      <c r="C3869" s="34"/>
      <c r="D3869" s="34">
        <v>543</v>
      </c>
    </row>
    <row r="3870" spans="1:4" hidden="1" x14ac:dyDescent="0.25">
      <c r="A3870" s="4">
        <v>44286</v>
      </c>
      <c r="B3870" s="4" t="s">
        <v>1062</v>
      </c>
      <c r="C3870" s="34"/>
      <c r="D3870" s="34">
        <v>720</v>
      </c>
    </row>
    <row r="3871" spans="1:4" hidden="1" x14ac:dyDescent="0.25">
      <c r="A3871" s="4">
        <v>44286</v>
      </c>
      <c r="B3871" s="4" t="s">
        <v>1063</v>
      </c>
      <c r="C3871" s="34"/>
      <c r="D3871" s="34">
        <v>742.72</v>
      </c>
    </row>
    <row r="3872" spans="1:4" hidden="1" x14ac:dyDescent="0.25">
      <c r="A3872" s="4">
        <v>44295</v>
      </c>
      <c r="B3872" s="4" t="s">
        <v>795</v>
      </c>
      <c r="C3872" s="34"/>
      <c r="D3872" s="34">
        <v>15.22</v>
      </c>
    </row>
    <row r="3873" spans="1:4" hidden="1" x14ac:dyDescent="0.25">
      <c r="A3873" s="4">
        <v>44306</v>
      </c>
      <c r="B3873" s="4" t="s">
        <v>1067</v>
      </c>
      <c r="C3873" s="34"/>
      <c r="D3873" s="34">
        <v>132.47</v>
      </c>
    </row>
    <row r="3874" spans="1:4" hidden="1" x14ac:dyDescent="0.25">
      <c r="A3874" s="4">
        <v>44306</v>
      </c>
      <c r="B3874" s="4" t="s">
        <v>782</v>
      </c>
      <c r="C3874" s="34"/>
      <c r="D3874" s="34">
        <v>109.43</v>
      </c>
    </row>
    <row r="3875" spans="1:4" hidden="1" x14ac:dyDescent="0.25">
      <c r="A3875" s="4">
        <v>44344</v>
      </c>
      <c r="B3875" s="4" t="s">
        <v>895</v>
      </c>
      <c r="C3875" s="34"/>
      <c r="D3875" s="34">
        <v>64.73</v>
      </c>
    </row>
    <row r="3876" spans="1:4" hidden="1" x14ac:dyDescent="0.25">
      <c r="A3876" s="4">
        <v>44358</v>
      </c>
      <c r="B3876" s="4" t="s">
        <v>1056</v>
      </c>
      <c r="C3876" s="34"/>
      <c r="D3876" s="34">
        <v>10.95</v>
      </c>
    </row>
    <row r="3877" spans="1:4" hidden="1" x14ac:dyDescent="0.25">
      <c r="A3877" s="4">
        <v>44377</v>
      </c>
      <c r="B3877" s="4" t="s">
        <v>250</v>
      </c>
      <c r="C3877" s="34"/>
      <c r="D3877" s="34">
        <v>22410.34</v>
      </c>
    </row>
    <row r="3878" spans="1:4" hidden="1" x14ac:dyDescent="0.25">
      <c r="A3878" s="4">
        <v>44377</v>
      </c>
      <c r="B3878" s="4" t="s">
        <v>75</v>
      </c>
      <c r="C3878" s="34"/>
      <c r="D3878" s="34">
        <f>77200.74-8125.47+0.01</f>
        <v>69075.28</v>
      </c>
    </row>
    <row r="3879" spans="1:4" hidden="1" x14ac:dyDescent="0.25">
      <c r="A3879" s="4"/>
      <c r="B3879" s="4"/>
      <c r="C3879" s="34"/>
      <c r="D3879" s="34"/>
    </row>
    <row r="3880" spans="1:4" hidden="1" x14ac:dyDescent="0.25">
      <c r="A3880" s="4">
        <v>44377</v>
      </c>
      <c r="B3880" t="s">
        <v>14</v>
      </c>
      <c r="C3880" s="36">
        <f>SUM(C3815:C3879)</f>
        <v>0</v>
      </c>
      <c r="D3880" s="36">
        <f>SUM(D3815:D3879)</f>
        <v>114140.32</v>
      </c>
    </row>
    <row r="3881" spans="1:4" hidden="1" x14ac:dyDescent="0.25">
      <c r="A3881" s="4"/>
      <c r="B3881" s="4" t="s">
        <v>15</v>
      </c>
      <c r="C3881" s="34" t="str">
        <f>IF(C3880&gt;D3880,C3880-D3880," ")</f>
        <v xml:space="preserve"> </v>
      </c>
      <c r="D3881" s="34">
        <f>IF(D3880&gt;C3880,D3880-C3880," ")</f>
        <v>114140.32</v>
      </c>
    </row>
    <row r="3882" spans="1:4" x14ac:dyDescent="0.25">
      <c r="A3882" s="4">
        <v>44378</v>
      </c>
      <c r="B3882" s="4" t="s">
        <v>1163</v>
      </c>
      <c r="C3882" s="34"/>
      <c r="D3882" s="34">
        <v>501.5</v>
      </c>
    </row>
    <row r="3883" spans="1:4" x14ac:dyDescent="0.25">
      <c r="A3883" s="4">
        <v>44391</v>
      </c>
      <c r="B3883" s="4" t="s">
        <v>795</v>
      </c>
      <c r="C3883" s="34"/>
      <c r="D3883" s="34">
        <v>38.659999999999997</v>
      </c>
    </row>
    <row r="3884" spans="1:4" x14ac:dyDescent="0.25">
      <c r="A3884" s="4">
        <v>44391</v>
      </c>
      <c r="B3884" s="4" t="s">
        <v>1167</v>
      </c>
      <c r="C3884" s="34"/>
      <c r="D3884" s="34">
        <v>3165.1</v>
      </c>
    </row>
    <row r="3885" spans="1:4" x14ac:dyDescent="0.25">
      <c r="A3885" s="4">
        <v>44392</v>
      </c>
      <c r="B3885" s="4" t="s">
        <v>1168</v>
      </c>
      <c r="C3885" s="34"/>
      <c r="D3885" s="34">
        <v>10583.91</v>
      </c>
    </row>
    <row r="3886" spans="1:4" x14ac:dyDescent="0.25">
      <c r="A3886" s="4">
        <v>44393</v>
      </c>
      <c r="B3886" s="4" t="s">
        <v>1169</v>
      </c>
      <c r="C3886" s="34"/>
      <c r="D3886" s="34">
        <v>688.41</v>
      </c>
    </row>
    <row r="3887" spans="1:4" x14ac:dyDescent="0.25">
      <c r="A3887" s="4">
        <v>44393</v>
      </c>
      <c r="B3887" s="4" t="s">
        <v>782</v>
      </c>
      <c r="C3887" s="34"/>
      <c r="D3887" s="34">
        <v>1019.43</v>
      </c>
    </row>
    <row r="3888" spans="1:4" x14ac:dyDescent="0.25">
      <c r="A3888" s="4">
        <v>44397</v>
      </c>
      <c r="B3888" s="4" t="s">
        <v>828</v>
      </c>
      <c r="C3888" s="34"/>
      <c r="D3888" s="34">
        <v>4843.3999999999996</v>
      </c>
    </row>
    <row r="3889" spans="1:4" x14ac:dyDescent="0.25">
      <c r="A3889" s="4">
        <v>44398</v>
      </c>
      <c r="B3889" s="4" t="s">
        <v>1170</v>
      </c>
      <c r="C3889" s="34"/>
      <c r="D3889" s="34">
        <v>219.09</v>
      </c>
    </row>
    <row r="3890" spans="1:4" x14ac:dyDescent="0.25">
      <c r="A3890" s="4">
        <v>44398</v>
      </c>
      <c r="B3890" s="4" t="s">
        <v>1042</v>
      </c>
      <c r="C3890" s="34"/>
      <c r="D3890" s="34">
        <v>450</v>
      </c>
    </row>
    <row r="3891" spans="1:4" x14ac:dyDescent="0.25">
      <c r="A3891" s="4">
        <v>44405</v>
      </c>
      <c r="B3891" s="4" t="s">
        <v>1172</v>
      </c>
      <c r="C3891" s="34"/>
      <c r="D3891" s="34">
        <v>10581.23</v>
      </c>
    </row>
    <row r="3892" spans="1:4" x14ac:dyDescent="0.25">
      <c r="A3892" s="4">
        <v>44406</v>
      </c>
      <c r="B3892" s="4" t="s">
        <v>827</v>
      </c>
      <c r="C3892" s="34"/>
      <c r="D3892" s="34">
        <v>815.51</v>
      </c>
    </row>
    <row r="3893" spans="1:4" x14ac:dyDescent="0.25">
      <c r="A3893" s="4">
        <v>44431</v>
      </c>
      <c r="B3893" s="4" t="s">
        <v>1173</v>
      </c>
      <c r="C3893" s="34"/>
      <c r="D3893" s="34">
        <v>505.68</v>
      </c>
    </row>
    <row r="3894" spans="1:4" x14ac:dyDescent="0.25">
      <c r="A3894" s="4">
        <v>44435</v>
      </c>
      <c r="B3894" s="4" t="s">
        <v>1174</v>
      </c>
      <c r="C3894" s="34"/>
      <c r="D3894" s="34">
        <v>373.75</v>
      </c>
    </row>
    <row r="3895" spans="1:4" x14ac:dyDescent="0.25">
      <c r="A3895" s="4">
        <v>44461</v>
      </c>
      <c r="B3895" s="4" t="s">
        <v>1175</v>
      </c>
      <c r="C3895" s="34"/>
      <c r="D3895" s="34">
        <v>979.2</v>
      </c>
    </row>
    <row r="3896" spans="1:4" x14ac:dyDescent="0.25">
      <c r="A3896" s="4">
        <v>44462</v>
      </c>
      <c r="B3896" s="4" t="s">
        <v>787</v>
      </c>
      <c r="C3896" s="34"/>
      <c r="D3896" s="34">
        <v>1312.15</v>
      </c>
    </row>
    <row r="3897" spans="1:4" x14ac:dyDescent="0.25">
      <c r="A3897" s="4">
        <v>44463</v>
      </c>
      <c r="B3897" s="4" t="s">
        <v>1176</v>
      </c>
      <c r="C3897" s="34"/>
      <c r="D3897" s="34">
        <v>604.02</v>
      </c>
    </row>
    <row r="3898" spans="1:4" x14ac:dyDescent="0.25">
      <c r="A3898" s="4">
        <v>44467</v>
      </c>
      <c r="B3898" s="4" t="s">
        <v>1177</v>
      </c>
      <c r="C3898" s="34"/>
      <c r="D3898" s="34">
        <v>236.32</v>
      </c>
    </row>
    <row r="3899" spans="1:4" x14ac:dyDescent="0.25">
      <c r="A3899" s="4">
        <v>44468</v>
      </c>
      <c r="B3899" s="4" t="s">
        <v>1178</v>
      </c>
      <c r="C3899" s="34"/>
      <c r="D3899" s="34">
        <v>724</v>
      </c>
    </row>
    <row r="3900" spans="1:4" x14ac:dyDescent="0.25">
      <c r="A3900" s="4">
        <v>44469</v>
      </c>
      <c r="B3900" s="4" t="s">
        <v>1180</v>
      </c>
      <c r="C3900" s="34"/>
      <c r="D3900" s="34">
        <v>441.56</v>
      </c>
    </row>
    <row r="3901" spans="1:4" x14ac:dyDescent="0.25">
      <c r="A3901" s="4">
        <v>44470</v>
      </c>
      <c r="B3901" s="4" t="s">
        <v>883</v>
      </c>
      <c r="C3901" s="34"/>
      <c r="D3901" s="34">
        <v>217.5</v>
      </c>
    </row>
    <row r="3902" spans="1:4" x14ac:dyDescent="0.25">
      <c r="A3902" s="4">
        <v>44476</v>
      </c>
      <c r="B3902" s="4" t="s">
        <v>1181</v>
      </c>
      <c r="C3902" s="34"/>
      <c r="D3902" s="34">
        <v>759.6</v>
      </c>
    </row>
    <row r="3903" spans="1:4" x14ac:dyDescent="0.25">
      <c r="A3903" s="4">
        <v>44477</v>
      </c>
      <c r="B3903" s="4" t="s">
        <v>795</v>
      </c>
      <c r="C3903" s="34"/>
      <c r="D3903" s="34">
        <v>57.75</v>
      </c>
    </row>
    <row r="3904" spans="1:4" x14ac:dyDescent="0.25">
      <c r="A3904" s="4">
        <v>44487</v>
      </c>
      <c r="B3904" s="4" t="s">
        <v>1182</v>
      </c>
      <c r="C3904" s="34"/>
      <c r="D3904" s="34">
        <v>148.5</v>
      </c>
    </row>
    <row r="3905" spans="1:4" x14ac:dyDescent="0.25">
      <c r="A3905" s="4">
        <v>44487</v>
      </c>
      <c r="B3905" s="4" t="s">
        <v>782</v>
      </c>
      <c r="C3905" s="34"/>
      <c r="D3905" s="34">
        <v>129.24</v>
      </c>
    </row>
    <row r="3906" spans="1:4" x14ac:dyDescent="0.25">
      <c r="A3906" s="4">
        <v>44530</v>
      </c>
      <c r="B3906" s="4" t="s">
        <v>1186</v>
      </c>
      <c r="C3906" s="34"/>
      <c r="D3906" s="34">
        <v>130.88999999999999</v>
      </c>
    </row>
    <row r="3907" spans="1:4" x14ac:dyDescent="0.25">
      <c r="A3907" s="4">
        <v>44532</v>
      </c>
      <c r="B3907" s="4" t="s">
        <v>1190</v>
      </c>
      <c r="C3907" s="34"/>
      <c r="D3907" s="34">
        <v>1688</v>
      </c>
    </row>
    <row r="3908" spans="1:4" x14ac:dyDescent="0.25">
      <c r="A3908" s="4">
        <v>44546</v>
      </c>
      <c r="B3908" s="4" t="s">
        <v>1193</v>
      </c>
      <c r="C3908" s="34"/>
      <c r="D3908" s="34">
        <v>720</v>
      </c>
    </row>
    <row r="3909" spans="1:4" x14ac:dyDescent="0.25">
      <c r="A3909" s="4">
        <v>44575</v>
      </c>
      <c r="B3909" s="4" t="s">
        <v>795</v>
      </c>
      <c r="C3909" s="34"/>
      <c r="D3909" s="34">
        <v>14.93</v>
      </c>
    </row>
    <row r="3910" spans="1:4" x14ac:dyDescent="0.25">
      <c r="A3910" s="4">
        <v>44580</v>
      </c>
      <c r="B3910" s="4" t="s">
        <v>1194</v>
      </c>
      <c r="C3910" s="34"/>
      <c r="D3910" s="34">
        <v>639.99</v>
      </c>
    </row>
    <row r="3911" spans="1:4" x14ac:dyDescent="0.25">
      <c r="A3911" s="4">
        <v>44580</v>
      </c>
      <c r="B3911" s="4" t="s">
        <v>1195</v>
      </c>
      <c r="C3911" s="34"/>
      <c r="D3911" s="34">
        <v>133.88999999999999</v>
      </c>
    </row>
    <row r="3912" spans="1:4" x14ac:dyDescent="0.25">
      <c r="A3912" s="4">
        <v>44580</v>
      </c>
      <c r="B3912" s="4" t="s">
        <v>1056</v>
      </c>
      <c r="C3912" s="34"/>
      <c r="D3912" s="34">
        <v>10.92</v>
      </c>
    </row>
    <row r="3913" spans="1:4" x14ac:dyDescent="0.25">
      <c r="A3913" s="4">
        <v>44581</v>
      </c>
      <c r="B3913" s="4" t="s">
        <v>1056</v>
      </c>
      <c r="C3913" s="34"/>
      <c r="D3913" s="34">
        <v>10.96</v>
      </c>
    </row>
    <row r="3914" spans="1:4" x14ac:dyDescent="0.25">
      <c r="A3914" s="4">
        <v>44586</v>
      </c>
      <c r="B3914" s="4" t="s">
        <v>782</v>
      </c>
      <c r="C3914" s="34"/>
      <c r="D3914" s="34">
        <v>137.71</v>
      </c>
    </row>
    <row r="3915" spans="1:4" x14ac:dyDescent="0.25">
      <c r="A3915" s="4">
        <v>44592</v>
      </c>
      <c r="B3915" s="4" t="s">
        <v>827</v>
      </c>
      <c r="C3915" s="34"/>
      <c r="D3915" s="34">
        <v>815.51</v>
      </c>
    </row>
    <row r="3916" spans="1:4" x14ac:dyDescent="0.25">
      <c r="A3916" s="4">
        <v>44614</v>
      </c>
      <c r="B3916" s="4" t="s">
        <v>1199</v>
      </c>
      <c r="C3916" s="34"/>
      <c r="D3916" s="34">
        <v>392.1</v>
      </c>
    </row>
    <row r="3917" spans="1:4" x14ac:dyDescent="0.25">
      <c r="A3917" s="4">
        <v>44620</v>
      </c>
      <c r="B3917" s="4" t="s">
        <v>1056</v>
      </c>
      <c r="C3917" s="34"/>
      <c r="D3917" s="34">
        <v>11.02</v>
      </c>
    </row>
    <row r="3918" spans="1:4" x14ac:dyDescent="0.25">
      <c r="A3918" s="4">
        <v>44628</v>
      </c>
      <c r="B3918" s="4" t="s">
        <v>787</v>
      </c>
      <c r="C3918" s="34"/>
      <c r="D3918" s="34">
        <v>1266.1500000000001</v>
      </c>
    </row>
    <row r="3919" spans="1:4" x14ac:dyDescent="0.25">
      <c r="A3919" s="4">
        <v>44643</v>
      </c>
      <c r="B3919" s="4" t="s">
        <v>1202</v>
      </c>
      <c r="C3919" s="34"/>
      <c r="D3919" s="34">
        <v>2151.4499999999998</v>
      </c>
    </row>
    <row r="3920" spans="1:4" x14ac:dyDescent="0.25">
      <c r="A3920" s="4">
        <v>44645</v>
      </c>
      <c r="B3920" s="4" t="s">
        <v>883</v>
      </c>
      <c r="C3920" s="34"/>
      <c r="D3920" s="34">
        <v>362.5</v>
      </c>
    </row>
    <row r="3921" spans="1:4" x14ac:dyDescent="0.25">
      <c r="A3921" s="4">
        <v>44650</v>
      </c>
      <c r="B3921" s="4" t="s">
        <v>1204</v>
      </c>
      <c r="C3921" s="34"/>
      <c r="D3921" s="34">
        <v>714</v>
      </c>
    </row>
    <row r="3922" spans="1:4" x14ac:dyDescent="0.25">
      <c r="A3922" s="4">
        <v>44650</v>
      </c>
      <c r="B3922" s="4" t="s">
        <v>1205</v>
      </c>
      <c r="C3922" s="34"/>
      <c r="D3922" s="34">
        <v>675.2</v>
      </c>
    </row>
    <row r="3923" spans="1:4" x14ac:dyDescent="0.25">
      <c r="A3923" s="4">
        <v>44650</v>
      </c>
      <c r="B3923" s="4" t="s">
        <v>1206</v>
      </c>
      <c r="C3923" s="34"/>
      <c r="D3923" s="34">
        <v>633.5</v>
      </c>
    </row>
    <row r="3924" spans="1:4" x14ac:dyDescent="0.25">
      <c r="A3924" s="4">
        <v>44651</v>
      </c>
      <c r="B3924" s="4" t="s">
        <v>1207</v>
      </c>
      <c r="C3924" s="34"/>
      <c r="D3924" s="34">
        <v>83.54</v>
      </c>
    </row>
    <row r="3925" spans="1:4" x14ac:dyDescent="0.25">
      <c r="A3925" s="4">
        <v>44651</v>
      </c>
      <c r="B3925" s="4" t="s">
        <v>1208</v>
      </c>
      <c r="C3925" s="34"/>
      <c r="D3925" s="34">
        <v>278.52</v>
      </c>
    </row>
    <row r="3926" spans="1:4" x14ac:dyDescent="0.25">
      <c r="A3926" s="4">
        <v>44671</v>
      </c>
      <c r="B3926" s="4" t="s">
        <v>1209</v>
      </c>
      <c r="C3926" s="34"/>
      <c r="D3926" s="34">
        <v>260.39999999999998</v>
      </c>
    </row>
    <row r="3927" spans="1:4" x14ac:dyDescent="0.25">
      <c r="A3927" s="4">
        <v>44673</v>
      </c>
      <c r="B3927" s="4" t="s">
        <v>782</v>
      </c>
      <c r="C3927" s="34"/>
      <c r="D3927" s="34">
        <v>165.63</v>
      </c>
    </row>
    <row r="3928" spans="1:4" x14ac:dyDescent="0.25">
      <c r="A3928" s="4">
        <v>44712</v>
      </c>
      <c r="B3928" s="4" t="s">
        <v>1056</v>
      </c>
      <c r="C3928" s="34"/>
      <c r="D3928" s="34">
        <v>9.9600000000000009</v>
      </c>
    </row>
    <row r="3929" spans="1:4" x14ac:dyDescent="0.25">
      <c r="A3929" s="4">
        <v>44712</v>
      </c>
      <c r="B3929" s="4" t="s">
        <v>1186</v>
      </c>
      <c r="C3929" s="34"/>
      <c r="D3929" s="34">
        <v>162.74</v>
      </c>
    </row>
    <row r="3930" spans="1:4" x14ac:dyDescent="0.25">
      <c r="A3930" s="4">
        <v>44735</v>
      </c>
      <c r="B3930" s="4" t="s">
        <v>1221</v>
      </c>
      <c r="C3930" s="34"/>
      <c r="D3930" s="34">
        <v>500</v>
      </c>
    </row>
    <row r="3931" spans="1:4" x14ac:dyDescent="0.25">
      <c r="A3931" s="4">
        <v>44742</v>
      </c>
      <c r="B3931" s="4" t="s">
        <v>716</v>
      </c>
      <c r="C3931" s="34"/>
      <c r="D3931" s="34">
        <v>13.26</v>
      </c>
    </row>
    <row r="3932" spans="1:4" x14ac:dyDescent="0.25">
      <c r="A3932" s="4">
        <v>44742</v>
      </c>
      <c r="B3932" s="4" t="s">
        <v>250</v>
      </c>
      <c r="C3932" s="34"/>
      <c r="D3932" s="34">
        <f>C2178</f>
        <v>22397.960000000003</v>
      </c>
    </row>
    <row r="3933" spans="1:4" x14ac:dyDescent="0.25">
      <c r="A3933" s="4">
        <v>44742</v>
      </c>
      <c r="B3933" s="4" t="s">
        <v>75</v>
      </c>
      <c r="C3933" s="34">
        <f>D2179</f>
        <v>168050.46163804887</v>
      </c>
      <c r="D3933" s="34"/>
    </row>
    <row r="3934" spans="1:4" x14ac:dyDescent="0.25">
      <c r="A3934" s="4"/>
      <c r="B3934" s="4"/>
      <c r="C3934" s="34"/>
      <c r="D3934" s="34"/>
    </row>
    <row r="3935" spans="1:4" x14ac:dyDescent="0.25">
      <c r="A3935" s="4">
        <v>44742</v>
      </c>
      <c r="B3935" t="s">
        <v>14</v>
      </c>
      <c r="C3935" s="36">
        <f>SUM(C3882:C3934)</f>
        <v>168050.46163804887</v>
      </c>
      <c r="D3935" s="36">
        <f>SUM(D3882:D3934)</f>
        <v>73776.239999999976</v>
      </c>
    </row>
    <row r="3936" spans="1:4" x14ac:dyDescent="0.25">
      <c r="A3936" s="4"/>
      <c r="B3936" s="4" t="s">
        <v>15</v>
      </c>
      <c r="C3936" s="34">
        <f>IF(C3935&gt;D3935,C3935-D3935," ")</f>
        <v>94274.221638048897</v>
      </c>
      <c r="D3936" s="34" t="str">
        <f>IF(D3935&gt;C3935,D3935-C3935," ")</f>
        <v xml:space="preserve"> </v>
      </c>
    </row>
    <row r="3937" spans="1:4" s="23" customFormat="1" ht="14.25" x14ac:dyDescent="0.2">
      <c r="A3937" s="31"/>
      <c r="C3937" s="38"/>
      <c r="D3937" s="38"/>
    </row>
    <row r="3938" spans="1:4" x14ac:dyDescent="0.25">
      <c r="A3938" s="30" t="s">
        <v>104</v>
      </c>
      <c r="C3938" s="34"/>
      <c r="D3938" s="34"/>
    </row>
    <row r="3939" spans="1:4" x14ac:dyDescent="0.25">
      <c r="A3939" s="30" t="s">
        <v>2</v>
      </c>
      <c r="B3939" s="1" t="s">
        <v>3</v>
      </c>
      <c r="C3939" s="35" t="s">
        <v>4</v>
      </c>
      <c r="D3939" s="35" t="s">
        <v>5</v>
      </c>
    </row>
    <row r="3940" spans="1:4" hidden="1" x14ac:dyDescent="0.25">
      <c r="A3940" s="4">
        <v>35947</v>
      </c>
      <c r="B3940" t="s">
        <v>10</v>
      </c>
      <c r="C3940" s="34">
        <v>24.65</v>
      </c>
      <c r="D3940" s="34"/>
    </row>
    <row r="3941" spans="1:4" hidden="1" x14ac:dyDescent="0.25">
      <c r="A3941" s="4">
        <v>35947</v>
      </c>
      <c r="B3941" t="s">
        <v>10</v>
      </c>
      <c r="C3941" s="34">
        <v>0.54</v>
      </c>
      <c r="D3941" s="34"/>
    </row>
    <row r="3942" spans="1:4" hidden="1" x14ac:dyDescent="0.25">
      <c r="A3942" s="4">
        <v>35947</v>
      </c>
      <c r="B3942" t="s">
        <v>11</v>
      </c>
      <c r="C3942" s="34">
        <v>34.450000000000003</v>
      </c>
      <c r="D3942" s="34"/>
    </row>
    <row r="3943" spans="1:4" hidden="1" x14ac:dyDescent="0.25">
      <c r="A3943" s="4">
        <v>35976</v>
      </c>
      <c r="B3943" t="s">
        <v>90</v>
      </c>
      <c r="C3943" s="34">
        <v>1236.4000000000001</v>
      </c>
      <c r="D3943" s="34"/>
    </row>
    <row r="3944" spans="1:4" hidden="1" x14ac:dyDescent="0.25">
      <c r="A3944" s="4">
        <v>35976</v>
      </c>
      <c r="B3944" t="s">
        <v>14</v>
      </c>
      <c r="C3944" s="36">
        <f>SUM(C3940:C3943)</f>
        <v>1296.0400000000002</v>
      </c>
      <c r="D3944" s="36">
        <f>SUM(D3940:D3943)</f>
        <v>0</v>
      </c>
    </row>
    <row r="3945" spans="1:4" hidden="1" x14ac:dyDescent="0.25">
      <c r="A3945" s="4"/>
      <c r="B3945" s="4" t="s">
        <v>15</v>
      </c>
      <c r="C3945" s="34">
        <f>IF(C3944&gt;D3944,C3944-D3944," ")</f>
        <v>1296.0400000000002</v>
      </c>
      <c r="D3945" s="34" t="str">
        <f>IF(D3944&gt;C3944,D3944-C3944," ")</f>
        <v xml:space="preserve"> </v>
      </c>
    </row>
    <row r="3946" spans="1:4" hidden="1" x14ac:dyDescent="0.25">
      <c r="A3946" s="4">
        <v>35977</v>
      </c>
      <c r="B3946" t="s">
        <v>10</v>
      </c>
      <c r="C3946" s="34">
        <v>1.18</v>
      </c>
      <c r="D3946" s="34"/>
    </row>
    <row r="3947" spans="1:4" hidden="1" x14ac:dyDescent="0.25">
      <c r="A3947" s="4">
        <v>36008</v>
      </c>
      <c r="B3947" t="s">
        <v>10</v>
      </c>
      <c r="C3947" s="34">
        <v>4.91</v>
      </c>
      <c r="D3947" s="34"/>
    </row>
    <row r="3948" spans="1:4" hidden="1" x14ac:dyDescent="0.25">
      <c r="A3948" s="4">
        <v>36034</v>
      </c>
      <c r="B3948" t="s">
        <v>62</v>
      </c>
      <c r="C3948" s="34">
        <v>600</v>
      </c>
      <c r="D3948" s="34"/>
    </row>
    <row r="3949" spans="1:4" hidden="1" x14ac:dyDescent="0.25">
      <c r="A3949" s="4">
        <v>36039</v>
      </c>
      <c r="B3949" t="s">
        <v>10</v>
      </c>
      <c r="C3949" s="34">
        <v>0.1</v>
      </c>
      <c r="D3949" s="34"/>
    </row>
    <row r="3950" spans="1:4" hidden="1" x14ac:dyDescent="0.25">
      <c r="A3950" s="4">
        <v>36069</v>
      </c>
      <c r="B3950" t="s">
        <v>10</v>
      </c>
      <c r="C3950" s="34">
        <v>2.71</v>
      </c>
      <c r="D3950" s="34"/>
    </row>
    <row r="3951" spans="1:4" hidden="1" x14ac:dyDescent="0.25">
      <c r="A3951" s="4">
        <v>36100</v>
      </c>
      <c r="B3951" t="s">
        <v>10</v>
      </c>
      <c r="C3951" s="34">
        <v>1.1100000000000001</v>
      </c>
      <c r="D3951" s="34"/>
    </row>
    <row r="3952" spans="1:4" hidden="1" x14ac:dyDescent="0.25">
      <c r="A3952" s="4">
        <v>36130</v>
      </c>
      <c r="B3952" t="s">
        <v>10</v>
      </c>
      <c r="C3952" s="34">
        <v>0.08</v>
      </c>
      <c r="D3952" s="34"/>
    </row>
    <row r="3953" spans="1:4" hidden="1" x14ac:dyDescent="0.25">
      <c r="A3953" s="4">
        <v>36161</v>
      </c>
      <c r="B3953" t="s">
        <v>10</v>
      </c>
      <c r="C3953" s="34">
        <v>2.12</v>
      </c>
      <c r="D3953" s="34"/>
    </row>
    <row r="3954" spans="1:4" hidden="1" x14ac:dyDescent="0.25">
      <c r="A3954" s="4">
        <v>36192</v>
      </c>
      <c r="B3954" t="s">
        <v>10</v>
      </c>
      <c r="C3954" s="34">
        <v>0.59</v>
      </c>
      <c r="D3954" s="34"/>
    </row>
    <row r="3955" spans="1:4" hidden="1" x14ac:dyDescent="0.25">
      <c r="A3955" s="4">
        <v>36220</v>
      </c>
      <c r="B3955" t="s">
        <v>10</v>
      </c>
      <c r="C3955" s="34">
        <v>0.84</v>
      </c>
      <c r="D3955" s="34"/>
    </row>
    <row r="3956" spans="1:4" hidden="1" x14ac:dyDescent="0.25">
      <c r="A3956" s="4">
        <v>36251</v>
      </c>
      <c r="B3956" t="s">
        <v>10</v>
      </c>
      <c r="C3956" s="34">
        <v>2.11</v>
      </c>
      <c r="D3956" s="34"/>
    </row>
    <row r="3957" spans="1:4" hidden="1" x14ac:dyDescent="0.25">
      <c r="A3957" s="4">
        <v>36281</v>
      </c>
      <c r="B3957" t="s">
        <v>10</v>
      </c>
      <c r="C3957" s="34">
        <v>2.08</v>
      </c>
      <c r="D3957" s="34"/>
    </row>
    <row r="3958" spans="1:4" hidden="1" x14ac:dyDescent="0.25">
      <c r="A3958" s="4">
        <v>36281</v>
      </c>
      <c r="B3958" t="s">
        <v>10</v>
      </c>
      <c r="C3958" s="34">
        <v>0.12</v>
      </c>
      <c r="D3958" s="34"/>
    </row>
    <row r="3959" spans="1:4" hidden="1" x14ac:dyDescent="0.25">
      <c r="A3959" s="4">
        <v>36308</v>
      </c>
      <c r="B3959" t="s">
        <v>10</v>
      </c>
      <c r="C3959" s="34">
        <v>0.04</v>
      </c>
      <c r="D3959" s="34"/>
    </row>
    <row r="3960" spans="1:4" hidden="1" x14ac:dyDescent="0.25">
      <c r="A3960" s="4">
        <v>36312</v>
      </c>
      <c r="B3960" t="s">
        <v>33</v>
      </c>
      <c r="C3960" s="34">
        <v>1195.47</v>
      </c>
      <c r="D3960" s="34"/>
    </row>
    <row r="3961" spans="1:4" hidden="1" x14ac:dyDescent="0.25">
      <c r="A3961" s="4">
        <v>36340</v>
      </c>
      <c r="B3961" t="s">
        <v>10</v>
      </c>
      <c r="C3961" s="34">
        <v>0.01</v>
      </c>
      <c r="D3961" s="34"/>
    </row>
    <row r="3962" spans="1:4" hidden="1" x14ac:dyDescent="0.25">
      <c r="A3962" s="4">
        <v>36341</v>
      </c>
      <c r="B3962" t="s">
        <v>105</v>
      </c>
      <c r="C3962" s="34">
        <v>200</v>
      </c>
      <c r="D3962" s="34"/>
    </row>
    <row r="3963" spans="1:4" hidden="1" x14ac:dyDescent="0.25">
      <c r="A3963" s="4">
        <v>36341</v>
      </c>
      <c r="B3963" t="s">
        <v>14</v>
      </c>
      <c r="C3963" s="36">
        <f>SUM(C3946:C3962)</f>
        <v>2013.4700000000003</v>
      </c>
      <c r="D3963" s="36">
        <f>SUM(D3946:D3962)</f>
        <v>0</v>
      </c>
    </row>
    <row r="3964" spans="1:4" hidden="1" x14ac:dyDescent="0.25">
      <c r="A3964" s="4"/>
      <c r="B3964" s="4" t="s">
        <v>15</v>
      </c>
      <c r="C3964" s="34">
        <f>IF(C3963&gt;D3963,C3963-D3963," ")</f>
        <v>2013.4700000000003</v>
      </c>
      <c r="D3964" s="34" t="str">
        <f>IF(D3963&gt;C3963,D3963-C3963," ")</f>
        <v xml:space="preserve"> </v>
      </c>
    </row>
    <row r="3965" spans="1:4" hidden="1" x14ac:dyDescent="0.25">
      <c r="A3965" s="4">
        <v>36350</v>
      </c>
      <c r="B3965" t="s">
        <v>10</v>
      </c>
      <c r="C3965" s="34">
        <v>0.01</v>
      </c>
      <c r="D3965" s="34"/>
    </row>
    <row r="3966" spans="1:4" hidden="1" x14ac:dyDescent="0.25">
      <c r="A3966" s="4">
        <v>36382</v>
      </c>
      <c r="B3966" t="s">
        <v>10</v>
      </c>
      <c r="C3966" s="34">
        <v>0.01</v>
      </c>
      <c r="D3966" s="34"/>
    </row>
    <row r="3967" spans="1:4" hidden="1" x14ac:dyDescent="0.25">
      <c r="A3967" s="4">
        <v>36342</v>
      </c>
      <c r="B3967" t="s">
        <v>10</v>
      </c>
      <c r="C3967" s="34">
        <v>0.06</v>
      </c>
      <c r="D3967" s="34"/>
    </row>
    <row r="3968" spans="1:4" hidden="1" x14ac:dyDescent="0.25">
      <c r="A3968" s="4">
        <v>36399</v>
      </c>
      <c r="B3968" t="s">
        <v>10</v>
      </c>
      <c r="C3968" s="34">
        <v>2.15</v>
      </c>
      <c r="D3968" s="34"/>
    </row>
    <row r="3969" spans="1:4" hidden="1" x14ac:dyDescent="0.25">
      <c r="A3969" s="4">
        <v>36432</v>
      </c>
      <c r="B3969" t="s">
        <v>10</v>
      </c>
      <c r="C3969" s="34">
        <v>1.69</v>
      </c>
      <c r="D3969" s="34"/>
    </row>
    <row r="3970" spans="1:4" hidden="1" x14ac:dyDescent="0.25">
      <c r="A3970" s="4">
        <v>36461</v>
      </c>
      <c r="B3970" t="s">
        <v>10</v>
      </c>
      <c r="C3970" s="34">
        <v>0.13</v>
      </c>
      <c r="D3970" s="34"/>
    </row>
    <row r="3971" spans="1:4" hidden="1" x14ac:dyDescent="0.25">
      <c r="A3971" s="4">
        <v>36526</v>
      </c>
      <c r="B3971" t="s">
        <v>10</v>
      </c>
      <c r="C3971" s="34">
        <v>2.36</v>
      </c>
      <c r="D3971" s="34"/>
    </row>
    <row r="3972" spans="1:4" hidden="1" x14ac:dyDescent="0.25">
      <c r="A3972" s="4">
        <v>36617</v>
      </c>
      <c r="B3972" t="s">
        <v>10</v>
      </c>
      <c r="C3972" s="34">
        <v>2.2400000000000002</v>
      </c>
      <c r="D3972" s="34"/>
    </row>
    <row r="3973" spans="1:4" hidden="1" x14ac:dyDescent="0.25">
      <c r="A3973" s="4">
        <v>36690</v>
      </c>
      <c r="B3973" s="4" t="s">
        <v>43</v>
      </c>
      <c r="C3973" s="34">
        <v>2871.63</v>
      </c>
      <c r="D3973" s="34"/>
    </row>
    <row r="3974" spans="1:4" hidden="1" x14ac:dyDescent="0.25">
      <c r="A3974" s="4"/>
      <c r="C3974" s="34"/>
      <c r="D3974" s="34"/>
    </row>
    <row r="3975" spans="1:4" hidden="1" x14ac:dyDescent="0.25">
      <c r="A3975" s="4">
        <v>36707</v>
      </c>
      <c r="B3975" t="s">
        <v>14</v>
      </c>
      <c r="C3975" s="36">
        <f>SUM(C3965:C3974)</f>
        <v>2880.28</v>
      </c>
      <c r="D3975" s="36">
        <f>SUM(D3965:D3974)</f>
        <v>0</v>
      </c>
    </row>
    <row r="3976" spans="1:4" hidden="1" x14ac:dyDescent="0.25">
      <c r="A3976" s="4"/>
      <c r="B3976" s="4" t="s">
        <v>15</v>
      </c>
      <c r="C3976" s="34">
        <f>IF(C3975&gt;D3975,C3975-D3975," ")</f>
        <v>2880.28</v>
      </c>
      <c r="D3976" s="34" t="str">
        <f>IF(D3975&gt;C3975,D3975-C3975," ")</f>
        <v xml:space="preserve"> </v>
      </c>
    </row>
    <row r="3977" spans="1:4" hidden="1" x14ac:dyDescent="0.25">
      <c r="A3977" s="4">
        <v>36708</v>
      </c>
      <c r="B3977" s="4" t="s">
        <v>86</v>
      </c>
      <c r="C3977" s="34">
        <v>7.25</v>
      </c>
      <c r="D3977" s="34"/>
    </row>
    <row r="3978" spans="1:4" hidden="1" x14ac:dyDescent="0.25">
      <c r="A3978" s="4">
        <v>36708</v>
      </c>
      <c r="B3978" s="4" t="s">
        <v>10</v>
      </c>
      <c r="C3978" s="34">
        <v>2.09</v>
      </c>
      <c r="D3978" s="34"/>
    </row>
    <row r="3979" spans="1:4" hidden="1" x14ac:dyDescent="0.25">
      <c r="A3979" s="4">
        <v>36800</v>
      </c>
      <c r="B3979" s="4" t="s">
        <v>10</v>
      </c>
      <c r="C3979" s="34">
        <v>2.0499999999999998</v>
      </c>
      <c r="D3979" s="34"/>
    </row>
    <row r="3980" spans="1:4" hidden="1" x14ac:dyDescent="0.25">
      <c r="A3980" s="4">
        <v>36892</v>
      </c>
      <c r="B3980" s="4" t="s">
        <v>10</v>
      </c>
      <c r="C3980" s="34">
        <v>2.84</v>
      </c>
      <c r="D3980" s="34"/>
    </row>
    <row r="3981" spans="1:4" hidden="1" x14ac:dyDescent="0.25">
      <c r="A3981" s="4">
        <v>36943</v>
      </c>
      <c r="B3981" s="4" t="s">
        <v>10</v>
      </c>
      <c r="C3981" s="34">
        <v>0.54</v>
      </c>
      <c r="D3981" s="34"/>
    </row>
    <row r="3982" spans="1:4" hidden="1" x14ac:dyDescent="0.25">
      <c r="A3982" s="4">
        <v>36914</v>
      </c>
      <c r="B3982" s="4" t="s">
        <v>54</v>
      </c>
      <c r="C3982" s="34">
        <v>5</v>
      </c>
      <c r="D3982" s="34"/>
    </row>
    <row r="3983" spans="1:4" hidden="1" x14ac:dyDescent="0.25">
      <c r="A3983" s="4">
        <v>36916</v>
      </c>
      <c r="B3983" s="4" t="s">
        <v>10</v>
      </c>
      <c r="C3983" s="34">
        <v>18.760000000000002</v>
      </c>
      <c r="D3983" s="34"/>
    </row>
    <row r="3984" spans="1:4" hidden="1" x14ac:dyDescent="0.25">
      <c r="A3984" s="4">
        <v>36931</v>
      </c>
      <c r="B3984" s="4" t="s">
        <v>55</v>
      </c>
      <c r="C3984" s="34">
        <v>93</v>
      </c>
      <c r="D3984" s="34"/>
    </row>
    <row r="3985" spans="1:4" hidden="1" x14ac:dyDescent="0.25">
      <c r="A3985" s="4">
        <v>36978</v>
      </c>
      <c r="B3985" s="4" t="s">
        <v>58</v>
      </c>
      <c r="C3985" s="34"/>
      <c r="D3985" s="34">
        <v>500.11</v>
      </c>
    </row>
    <row r="3986" spans="1:4" hidden="1" x14ac:dyDescent="0.25">
      <c r="A3986" s="4">
        <v>37008</v>
      </c>
      <c r="B3986" s="4" t="s">
        <v>10</v>
      </c>
      <c r="C3986" s="34">
        <v>0.69</v>
      </c>
      <c r="D3986" s="34"/>
    </row>
    <row r="3987" spans="1:4" hidden="1" x14ac:dyDescent="0.25">
      <c r="A3987" s="4">
        <v>37008</v>
      </c>
      <c r="B3987" s="4" t="s">
        <v>60</v>
      </c>
      <c r="C3987" s="34">
        <v>0.3</v>
      </c>
      <c r="D3987" s="34"/>
    </row>
    <row r="3988" spans="1:4" hidden="1" x14ac:dyDescent="0.25">
      <c r="A3988" s="4">
        <v>37012</v>
      </c>
      <c r="B3988" s="4" t="s">
        <v>62</v>
      </c>
      <c r="C3988" s="34">
        <v>485</v>
      </c>
      <c r="D3988" s="34"/>
    </row>
    <row r="3989" spans="1:4" hidden="1" x14ac:dyDescent="0.25">
      <c r="A3989" s="4">
        <v>37014</v>
      </c>
      <c r="B3989" s="4" t="s">
        <v>63</v>
      </c>
      <c r="C3989" s="34">
        <v>330</v>
      </c>
      <c r="D3989" s="34"/>
    </row>
    <row r="3990" spans="1:4" hidden="1" x14ac:dyDescent="0.25">
      <c r="A3990" s="4">
        <v>37027</v>
      </c>
      <c r="B3990" s="4" t="s">
        <v>63</v>
      </c>
      <c r="C3990" s="34"/>
      <c r="D3990" s="34">
        <v>3</v>
      </c>
    </row>
    <row r="3991" spans="1:4" hidden="1" x14ac:dyDescent="0.25">
      <c r="A3991" s="4">
        <v>37046</v>
      </c>
      <c r="B3991" s="4" t="s">
        <v>65</v>
      </c>
      <c r="C3991" s="34">
        <v>1427.51</v>
      </c>
      <c r="D3991" s="34"/>
    </row>
    <row r="3992" spans="1:4" hidden="1" x14ac:dyDescent="0.25">
      <c r="A3992" s="4">
        <v>37072</v>
      </c>
      <c r="B3992" t="s">
        <v>14</v>
      </c>
      <c r="C3992" s="36">
        <f>SUM(C3977:C3991)</f>
        <v>2375.0299999999997</v>
      </c>
      <c r="D3992" s="36">
        <f>SUM(D3977:D3991)</f>
        <v>503.11</v>
      </c>
    </row>
    <row r="3993" spans="1:4" hidden="1" x14ac:dyDescent="0.25">
      <c r="A3993" s="4"/>
      <c r="B3993" s="4" t="s">
        <v>15</v>
      </c>
      <c r="C3993" s="34">
        <f>IF(C3992&gt;D3992,C3992-D3992," ")</f>
        <v>1871.9199999999996</v>
      </c>
      <c r="D3993" s="34" t="str">
        <f>IF(D3992&gt;C3992,D3992-C3992," ")</f>
        <v xml:space="preserve"> </v>
      </c>
    </row>
    <row r="3994" spans="1:4" hidden="1" x14ac:dyDescent="0.25">
      <c r="A3994" s="24">
        <v>37073</v>
      </c>
      <c r="B3994" s="4" t="s">
        <v>10</v>
      </c>
      <c r="C3994" s="37">
        <v>6.44</v>
      </c>
      <c r="D3994" s="37"/>
    </row>
    <row r="3995" spans="1:4" hidden="1" x14ac:dyDescent="0.25">
      <c r="A3995" s="24">
        <v>37099</v>
      </c>
      <c r="B3995" s="4" t="s">
        <v>60</v>
      </c>
      <c r="C3995" s="37">
        <v>2.9</v>
      </c>
      <c r="D3995" s="37"/>
    </row>
    <row r="3996" spans="1:4" hidden="1" x14ac:dyDescent="0.25">
      <c r="A3996" s="24">
        <v>37190</v>
      </c>
      <c r="B3996" s="24" t="s">
        <v>60</v>
      </c>
      <c r="C3996" s="37">
        <v>4.5</v>
      </c>
      <c r="D3996" s="37"/>
    </row>
    <row r="3997" spans="1:4" hidden="1" x14ac:dyDescent="0.25">
      <c r="A3997" s="24">
        <v>37211</v>
      </c>
      <c r="B3997" s="24" t="s">
        <v>62</v>
      </c>
      <c r="C3997" s="37">
        <v>495</v>
      </c>
      <c r="D3997" s="37"/>
    </row>
    <row r="3998" spans="1:4" hidden="1" x14ac:dyDescent="0.25">
      <c r="A3998" s="24">
        <v>36916</v>
      </c>
      <c r="B3998" s="24" t="s">
        <v>10</v>
      </c>
      <c r="C3998" s="37">
        <v>0.7</v>
      </c>
      <c r="D3998" s="37"/>
    </row>
    <row r="3999" spans="1:4" hidden="1" x14ac:dyDescent="0.25">
      <c r="A3999" s="24">
        <v>36921</v>
      </c>
      <c r="B3999" s="24" t="s">
        <v>171</v>
      </c>
      <c r="C3999" s="37">
        <v>45</v>
      </c>
      <c r="D3999" s="37"/>
    </row>
    <row r="4000" spans="1:4" hidden="1" x14ac:dyDescent="0.25">
      <c r="A4000" s="24">
        <v>37320</v>
      </c>
      <c r="B4000" s="24" t="s">
        <v>173</v>
      </c>
      <c r="C4000" s="37">
        <v>244</v>
      </c>
      <c r="D4000" s="37"/>
    </row>
    <row r="4001" spans="1:4" hidden="1" x14ac:dyDescent="0.25">
      <c r="A4001" s="24">
        <v>37372</v>
      </c>
      <c r="B4001" s="24" t="s">
        <v>173</v>
      </c>
      <c r="C4001" s="37">
        <v>110</v>
      </c>
      <c r="D4001" s="37"/>
    </row>
    <row r="4002" spans="1:4" hidden="1" x14ac:dyDescent="0.25">
      <c r="A4002" s="24">
        <v>37372</v>
      </c>
      <c r="B4002" s="24" t="s">
        <v>10</v>
      </c>
      <c r="C4002" s="37">
        <v>1.7</v>
      </c>
      <c r="D4002" s="37"/>
    </row>
    <row r="4003" spans="1:4" hidden="1" x14ac:dyDescent="0.25">
      <c r="A4003" s="24">
        <v>37411</v>
      </c>
      <c r="B4003" s="24" t="s">
        <v>65</v>
      </c>
      <c r="C4003" s="37">
        <v>1576.53</v>
      </c>
      <c r="D4003" s="37"/>
    </row>
    <row r="4004" spans="1:4" hidden="1" x14ac:dyDescent="0.25">
      <c r="A4004" s="4">
        <v>37437</v>
      </c>
      <c r="B4004" t="s">
        <v>14</v>
      </c>
      <c r="C4004" s="36">
        <f>SUM(C3994:C4003)</f>
        <v>2486.77</v>
      </c>
      <c r="D4004" s="36">
        <f>SUM(D3994:D4003)</f>
        <v>0</v>
      </c>
    </row>
    <row r="4005" spans="1:4" hidden="1" x14ac:dyDescent="0.25">
      <c r="A4005" s="24"/>
      <c r="B4005" s="4" t="s">
        <v>15</v>
      </c>
      <c r="C4005" s="34">
        <f>IF(C4004&gt;D4004,C4004-D4004," ")</f>
        <v>2486.77</v>
      </c>
      <c r="D4005" s="34" t="str">
        <f>IF(D4004&gt;C4004,D4004-C4004," ")</f>
        <v xml:space="preserve"> </v>
      </c>
    </row>
    <row r="4006" spans="1:4" hidden="1" x14ac:dyDescent="0.25">
      <c r="A4006" s="24">
        <v>37463</v>
      </c>
      <c r="B4006" s="4" t="s">
        <v>60</v>
      </c>
      <c r="C4006" s="34">
        <v>3</v>
      </c>
      <c r="D4006" s="34"/>
    </row>
    <row r="4007" spans="1:4" hidden="1" x14ac:dyDescent="0.25">
      <c r="A4007" s="4">
        <v>37629</v>
      </c>
      <c r="B4007" s="4" t="s">
        <v>182</v>
      </c>
      <c r="C4007" s="34">
        <v>200</v>
      </c>
      <c r="D4007" s="34"/>
    </row>
    <row r="4008" spans="1:4" hidden="1" x14ac:dyDescent="0.25">
      <c r="A4008" s="4">
        <v>37645</v>
      </c>
      <c r="B4008" s="4" t="s">
        <v>60</v>
      </c>
      <c r="C4008" s="34">
        <v>0.7</v>
      </c>
      <c r="D4008" s="34"/>
    </row>
    <row r="4009" spans="1:4" hidden="1" x14ac:dyDescent="0.25">
      <c r="A4009" s="4">
        <v>37725</v>
      </c>
      <c r="B4009" s="4" t="s">
        <v>186</v>
      </c>
      <c r="C4009" s="34">
        <v>550</v>
      </c>
      <c r="D4009" s="34"/>
    </row>
    <row r="4010" spans="1:4" hidden="1" x14ac:dyDescent="0.25">
      <c r="A4010" s="4">
        <v>37727</v>
      </c>
      <c r="B4010" s="4" t="s">
        <v>171</v>
      </c>
      <c r="C4010" s="34">
        <v>45</v>
      </c>
      <c r="D4010" s="34"/>
    </row>
    <row r="4011" spans="1:4" hidden="1" x14ac:dyDescent="0.25">
      <c r="A4011" s="4">
        <v>37735</v>
      </c>
      <c r="B4011" s="4" t="s">
        <v>60</v>
      </c>
      <c r="C4011" s="34">
        <v>1.8</v>
      </c>
      <c r="D4011" s="34"/>
    </row>
    <row r="4012" spans="1:4" hidden="1" x14ac:dyDescent="0.25">
      <c r="A4012" s="4">
        <v>37740</v>
      </c>
      <c r="B4012" s="4" t="s">
        <v>187</v>
      </c>
      <c r="C4012" s="34"/>
      <c r="D4012" s="34">
        <v>915.12</v>
      </c>
    </row>
    <row r="4013" spans="1:4" hidden="1" x14ac:dyDescent="0.25">
      <c r="A4013" s="4">
        <v>37783</v>
      </c>
      <c r="B4013" s="4" t="s">
        <v>188</v>
      </c>
      <c r="C4013" s="34">
        <v>1653.07</v>
      </c>
      <c r="D4013" s="34"/>
    </row>
    <row r="4014" spans="1:4" hidden="1" x14ac:dyDescent="0.25">
      <c r="A4014" s="4">
        <v>37802</v>
      </c>
      <c r="B4014" t="s">
        <v>14</v>
      </c>
      <c r="C4014" s="36">
        <f>SUM(C4006:C4013)</f>
        <v>2453.5699999999997</v>
      </c>
      <c r="D4014" s="36">
        <f>SUM(D4006:D4013)</f>
        <v>915.12</v>
      </c>
    </row>
    <row r="4015" spans="1:4" hidden="1" x14ac:dyDescent="0.25">
      <c r="A4015" s="4"/>
      <c r="B4015" s="4" t="s">
        <v>15</v>
      </c>
      <c r="C4015" s="34">
        <f>IF(C4014&gt;D4014,C4014-D4014," ")</f>
        <v>1538.4499999999998</v>
      </c>
      <c r="D4015" s="34" t="str">
        <f>IF(D4014&gt;C4014,D4014-C4014," ")</f>
        <v xml:space="preserve"> </v>
      </c>
    </row>
    <row r="4016" spans="1:4" hidden="1" x14ac:dyDescent="0.25">
      <c r="A4016" s="4">
        <v>37827</v>
      </c>
      <c r="B4016" s="4" t="s">
        <v>60</v>
      </c>
      <c r="C4016" s="34">
        <v>5.5</v>
      </c>
      <c r="D4016" s="34"/>
    </row>
    <row r="4017" spans="1:4" hidden="1" x14ac:dyDescent="0.25">
      <c r="A4017" s="4">
        <v>38002</v>
      </c>
      <c r="B4017" s="4" t="s">
        <v>171</v>
      </c>
      <c r="C4017" s="34">
        <v>45</v>
      </c>
      <c r="D4017" s="34"/>
    </row>
    <row r="4018" spans="1:4" hidden="1" x14ac:dyDescent="0.25">
      <c r="A4018" s="4">
        <v>38009</v>
      </c>
      <c r="B4018" s="4" t="s">
        <v>60</v>
      </c>
      <c r="C4018" s="34">
        <v>0.3</v>
      </c>
      <c r="D4018" s="34"/>
    </row>
    <row r="4019" spans="1:4" hidden="1" x14ac:dyDescent="0.25">
      <c r="A4019" s="4">
        <v>38100</v>
      </c>
      <c r="B4019" s="4" t="s">
        <v>60</v>
      </c>
      <c r="C4019" s="34">
        <v>1.5</v>
      </c>
      <c r="D4019" s="34"/>
    </row>
    <row r="4020" spans="1:4" hidden="1" x14ac:dyDescent="0.25">
      <c r="A4020" s="4">
        <v>38126</v>
      </c>
      <c r="B4020" s="4" t="s">
        <v>203</v>
      </c>
      <c r="C4020" s="34">
        <v>550</v>
      </c>
      <c r="D4020" s="34"/>
    </row>
    <row r="4021" spans="1:4" hidden="1" x14ac:dyDescent="0.25">
      <c r="A4021" s="4">
        <v>38154</v>
      </c>
      <c r="B4021" s="4" t="s">
        <v>204</v>
      </c>
      <c r="C4021" s="34">
        <v>1785.25</v>
      </c>
      <c r="D4021" s="34"/>
    </row>
    <row r="4022" spans="1:4" hidden="1" x14ac:dyDescent="0.25">
      <c r="A4022" s="4">
        <v>38168</v>
      </c>
      <c r="B4022" t="s">
        <v>14</v>
      </c>
      <c r="C4022" s="36">
        <f>SUM(C4016:C4021)</f>
        <v>2387.5500000000002</v>
      </c>
      <c r="D4022" s="36">
        <f>SUM(D4016:D4021)</f>
        <v>0</v>
      </c>
    </row>
    <row r="4023" spans="1:4" hidden="1" x14ac:dyDescent="0.25">
      <c r="A4023" s="4"/>
      <c r="B4023" s="4" t="s">
        <v>15</v>
      </c>
      <c r="C4023" s="34">
        <f>IF(C4022&gt;D4022,C4022-D4022," ")</f>
        <v>2387.5500000000002</v>
      </c>
      <c r="D4023" s="34" t="str">
        <f>IF(D4022&gt;C4022,D4022-C4022," ")</f>
        <v xml:space="preserve"> </v>
      </c>
    </row>
    <row r="4024" spans="1:4" hidden="1" x14ac:dyDescent="0.25">
      <c r="A4024" s="4">
        <v>38175</v>
      </c>
      <c r="B4024" s="4" t="s">
        <v>208</v>
      </c>
      <c r="C4024" s="34">
        <v>456.5</v>
      </c>
      <c r="D4024" s="34"/>
    </row>
    <row r="4025" spans="1:4" hidden="1" x14ac:dyDescent="0.25">
      <c r="A4025" s="4">
        <v>38191</v>
      </c>
      <c r="B4025" s="4" t="s">
        <v>60</v>
      </c>
      <c r="C4025" s="34">
        <v>3.7</v>
      </c>
      <c r="D4025" s="34"/>
    </row>
    <row r="4026" spans="1:4" hidden="1" x14ac:dyDescent="0.25">
      <c r="A4026" s="4">
        <v>38251</v>
      </c>
      <c r="B4026" s="4" t="s">
        <v>54</v>
      </c>
      <c r="C4026" s="34">
        <v>50</v>
      </c>
      <c r="D4026" s="34"/>
    </row>
    <row r="4027" spans="1:4" hidden="1" x14ac:dyDescent="0.25">
      <c r="A4027" s="4">
        <v>38252</v>
      </c>
      <c r="B4027" s="4" t="s">
        <v>54</v>
      </c>
      <c r="C4027" s="34">
        <v>5</v>
      </c>
      <c r="D4027" s="34"/>
    </row>
    <row r="4028" spans="1:4" hidden="1" x14ac:dyDescent="0.25">
      <c r="A4028" s="4">
        <v>38273</v>
      </c>
      <c r="B4028" s="4" t="s">
        <v>54</v>
      </c>
      <c r="C4028" s="34">
        <v>20</v>
      </c>
      <c r="D4028" s="34"/>
    </row>
    <row r="4029" spans="1:4" hidden="1" x14ac:dyDescent="0.25">
      <c r="A4029" s="4">
        <v>38282</v>
      </c>
      <c r="B4029" s="4" t="s">
        <v>60</v>
      </c>
      <c r="C4029" s="34">
        <v>0.6</v>
      </c>
      <c r="D4029" s="34"/>
    </row>
    <row r="4030" spans="1:4" hidden="1" x14ac:dyDescent="0.25">
      <c r="A4030" s="4">
        <v>38357</v>
      </c>
      <c r="B4030" s="4" t="s">
        <v>171</v>
      </c>
      <c r="C4030" s="34">
        <v>45</v>
      </c>
      <c r="D4030" s="34"/>
    </row>
    <row r="4031" spans="1:4" hidden="1" x14ac:dyDescent="0.25">
      <c r="A4031" s="4">
        <v>38380</v>
      </c>
      <c r="B4031" s="4" t="s">
        <v>60</v>
      </c>
      <c r="C4031" s="34">
        <v>0.3</v>
      </c>
      <c r="D4031" s="34"/>
    </row>
    <row r="4032" spans="1:4" hidden="1" x14ac:dyDescent="0.25">
      <c r="A4032" s="4">
        <v>38384</v>
      </c>
      <c r="B4032" s="4" t="s">
        <v>62</v>
      </c>
      <c r="C4032" s="34">
        <v>715</v>
      </c>
      <c r="D4032" s="34"/>
    </row>
    <row r="4033" spans="1:4" hidden="1" x14ac:dyDescent="0.25">
      <c r="A4033" s="4">
        <v>38464</v>
      </c>
      <c r="B4033" s="4" t="s">
        <v>60</v>
      </c>
      <c r="C4033" s="34">
        <v>1.5</v>
      </c>
      <c r="D4033" s="34"/>
    </row>
    <row r="4034" spans="1:4" hidden="1" x14ac:dyDescent="0.25">
      <c r="A4034" s="4">
        <v>38497</v>
      </c>
      <c r="B4034" s="4" t="s">
        <v>217</v>
      </c>
      <c r="C4034" s="34">
        <v>1926.12</v>
      </c>
      <c r="D4034" s="34"/>
    </row>
    <row r="4035" spans="1:4" hidden="1" x14ac:dyDescent="0.25">
      <c r="A4035" s="4"/>
      <c r="B4035" s="4"/>
      <c r="C4035" s="34"/>
      <c r="D4035" s="34"/>
    </row>
    <row r="4036" spans="1:4" hidden="1" x14ac:dyDescent="0.25">
      <c r="A4036" s="4">
        <v>38533</v>
      </c>
      <c r="B4036" t="s">
        <v>14</v>
      </c>
      <c r="C4036" s="36">
        <f>SUM(C4024:C4035)</f>
        <v>3223.72</v>
      </c>
      <c r="D4036" s="36">
        <f>SUM(D4024:D4035)</f>
        <v>0</v>
      </c>
    </row>
    <row r="4037" spans="1:4" hidden="1" x14ac:dyDescent="0.25">
      <c r="A4037" s="4"/>
      <c r="B4037" s="4" t="s">
        <v>15</v>
      </c>
      <c r="C4037" s="34">
        <f>IF(C4036&gt;D4036,C4036-D4036," ")</f>
        <v>3223.72</v>
      </c>
      <c r="D4037" s="34" t="str">
        <f>IF(D4036&gt;C4036,D4036-C4036," ")</f>
        <v xml:space="preserve"> </v>
      </c>
    </row>
    <row r="4038" spans="1:4" hidden="1" x14ac:dyDescent="0.25">
      <c r="A4038" s="4">
        <v>38538</v>
      </c>
      <c r="B4038" s="4" t="s">
        <v>221</v>
      </c>
      <c r="C4038" s="34"/>
      <c r="D4038" s="34">
        <v>212.44</v>
      </c>
    </row>
    <row r="4039" spans="1:4" hidden="1" x14ac:dyDescent="0.25">
      <c r="A4039" s="4">
        <v>38555</v>
      </c>
      <c r="B4039" s="4" t="s">
        <v>10</v>
      </c>
      <c r="C4039" s="34">
        <v>3</v>
      </c>
      <c r="D4039" s="34"/>
    </row>
    <row r="4040" spans="1:4" hidden="1" x14ac:dyDescent="0.25">
      <c r="A4040" s="4">
        <v>38574</v>
      </c>
      <c r="B4040" s="4" t="s">
        <v>224</v>
      </c>
      <c r="C4040" s="34">
        <v>465.36</v>
      </c>
      <c r="D4040" s="34"/>
    </row>
    <row r="4041" spans="1:4" hidden="1" x14ac:dyDescent="0.25">
      <c r="A4041" s="4">
        <v>38786</v>
      </c>
      <c r="B4041" s="4" t="s">
        <v>237</v>
      </c>
      <c r="C4041" s="34">
        <v>1656.85</v>
      </c>
      <c r="D4041" s="34"/>
    </row>
    <row r="4042" spans="1:4" hidden="1" x14ac:dyDescent="0.25">
      <c r="A4042" s="4">
        <v>38805</v>
      </c>
      <c r="B4042" s="4" t="s">
        <v>238</v>
      </c>
      <c r="C4042" s="34">
        <v>45</v>
      </c>
      <c r="D4042" s="34"/>
    </row>
    <row r="4043" spans="1:4" hidden="1" x14ac:dyDescent="0.25">
      <c r="A4043" s="4">
        <v>38807</v>
      </c>
      <c r="B4043" s="4" t="s">
        <v>240</v>
      </c>
      <c r="C4043" s="34">
        <v>715</v>
      </c>
      <c r="D4043" s="34"/>
    </row>
    <row r="4044" spans="1:4" hidden="1" x14ac:dyDescent="0.25">
      <c r="A4044" s="4">
        <v>38814</v>
      </c>
      <c r="B4044" s="4" t="s">
        <v>242</v>
      </c>
      <c r="C4044" s="34"/>
      <c r="D4044" s="34">
        <v>735.07</v>
      </c>
    </row>
    <row r="4045" spans="1:4" hidden="1" x14ac:dyDescent="0.25">
      <c r="A4045" s="4">
        <v>38870</v>
      </c>
      <c r="B4045" s="4" t="s">
        <v>244</v>
      </c>
      <c r="C4045" s="34">
        <v>2513.08</v>
      </c>
      <c r="D4045" s="34"/>
    </row>
    <row r="4046" spans="1:4" hidden="1" x14ac:dyDescent="0.25">
      <c r="A4046" s="4">
        <v>38873</v>
      </c>
      <c r="B4046" s="4" t="s">
        <v>237</v>
      </c>
      <c r="C4046" s="34">
        <v>11.35</v>
      </c>
      <c r="D4046" s="34"/>
    </row>
    <row r="4047" spans="1:4" hidden="1" x14ac:dyDescent="0.25">
      <c r="A4047" s="4"/>
      <c r="B4047" s="4"/>
      <c r="C4047" s="34"/>
      <c r="D4047" s="34"/>
    </row>
    <row r="4048" spans="1:4" hidden="1" x14ac:dyDescent="0.25">
      <c r="A4048" s="4">
        <v>38898</v>
      </c>
      <c r="B4048" t="s">
        <v>14</v>
      </c>
      <c r="C4048" s="36">
        <f>SUM(C4038:C4047)</f>
        <v>5409.64</v>
      </c>
      <c r="D4048" s="36">
        <f>SUM(D4038:D4047)</f>
        <v>947.51</v>
      </c>
    </row>
    <row r="4049" spans="1:4" hidden="1" x14ac:dyDescent="0.25">
      <c r="A4049" s="4"/>
      <c r="B4049" s="4" t="s">
        <v>15</v>
      </c>
      <c r="C4049" s="34">
        <f>IF(C4048&gt;D4048,C4048-D4048," ")</f>
        <v>4462.13</v>
      </c>
      <c r="D4049" s="34" t="str">
        <f>IF(D4048&gt;C4048,D4048-C4048," ")</f>
        <v xml:space="preserve"> </v>
      </c>
    </row>
    <row r="4050" spans="1:4" hidden="1" x14ac:dyDescent="0.25">
      <c r="A4050" s="4">
        <v>39065</v>
      </c>
      <c r="B4050" s="4" t="s">
        <v>263</v>
      </c>
      <c r="C4050" s="34">
        <v>770</v>
      </c>
      <c r="D4050" s="34"/>
    </row>
    <row r="4051" spans="1:4" hidden="1" x14ac:dyDescent="0.25">
      <c r="A4051" s="4">
        <v>39185</v>
      </c>
      <c r="B4051" s="4" t="s">
        <v>269</v>
      </c>
      <c r="C4051" s="34">
        <v>18</v>
      </c>
      <c r="D4051" s="34"/>
    </row>
    <row r="4052" spans="1:4" hidden="1" x14ac:dyDescent="0.25">
      <c r="A4052" s="4">
        <v>39245</v>
      </c>
      <c r="B4052" s="4" t="s">
        <v>270</v>
      </c>
      <c r="C4052" s="34">
        <v>1448.05</v>
      </c>
      <c r="D4052" s="34"/>
    </row>
    <row r="4053" spans="1:4" hidden="1" x14ac:dyDescent="0.25">
      <c r="A4053" s="4">
        <v>39246</v>
      </c>
      <c r="B4053" s="4" t="s">
        <v>271</v>
      </c>
      <c r="C4053" s="34">
        <v>2755.01</v>
      </c>
      <c r="D4053" s="34"/>
    </row>
    <row r="4054" spans="1:4" hidden="1" x14ac:dyDescent="0.25">
      <c r="A4054" s="4"/>
      <c r="B4054" s="4"/>
      <c r="C4054" s="34"/>
      <c r="D4054" s="34"/>
    </row>
    <row r="4055" spans="1:4" hidden="1" x14ac:dyDescent="0.25">
      <c r="A4055" s="4"/>
      <c r="B4055" s="4"/>
      <c r="C4055" s="34"/>
      <c r="D4055" s="34"/>
    </row>
    <row r="4056" spans="1:4" hidden="1" x14ac:dyDescent="0.25">
      <c r="A4056" s="4"/>
      <c r="B4056" s="4"/>
      <c r="C4056" s="34"/>
      <c r="D4056" s="34"/>
    </row>
    <row r="4057" spans="1:4" hidden="1" x14ac:dyDescent="0.25">
      <c r="A4057" s="4"/>
      <c r="B4057" s="4"/>
      <c r="C4057" s="34"/>
      <c r="D4057" s="34"/>
    </row>
    <row r="4058" spans="1:4" hidden="1" x14ac:dyDescent="0.25">
      <c r="A4058" s="4"/>
      <c r="B4058" s="4"/>
      <c r="C4058" s="34"/>
      <c r="D4058" s="34"/>
    </row>
    <row r="4059" spans="1:4" hidden="1" x14ac:dyDescent="0.25">
      <c r="A4059" s="4"/>
      <c r="B4059" s="4"/>
      <c r="C4059" s="34"/>
      <c r="D4059" s="34"/>
    </row>
    <row r="4060" spans="1:4" hidden="1" x14ac:dyDescent="0.25">
      <c r="A4060" s="4">
        <v>39263</v>
      </c>
      <c r="B4060" t="s">
        <v>14</v>
      </c>
      <c r="C4060" s="36">
        <f>SUM(C4050:C4059)</f>
        <v>4991.0600000000004</v>
      </c>
      <c r="D4060" s="36">
        <f>SUM(D4050:D4059)</f>
        <v>0</v>
      </c>
    </row>
    <row r="4061" spans="1:4" hidden="1" x14ac:dyDescent="0.25">
      <c r="A4061" s="4"/>
      <c r="B4061" s="4" t="s">
        <v>15</v>
      </c>
      <c r="C4061" s="34">
        <f>IF(C4060&gt;D4060,C4060-D4060," ")</f>
        <v>4991.0600000000004</v>
      </c>
      <c r="D4061" s="34" t="str">
        <f>IF(D4060&gt;C4060,D4060-C4060," ")</f>
        <v xml:space="preserve"> </v>
      </c>
    </row>
    <row r="4062" spans="1:4" hidden="1" x14ac:dyDescent="0.25">
      <c r="A4062" s="4">
        <v>39265</v>
      </c>
      <c r="B4062" s="4" t="s">
        <v>63</v>
      </c>
      <c r="C4062" s="34">
        <v>6</v>
      </c>
      <c r="D4062" s="34"/>
    </row>
    <row r="4063" spans="1:4" hidden="1" x14ac:dyDescent="0.25">
      <c r="A4063" s="4">
        <v>39275</v>
      </c>
      <c r="B4063" s="4" t="s">
        <v>171</v>
      </c>
      <c r="C4063" s="34">
        <v>45</v>
      </c>
      <c r="D4063" s="34"/>
    </row>
    <row r="4064" spans="1:4" hidden="1" x14ac:dyDescent="0.25">
      <c r="A4064" s="4">
        <v>39373</v>
      </c>
      <c r="B4064" s="4" t="s">
        <v>63</v>
      </c>
      <c r="C4064" s="34">
        <v>6</v>
      </c>
      <c r="D4064" s="34"/>
    </row>
    <row r="4065" spans="1:4" hidden="1" x14ac:dyDescent="0.25">
      <c r="A4065" s="4">
        <v>39408</v>
      </c>
      <c r="B4065" s="4" t="s">
        <v>296</v>
      </c>
      <c r="C4065" s="34">
        <v>124.4</v>
      </c>
      <c r="D4065" s="34"/>
    </row>
    <row r="4066" spans="1:4" hidden="1" x14ac:dyDescent="0.25">
      <c r="A4066" s="4">
        <v>39450</v>
      </c>
      <c r="B4066" s="4" t="s">
        <v>63</v>
      </c>
      <c r="C4066" s="34">
        <v>6</v>
      </c>
      <c r="D4066" s="34"/>
    </row>
    <row r="4067" spans="1:4" hidden="1" x14ac:dyDescent="0.25">
      <c r="A4067" s="4">
        <v>39573</v>
      </c>
      <c r="B4067" s="4" t="s">
        <v>301</v>
      </c>
      <c r="C4067" s="34">
        <v>51</v>
      </c>
      <c r="D4067" s="34"/>
    </row>
    <row r="4068" spans="1:4" hidden="1" x14ac:dyDescent="0.25">
      <c r="A4068" s="4">
        <v>39584</v>
      </c>
      <c r="B4068" s="4" t="s">
        <v>263</v>
      </c>
      <c r="C4068" s="34">
        <v>858</v>
      </c>
      <c r="D4068" s="34"/>
    </row>
    <row r="4069" spans="1:4" hidden="1" x14ac:dyDescent="0.25">
      <c r="A4069" s="4">
        <v>39584</v>
      </c>
      <c r="B4069" s="4" t="s">
        <v>63</v>
      </c>
      <c r="C4069" s="34">
        <v>2136.5</v>
      </c>
      <c r="D4069" s="34"/>
    </row>
    <row r="4070" spans="1:4" hidden="1" x14ac:dyDescent="0.25">
      <c r="A4070" s="4">
        <v>39610</v>
      </c>
      <c r="B4070" s="4" t="s">
        <v>304</v>
      </c>
      <c r="C4070" s="34">
        <v>2918.83</v>
      </c>
      <c r="D4070" s="34"/>
    </row>
    <row r="4071" spans="1:4" hidden="1" x14ac:dyDescent="0.25">
      <c r="A4071" s="4"/>
      <c r="B4071" s="4"/>
      <c r="C4071" s="34"/>
      <c r="D4071" s="34"/>
    </row>
    <row r="4072" spans="1:4" hidden="1" x14ac:dyDescent="0.25">
      <c r="A4072" s="4"/>
      <c r="B4072" s="4"/>
      <c r="C4072" s="34"/>
      <c r="D4072" s="34"/>
    </row>
    <row r="4073" spans="1:4" hidden="1" x14ac:dyDescent="0.25">
      <c r="A4073" s="4"/>
      <c r="B4073" s="4"/>
      <c r="C4073" s="34"/>
      <c r="D4073" s="34"/>
    </row>
    <row r="4074" spans="1:4" hidden="1" x14ac:dyDescent="0.25">
      <c r="A4074" s="4">
        <v>39629</v>
      </c>
      <c r="B4074" t="s">
        <v>14</v>
      </c>
      <c r="C4074" s="36">
        <f>SUM(C4062:C4073)</f>
        <v>6151.73</v>
      </c>
      <c r="D4074" s="36">
        <f>SUM(D4062:D4073)</f>
        <v>0</v>
      </c>
    </row>
    <row r="4075" spans="1:4" hidden="1" x14ac:dyDescent="0.25">
      <c r="A4075" s="4"/>
      <c r="B4075" s="4" t="s">
        <v>15</v>
      </c>
      <c r="C4075" s="34">
        <f>IF(C4074&gt;D4074,C4074-D4074," ")</f>
        <v>6151.73</v>
      </c>
      <c r="D4075" s="34" t="str">
        <f>IF(D4074&gt;C4074,D4074-C4074," ")</f>
        <v xml:space="preserve"> </v>
      </c>
    </row>
    <row r="4076" spans="1:4" hidden="1" x14ac:dyDescent="0.25">
      <c r="A4076" s="4">
        <v>39652</v>
      </c>
      <c r="B4076" s="4" t="s">
        <v>316</v>
      </c>
      <c r="C4076" s="34">
        <v>2293</v>
      </c>
      <c r="D4076" s="34"/>
    </row>
    <row r="4077" spans="1:4" hidden="1" x14ac:dyDescent="0.25">
      <c r="A4077" s="4">
        <v>39721</v>
      </c>
      <c r="B4077" s="4" t="s">
        <v>314</v>
      </c>
      <c r="C4077" s="34">
        <v>30</v>
      </c>
      <c r="D4077" s="34"/>
    </row>
    <row r="4078" spans="1:4" hidden="1" x14ac:dyDescent="0.25">
      <c r="A4078" s="4">
        <v>39752</v>
      </c>
      <c r="B4078" s="4" t="s">
        <v>314</v>
      </c>
      <c r="C4078" s="34">
        <v>119</v>
      </c>
      <c r="D4078" s="34"/>
    </row>
    <row r="4079" spans="1:4" hidden="1" x14ac:dyDescent="0.25">
      <c r="A4079" s="4">
        <v>39653</v>
      </c>
      <c r="B4079" s="4" t="s">
        <v>317</v>
      </c>
      <c r="C4079" s="34">
        <v>5</v>
      </c>
      <c r="D4079" s="34"/>
    </row>
    <row r="4080" spans="1:4" hidden="1" x14ac:dyDescent="0.25">
      <c r="A4080" s="4">
        <v>39729</v>
      </c>
      <c r="B4080" s="4" t="s">
        <v>316</v>
      </c>
      <c r="C4080" s="34">
        <v>583</v>
      </c>
      <c r="D4080" s="34"/>
    </row>
    <row r="4081" spans="1:4" hidden="1" x14ac:dyDescent="0.25">
      <c r="A4081" s="4" t="s">
        <v>318</v>
      </c>
      <c r="B4081" s="4" t="s">
        <v>316</v>
      </c>
      <c r="C4081" s="34">
        <v>583</v>
      </c>
      <c r="D4081" s="34"/>
    </row>
    <row r="4082" spans="1:4" hidden="1" x14ac:dyDescent="0.25">
      <c r="A4082" s="4">
        <v>39871</v>
      </c>
      <c r="B4082" s="4" t="s">
        <v>321</v>
      </c>
      <c r="C4082" s="34">
        <v>935</v>
      </c>
      <c r="D4082" s="34"/>
    </row>
    <row r="4083" spans="1:4" hidden="1" x14ac:dyDescent="0.25">
      <c r="A4083" s="4">
        <v>39904</v>
      </c>
      <c r="B4083" s="4" t="s">
        <v>316</v>
      </c>
      <c r="C4083" s="34">
        <v>581</v>
      </c>
      <c r="D4083" s="34"/>
    </row>
    <row r="4084" spans="1:4" hidden="1" x14ac:dyDescent="0.25">
      <c r="A4084" s="4">
        <v>39968</v>
      </c>
      <c r="B4084" s="4" t="s">
        <v>324</v>
      </c>
      <c r="C4084" s="34">
        <v>1597.12</v>
      </c>
      <c r="D4084" s="34"/>
    </row>
    <row r="4085" spans="1:4" hidden="1" x14ac:dyDescent="0.25">
      <c r="A4085" s="4">
        <v>39988</v>
      </c>
      <c r="B4085" s="4" t="s">
        <v>325</v>
      </c>
      <c r="C4085" s="34">
        <v>2355.81</v>
      </c>
      <c r="D4085" s="34"/>
    </row>
    <row r="4086" spans="1:4" hidden="1" x14ac:dyDescent="0.25">
      <c r="A4086" s="4"/>
      <c r="B4086" s="4"/>
      <c r="C4086" s="34"/>
      <c r="D4086" s="34"/>
    </row>
    <row r="4087" spans="1:4" hidden="1" x14ac:dyDescent="0.25">
      <c r="A4087" s="4"/>
      <c r="B4087" s="4"/>
      <c r="C4087" s="34"/>
      <c r="D4087" s="34"/>
    </row>
    <row r="4088" spans="1:4" hidden="1" x14ac:dyDescent="0.25">
      <c r="A4088" s="4">
        <v>39994</v>
      </c>
      <c r="B4088" t="s">
        <v>14</v>
      </c>
      <c r="C4088" s="36">
        <f>SUM(C4076:C4087)</f>
        <v>9081.93</v>
      </c>
      <c r="D4088" s="36">
        <f>SUM(D4076:D4087)</f>
        <v>0</v>
      </c>
    </row>
    <row r="4089" spans="1:4" hidden="1" x14ac:dyDescent="0.25">
      <c r="A4089" s="4"/>
      <c r="B4089" s="4" t="s">
        <v>15</v>
      </c>
      <c r="C4089" s="34">
        <f>IF(C4088&gt;D4088,C4088-D4088," ")</f>
        <v>9081.93</v>
      </c>
      <c r="D4089" s="34" t="str">
        <f>IF(D4088&gt;C4088,D4088-C4088," ")</f>
        <v xml:space="preserve"> </v>
      </c>
    </row>
    <row r="4090" spans="1:4" hidden="1" x14ac:dyDescent="0.25">
      <c r="A4090" s="4">
        <v>40008</v>
      </c>
      <c r="B4090" s="4" t="s">
        <v>329</v>
      </c>
      <c r="C4090" s="34">
        <v>582</v>
      </c>
      <c r="D4090" s="34"/>
    </row>
    <row r="4091" spans="1:4" hidden="1" x14ac:dyDescent="0.25">
      <c r="A4091" s="4">
        <v>40087</v>
      </c>
      <c r="B4091" s="4" t="s">
        <v>329</v>
      </c>
      <c r="C4091" s="34">
        <v>550</v>
      </c>
      <c r="D4091" s="34"/>
    </row>
    <row r="4092" spans="1:4" hidden="1" x14ac:dyDescent="0.25">
      <c r="A4092" s="4">
        <v>40088</v>
      </c>
      <c r="B4092" s="4" t="s">
        <v>333</v>
      </c>
      <c r="C4092" s="34">
        <v>187</v>
      </c>
      <c r="D4092" s="34"/>
    </row>
    <row r="4093" spans="1:4" hidden="1" x14ac:dyDescent="0.25">
      <c r="A4093" s="4">
        <v>40164</v>
      </c>
      <c r="B4093" s="4" t="s">
        <v>329</v>
      </c>
      <c r="C4093" s="34">
        <v>550</v>
      </c>
      <c r="D4093" s="34"/>
    </row>
    <row r="4094" spans="1:4" hidden="1" x14ac:dyDescent="0.25">
      <c r="A4094" s="4">
        <v>40269</v>
      </c>
      <c r="B4094" s="4" t="s">
        <v>329</v>
      </c>
      <c r="C4094" s="34">
        <v>550</v>
      </c>
      <c r="D4094" s="34"/>
    </row>
    <row r="4095" spans="1:4" hidden="1" x14ac:dyDescent="0.25">
      <c r="A4095" s="4">
        <v>40326</v>
      </c>
      <c r="B4095" s="4" t="s">
        <v>339</v>
      </c>
      <c r="C4095" s="34">
        <v>1045</v>
      </c>
      <c r="D4095" s="34"/>
    </row>
    <row r="4096" spans="1:4" hidden="1" x14ac:dyDescent="0.25">
      <c r="A4096" s="4">
        <v>40326</v>
      </c>
      <c r="B4096" s="4" t="s">
        <v>340</v>
      </c>
      <c r="C4096" s="34">
        <v>4434.37</v>
      </c>
      <c r="D4096" s="34"/>
    </row>
    <row r="4097" spans="1:4" hidden="1" x14ac:dyDescent="0.25">
      <c r="A4097" s="4">
        <v>40359</v>
      </c>
      <c r="B4097" t="s">
        <v>14</v>
      </c>
      <c r="C4097" s="36">
        <f>SUM(C4090:C4096)</f>
        <v>7898.37</v>
      </c>
      <c r="D4097" s="36">
        <f>SUM(D4090:D4096)</f>
        <v>0</v>
      </c>
    </row>
    <row r="4098" spans="1:4" hidden="1" x14ac:dyDescent="0.25">
      <c r="A4098" s="4"/>
      <c r="B4098" s="4" t="s">
        <v>15</v>
      </c>
      <c r="C4098" s="34">
        <f>IF(C4097&gt;D4097,C4097-D4097," ")</f>
        <v>7898.37</v>
      </c>
      <c r="D4098" s="34" t="str">
        <f>IF(D4097&gt;C4097,D4097-C4097," ")</f>
        <v xml:space="preserve"> </v>
      </c>
    </row>
    <row r="4099" spans="1:4" hidden="1" x14ac:dyDescent="0.25">
      <c r="A4099" s="4">
        <v>40472</v>
      </c>
      <c r="B4099" s="4" t="s">
        <v>360</v>
      </c>
      <c r="C4099" s="34">
        <v>118</v>
      </c>
      <c r="D4099" s="34"/>
    </row>
    <row r="4100" spans="1:4" hidden="1" x14ac:dyDescent="0.25">
      <c r="A4100" s="4">
        <v>40535</v>
      </c>
      <c r="B4100" s="4" t="s">
        <v>360</v>
      </c>
      <c r="C4100" s="34">
        <v>118</v>
      </c>
      <c r="D4100" s="34"/>
    </row>
    <row r="4101" spans="1:4" hidden="1" x14ac:dyDescent="0.25">
      <c r="A4101" s="4">
        <v>40652</v>
      </c>
      <c r="B4101" s="4" t="s">
        <v>360</v>
      </c>
      <c r="C4101" s="34">
        <v>118</v>
      </c>
      <c r="D4101" s="34"/>
    </row>
    <row r="4102" spans="1:4" hidden="1" x14ac:dyDescent="0.25">
      <c r="A4102" s="4">
        <v>40696</v>
      </c>
      <c r="B4102" s="4" t="s">
        <v>263</v>
      </c>
      <c r="C4102" s="34">
        <v>1100</v>
      </c>
      <c r="D4102" s="34"/>
    </row>
    <row r="4103" spans="1:4" hidden="1" x14ac:dyDescent="0.25">
      <c r="A4103" s="4">
        <v>40696</v>
      </c>
      <c r="B4103" s="4" t="s">
        <v>364</v>
      </c>
      <c r="C4103" s="34">
        <v>4771.46</v>
      </c>
      <c r="D4103" s="34"/>
    </row>
    <row r="4104" spans="1:4" hidden="1" x14ac:dyDescent="0.25">
      <c r="A4104" s="4"/>
      <c r="B4104" s="4"/>
      <c r="C4104" s="34"/>
      <c r="D4104" s="34"/>
    </row>
    <row r="4105" spans="1:4" hidden="1" x14ac:dyDescent="0.25">
      <c r="A4105" s="4">
        <v>40724</v>
      </c>
      <c r="B4105" t="s">
        <v>14</v>
      </c>
      <c r="C4105" s="36">
        <f>SUM(C4099:C4104)</f>
        <v>6225.46</v>
      </c>
      <c r="D4105" s="36">
        <f>SUM(D4099:D4104)</f>
        <v>0</v>
      </c>
    </row>
    <row r="4106" spans="1:4" hidden="1" x14ac:dyDescent="0.25">
      <c r="A4106" s="4"/>
      <c r="B4106" s="4" t="s">
        <v>15</v>
      </c>
      <c r="C4106" s="34">
        <f>IF(C4105&gt;D4105,C4105-D4105," ")</f>
        <v>6225.46</v>
      </c>
      <c r="D4106" s="34" t="str">
        <f>IF(D4105&gt;C4105,D4105-C4105," ")</f>
        <v xml:space="preserve"> </v>
      </c>
    </row>
    <row r="4107" spans="1:4" hidden="1" x14ac:dyDescent="0.25">
      <c r="A4107" s="4">
        <v>40752</v>
      </c>
      <c r="B4107" s="4" t="s">
        <v>414</v>
      </c>
      <c r="C4107" s="34">
        <v>219</v>
      </c>
      <c r="D4107" s="34"/>
    </row>
    <row r="4108" spans="1:4" hidden="1" x14ac:dyDescent="0.25">
      <c r="A4108" s="4">
        <v>40820</v>
      </c>
      <c r="B4108" s="4" t="s">
        <v>415</v>
      </c>
      <c r="C4108" s="34">
        <v>146</v>
      </c>
      <c r="D4108" s="34"/>
    </row>
    <row r="4109" spans="1:4" hidden="1" x14ac:dyDescent="0.25">
      <c r="A4109" s="4">
        <v>40892</v>
      </c>
      <c r="B4109" s="4" t="s">
        <v>416</v>
      </c>
      <c r="C4109" s="34">
        <v>146</v>
      </c>
      <c r="D4109" s="34"/>
    </row>
    <row r="4110" spans="1:4" hidden="1" x14ac:dyDescent="0.25">
      <c r="A4110" s="4">
        <v>41004</v>
      </c>
      <c r="B4110" s="4" t="s">
        <v>417</v>
      </c>
      <c r="C4110" s="34">
        <v>146</v>
      </c>
      <c r="D4110" s="34"/>
    </row>
    <row r="4111" spans="1:4" hidden="1" x14ac:dyDescent="0.25">
      <c r="A4111" s="4">
        <v>41052</v>
      </c>
      <c r="B4111" s="4" t="s">
        <v>419</v>
      </c>
      <c r="C4111" s="34">
        <v>5417.08</v>
      </c>
      <c r="D4111" s="34"/>
    </row>
    <row r="4112" spans="1:4" hidden="1" x14ac:dyDescent="0.25">
      <c r="A4112" s="4">
        <v>41053</v>
      </c>
      <c r="B4112" s="4" t="s">
        <v>409</v>
      </c>
      <c r="C4112" s="34">
        <v>4.5</v>
      </c>
      <c r="D4112" s="34"/>
    </row>
    <row r="4113" spans="1:4" hidden="1" x14ac:dyDescent="0.25">
      <c r="A4113" s="4">
        <v>41053</v>
      </c>
      <c r="B4113" s="4" t="s">
        <v>418</v>
      </c>
      <c r="C4113" s="34">
        <v>1430</v>
      </c>
      <c r="D4113" s="34"/>
    </row>
    <row r="4114" spans="1:4" hidden="1" x14ac:dyDescent="0.25">
      <c r="A4114" s="4"/>
      <c r="B4114" s="4"/>
      <c r="C4114" s="34"/>
      <c r="D4114" s="34"/>
    </row>
    <row r="4115" spans="1:4" hidden="1" x14ac:dyDescent="0.25">
      <c r="A4115" s="4"/>
      <c r="B4115" s="4"/>
      <c r="C4115" s="34"/>
      <c r="D4115" s="34"/>
    </row>
    <row r="4116" spans="1:4" hidden="1" x14ac:dyDescent="0.25">
      <c r="A4116" s="4">
        <v>41090</v>
      </c>
      <c r="B4116" t="s">
        <v>14</v>
      </c>
      <c r="C4116" s="36">
        <f>SUM(C4107:C4115)</f>
        <v>7508.58</v>
      </c>
      <c r="D4116" s="36">
        <f>SUM(D4107:D4115)</f>
        <v>0</v>
      </c>
    </row>
    <row r="4117" spans="1:4" hidden="1" x14ac:dyDescent="0.25">
      <c r="A4117" s="4"/>
      <c r="B4117" s="4" t="s">
        <v>15</v>
      </c>
      <c r="C4117" s="34">
        <f>IF(C4116&gt;D4116,C4116-D4116," ")</f>
        <v>7508.58</v>
      </c>
      <c r="D4117" s="34" t="str">
        <f>IF(D4116&gt;C4116,D4116-C4116," ")</f>
        <v xml:space="preserve"> </v>
      </c>
    </row>
    <row r="4118" spans="1:4" hidden="1" x14ac:dyDescent="0.25">
      <c r="A4118" s="4">
        <v>41103</v>
      </c>
      <c r="B4118" s="3" t="s">
        <v>472</v>
      </c>
      <c r="C4118" s="34">
        <v>146</v>
      </c>
      <c r="D4118" s="34"/>
    </row>
    <row r="4119" spans="1:4" hidden="1" x14ac:dyDescent="0.25">
      <c r="A4119" s="4">
        <v>41150</v>
      </c>
      <c r="B4119" s="3" t="s">
        <v>473</v>
      </c>
      <c r="C4119" s="34">
        <v>114.61</v>
      </c>
      <c r="D4119" s="34"/>
    </row>
    <row r="4120" spans="1:4" hidden="1" x14ac:dyDescent="0.25">
      <c r="A4120" s="4">
        <v>41190</v>
      </c>
      <c r="B4120" s="3" t="s">
        <v>474</v>
      </c>
      <c r="C4120" s="34">
        <v>134</v>
      </c>
      <c r="D4120" s="34"/>
    </row>
    <row r="4121" spans="1:4" hidden="1" x14ac:dyDescent="0.25">
      <c r="A4121" s="4">
        <v>41277</v>
      </c>
      <c r="B4121" s="3" t="s">
        <v>475</v>
      </c>
      <c r="C4121" s="34">
        <v>134</v>
      </c>
      <c r="D4121" s="34"/>
    </row>
    <row r="4122" spans="1:4" hidden="1" x14ac:dyDescent="0.25">
      <c r="A4122" s="4">
        <v>41394</v>
      </c>
      <c r="B4122" s="3" t="s">
        <v>476</v>
      </c>
      <c r="C4122" s="34">
        <v>134</v>
      </c>
      <c r="D4122" s="34"/>
    </row>
    <row r="4123" spans="1:4" hidden="1" x14ac:dyDescent="0.25">
      <c r="A4123" s="4">
        <v>41416</v>
      </c>
      <c r="B4123" s="3" t="s">
        <v>477</v>
      </c>
      <c r="C4123" s="34">
        <v>6140.66</v>
      </c>
      <c r="D4123" s="34"/>
    </row>
    <row r="4124" spans="1:4" hidden="1" x14ac:dyDescent="0.25">
      <c r="A4124" s="4">
        <v>41428</v>
      </c>
      <c r="B4124" s="3" t="s">
        <v>469</v>
      </c>
      <c r="C4124" s="34">
        <v>1540</v>
      </c>
      <c r="D4124" s="34"/>
    </row>
    <row r="4125" spans="1:4" hidden="1" x14ac:dyDescent="0.25">
      <c r="A4125" s="4"/>
      <c r="B4125" s="4"/>
      <c r="C4125" s="34"/>
      <c r="D4125" s="34"/>
    </row>
    <row r="4126" spans="1:4" hidden="1" x14ac:dyDescent="0.25">
      <c r="A4126" s="4"/>
      <c r="B4126" s="4"/>
      <c r="C4126" s="34"/>
      <c r="D4126" s="34"/>
    </row>
    <row r="4127" spans="1:4" hidden="1" x14ac:dyDescent="0.25">
      <c r="A4127" s="4">
        <v>41455</v>
      </c>
      <c r="B4127" t="s">
        <v>14</v>
      </c>
      <c r="C4127" s="36">
        <f>SUM(C4118:C4126)</f>
        <v>8343.27</v>
      </c>
      <c r="D4127" s="36">
        <f>SUM(D4118:D4126)</f>
        <v>0</v>
      </c>
    </row>
    <row r="4128" spans="1:4" hidden="1" x14ac:dyDescent="0.25">
      <c r="A4128" s="4"/>
      <c r="B4128" s="4" t="s">
        <v>15</v>
      </c>
      <c r="C4128" s="34">
        <f>IF(C4127&gt;D4127,C4127-D4127," ")</f>
        <v>8343.27</v>
      </c>
      <c r="D4128" s="34" t="str">
        <f>IF(D4127&gt;C4127,D4127-C4127," ")</f>
        <v xml:space="preserve"> </v>
      </c>
    </row>
    <row r="4129" spans="1:4" hidden="1" x14ac:dyDescent="0.25">
      <c r="A4129" s="4">
        <v>41456</v>
      </c>
      <c r="B4129" s="4" t="s">
        <v>485</v>
      </c>
      <c r="C4129" s="34">
        <v>134</v>
      </c>
      <c r="D4129" s="34"/>
    </row>
    <row r="4130" spans="1:4" hidden="1" x14ac:dyDescent="0.25">
      <c r="A4130" s="4">
        <v>41722</v>
      </c>
      <c r="B4130" s="4" t="s">
        <v>520</v>
      </c>
      <c r="C4130" s="34">
        <v>1815</v>
      </c>
      <c r="D4130" s="34"/>
    </row>
    <row r="4131" spans="1:4" hidden="1" x14ac:dyDescent="0.25">
      <c r="A4131" s="4">
        <v>41736</v>
      </c>
      <c r="B4131" s="4" t="s">
        <v>532</v>
      </c>
      <c r="C4131" s="34">
        <v>6822.84</v>
      </c>
      <c r="D4131" s="34"/>
    </row>
    <row r="4132" spans="1:4" hidden="1" x14ac:dyDescent="0.25">
      <c r="A4132" s="4">
        <v>41778</v>
      </c>
      <c r="B4132" s="4" t="s">
        <v>535</v>
      </c>
      <c r="C4132" s="34">
        <v>4189.12</v>
      </c>
      <c r="D4132" s="34"/>
    </row>
    <row r="4133" spans="1:4" hidden="1" x14ac:dyDescent="0.25">
      <c r="A4133" s="4">
        <v>41778</v>
      </c>
      <c r="B4133" s="4" t="s">
        <v>536</v>
      </c>
      <c r="C4133" s="34">
        <v>2881.64</v>
      </c>
      <c r="D4133" s="34"/>
    </row>
    <row r="4134" spans="1:4" hidden="1" x14ac:dyDescent="0.25">
      <c r="A4134" s="4">
        <v>41802</v>
      </c>
      <c r="B4134" s="4" t="s">
        <v>546</v>
      </c>
      <c r="C4134" s="34">
        <v>220</v>
      </c>
      <c r="D4134" s="34"/>
    </row>
    <row r="4135" spans="1:4" hidden="1" x14ac:dyDescent="0.25">
      <c r="A4135" s="4">
        <v>41570</v>
      </c>
      <c r="B4135" s="4" t="s">
        <v>545</v>
      </c>
      <c r="C4135" s="34"/>
      <c r="D4135" s="34">
        <v>6594.19</v>
      </c>
    </row>
    <row r="4136" spans="1:4" hidden="1" x14ac:dyDescent="0.25">
      <c r="A4136" s="4"/>
      <c r="B4136" s="4"/>
      <c r="C4136" s="34"/>
      <c r="D4136" s="34"/>
    </row>
    <row r="4137" spans="1:4" hidden="1" x14ac:dyDescent="0.25">
      <c r="A4137" s="4">
        <v>41820</v>
      </c>
      <c r="B4137" t="s">
        <v>14</v>
      </c>
      <c r="C4137" s="36">
        <f>SUM(C4129:C4136)</f>
        <v>16062.599999999999</v>
      </c>
      <c r="D4137" s="36">
        <f>SUM(D4129:D4136)</f>
        <v>6594.19</v>
      </c>
    </row>
    <row r="4138" spans="1:4" hidden="1" x14ac:dyDescent="0.25">
      <c r="A4138" s="4"/>
      <c r="B4138" s="4" t="s">
        <v>15</v>
      </c>
      <c r="C4138" s="34">
        <f>IF(C4137&gt;D4137,C4137-D4137," ")</f>
        <v>9468.41</v>
      </c>
      <c r="D4138" s="34" t="str">
        <f>IF(D4137&gt;C4137,D4137-C4137," ")</f>
        <v xml:space="preserve"> </v>
      </c>
    </row>
    <row r="4139" spans="1:4" hidden="1" x14ac:dyDescent="0.25">
      <c r="A4139" s="4">
        <v>41827</v>
      </c>
      <c r="B4139" t="s">
        <v>599</v>
      </c>
      <c r="C4139" s="34">
        <v>1235.25</v>
      </c>
      <c r="D4139" s="34"/>
    </row>
    <row r="4140" spans="1:4" hidden="1" x14ac:dyDescent="0.25">
      <c r="A4140" s="4">
        <v>41827</v>
      </c>
      <c r="B4140" t="s">
        <v>599</v>
      </c>
      <c r="C4140" s="34">
        <v>1812</v>
      </c>
      <c r="D4140" s="34"/>
    </row>
    <row r="4141" spans="1:4" hidden="1" x14ac:dyDescent="0.25">
      <c r="A4141" s="4">
        <v>41939</v>
      </c>
      <c r="B4141" t="s">
        <v>599</v>
      </c>
      <c r="C4141" s="34">
        <v>1829</v>
      </c>
      <c r="D4141" s="34"/>
    </row>
    <row r="4142" spans="1:4" hidden="1" x14ac:dyDescent="0.25">
      <c r="A4142" s="4">
        <v>42065</v>
      </c>
      <c r="B4142" t="s">
        <v>599</v>
      </c>
      <c r="C4142" s="34">
        <v>1829</v>
      </c>
      <c r="D4142" s="34"/>
    </row>
    <row r="4143" spans="1:4" hidden="1" x14ac:dyDescent="0.25">
      <c r="A4143" s="4">
        <v>42101</v>
      </c>
      <c r="B4143" t="s">
        <v>599</v>
      </c>
      <c r="C4143" s="34">
        <v>1829</v>
      </c>
      <c r="D4143" s="34"/>
    </row>
    <row r="4144" spans="1:4" hidden="1" x14ac:dyDescent="0.25">
      <c r="A4144" s="4">
        <v>42138</v>
      </c>
      <c r="B4144" t="s">
        <v>602</v>
      </c>
      <c r="C4144" s="34">
        <v>2475</v>
      </c>
      <c r="D4144" s="34"/>
    </row>
    <row r="4145" spans="1:4" hidden="1" x14ac:dyDescent="0.25">
      <c r="A4145" s="4">
        <v>42150</v>
      </c>
      <c r="B4145" t="s">
        <v>601</v>
      </c>
      <c r="C4145" s="34">
        <v>3302.46</v>
      </c>
      <c r="D4145" s="34"/>
    </row>
    <row r="4146" spans="1:4" hidden="1" x14ac:dyDescent="0.25">
      <c r="A4146" s="4">
        <v>42150</v>
      </c>
      <c r="B4146" t="s">
        <v>601</v>
      </c>
      <c r="C4146" s="34">
        <v>4838.3</v>
      </c>
      <c r="D4146" s="34"/>
    </row>
    <row r="4147" spans="1:4" hidden="1" x14ac:dyDescent="0.25">
      <c r="A4147" s="4">
        <v>42185</v>
      </c>
      <c r="B4147" t="s">
        <v>14</v>
      </c>
      <c r="C4147" s="36">
        <f>SUM(C4139:C4146)</f>
        <v>19150.009999999998</v>
      </c>
      <c r="D4147" s="36">
        <f>SUM(D4139:D4146)</f>
        <v>0</v>
      </c>
    </row>
    <row r="4148" spans="1:4" hidden="1" x14ac:dyDescent="0.25">
      <c r="A4148" s="4"/>
      <c r="B4148" s="4" t="s">
        <v>15</v>
      </c>
      <c r="C4148" s="34">
        <f>IF(C4147&gt;D4147,C4147-D4147," ")</f>
        <v>19150.009999999998</v>
      </c>
      <c r="D4148" s="34" t="str">
        <f>IF(D4147&gt;C4147,D4147-C4147," ")</f>
        <v xml:space="preserve"> </v>
      </c>
    </row>
    <row r="4149" spans="1:4" hidden="1" x14ac:dyDescent="0.25">
      <c r="A4149" s="4">
        <v>42191</v>
      </c>
      <c r="B4149" t="s">
        <v>615</v>
      </c>
      <c r="C4149" s="34">
        <v>1333.05</v>
      </c>
      <c r="D4149" s="34"/>
    </row>
    <row r="4150" spans="1:4" hidden="1" x14ac:dyDescent="0.25">
      <c r="A4150" s="4">
        <v>42303</v>
      </c>
      <c r="B4150" t="s">
        <v>633</v>
      </c>
      <c r="C4150" s="34">
        <v>162</v>
      </c>
      <c r="D4150" s="34"/>
    </row>
    <row r="4151" spans="1:4" hidden="1" x14ac:dyDescent="0.25">
      <c r="A4151" s="4">
        <v>42361</v>
      </c>
      <c r="B4151" t="s">
        <v>639</v>
      </c>
      <c r="C4151" s="34">
        <v>162</v>
      </c>
      <c r="D4151" s="34"/>
    </row>
    <row r="4152" spans="1:4" hidden="1" x14ac:dyDescent="0.25">
      <c r="A4152" s="4">
        <v>42373</v>
      </c>
      <c r="B4152" t="s">
        <v>641</v>
      </c>
      <c r="C4152" s="34">
        <v>2.5</v>
      </c>
      <c r="D4152" s="34"/>
    </row>
    <row r="4153" spans="1:4" hidden="1" x14ac:dyDescent="0.25">
      <c r="A4153" s="4">
        <v>42478</v>
      </c>
      <c r="B4153" t="s">
        <v>657</v>
      </c>
      <c r="C4153" s="34">
        <v>162</v>
      </c>
      <c r="D4153" s="34"/>
    </row>
    <row r="4154" spans="1:4" hidden="1" x14ac:dyDescent="0.25">
      <c r="A4154" s="4">
        <v>42509</v>
      </c>
      <c r="B4154" t="s">
        <v>659</v>
      </c>
      <c r="C4154" s="34"/>
      <c r="D4154" s="34">
        <v>3906.54</v>
      </c>
    </row>
    <row r="4155" spans="1:4" hidden="1" x14ac:dyDescent="0.25">
      <c r="A4155" s="4">
        <v>42513</v>
      </c>
      <c r="B4155" t="s">
        <v>660</v>
      </c>
      <c r="C4155" s="34">
        <v>5609.94</v>
      </c>
      <c r="D4155" s="34"/>
    </row>
    <row r="4156" spans="1:4" hidden="1" x14ac:dyDescent="0.25">
      <c r="A4156" s="4">
        <v>42513</v>
      </c>
      <c r="B4156" t="s">
        <v>661</v>
      </c>
      <c r="C4156" s="34">
        <v>3799.99</v>
      </c>
      <c r="D4156" s="34"/>
    </row>
    <row r="4157" spans="1:4" hidden="1" x14ac:dyDescent="0.25">
      <c r="A4157" s="4">
        <v>42517</v>
      </c>
      <c r="B4157" t="s">
        <v>663</v>
      </c>
      <c r="C4157" s="34">
        <v>60</v>
      </c>
      <c r="D4157" s="34"/>
    </row>
    <row r="4158" spans="1:4" hidden="1" x14ac:dyDescent="0.25">
      <c r="A4158" s="4">
        <v>42520</v>
      </c>
      <c r="B4158" t="s">
        <v>664</v>
      </c>
      <c r="C4158" s="34">
        <v>2750</v>
      </c>
      <c r="D4158" s="34"/>
    </row>
    <row r="4159" spans="1:4" hidden="1" x14ac:dyDescent="0.25">
      <c r="A4159" s="4">
        <v>42551</v>
      </c>
      <c r="B4159" t="s">
        <v>14</v>
      </c>
      <c r="C4159" s="36">
        <f>SUM(C4149:C4158)</f>
        <v>14041.48</v>
      </c>
      <c r="D4159" s="36">
        <f>SUM(D4149:D4158)</f>
        <v>3906.54</v>
      </c>
    </row>
    <row r="4160" spans="1:4" hidden="1" x14ac:dyDescent="0.25">
      <c r="A4160" s="4"/>
      <c r="B4160" s="4" t="s">
        <v>15</v>
      </c>
      <c r="C4160" s="34">
        <f>IF(C4159&gt;D4159,C4159-D4159," ")</f>
        <v>10134.939999999999</v>
      </c>
      <c r="D4160" s="34" t="str">
        <f>IF(D4159&gt;C4159,D4159-C4159," ")</f>
        <v xml:space="preserve"> </v>
      </c>
    </row>
    <row r="4161" spans="1:4" hidden="1" x14ac:dyDescent="0.25">
      <c r="A4161" s="4">
        <v>42555</v>
      </c>
      <c r="B4161" s="3" t="s">
        <v>666</v>
      </c>
      <c r="C4161" s="37">
        <v>1408.8</v>
      </c>
      <c r="D4161" s="37"/>
    </row>
    <row r="4162" spans="1:4" hidden="1" x14ac:dyDescent="0.25">
      <c r="A4162" s="4">
        <v>42562</v>
      </c>
      <c r="B4162" s="3" t="s">
        <v>669</v>
      </c>
      <c r="C4162" s="37">
        <v>875</v>
      </c>
      <c r="D4162" s="37"/>
    </row>
    <row r="4163" spans="1:4" hidden="1" x14ac:dyDescent="0.25">
      <c r="A4163" s="4">
        <v>42662</v>
      </c>
      <c r="B4163" s="3" t="s">
        <v>686</v>
      </c>
      <c r="C4163" s="37">
        <v>337</v>
      </c>
      <c r="D4163" s="37"/>
    </row>
    <row r="4164" spans="1:4" hidden="1" x14ac:dyDescent="0.25">
      <c r="A4164" s="4">
        <v>42725</v>
      </c>
      <c r="B4164" s="3" t="s">
        <v>692</v>
      </c>
      <c r="C4164" s="37">
        <v>337</v>
      </c>
      <c r="D4164" s="37"/>
    </row>
    <row r="4165" spans="1:4" hidden="1" x14ac:dyDescent="0.25">
      <c r="A4165" s="4">
        <v>42835</v>
      </c>
      <c r="B4165" s="3" t="s">
        <v>708</v>
      </c>
      <c r="C4165" s="37">
        <v>337</v>
      </c>
      <c r="D4165" s="37"/>
    </row>
    <row r="4166" spans="1:4" hidden="1" x14ac:dyDescent="0.25">
      <c r="A4166" s="4">
        <v>42878</v>
      </c>
      <c r="B4166" s="3" t="s">
        <v>712</v>
      </c>
      <c r="C4166" s="37">
        <v>2805</v>
      </c>
      <c r="D4166" s="37"/>
    </row>
    <row r="4167" spans="1:4" hidden="1" x14ac:dyDescent="0.25">
      <c r="A4167" s="4">
        <v>42878</v>
      </c>
      <c r="B4167" s="3" t="s">
        <v>713</v>
      </c>
      <c r="C4167" s="37">
        <v>6542.46</v>
      </c>
      <c r="D4167" s="37"/>
    </row>
    <row r="4168" spans="1:4" hidden="1" x14ac:dyDescent="0.25">
      <c r="A4168" s="4">
        <v>42878</v>
      </c>
      <c r="B4168" s="3" t="s">
        <v>714</v>
      </c>
      <c r="C4168" s="37">
        <v>4406.62</v>
      </c>
      <c r="D4168" s="37"/>
    </row>
    <row r="4169" spans="1:4" hidden="1" x14ac:dyDescent="0.25">
      <c r="A4169" s="4">
        <v>42886</v>
      </c>
      <c r="B4169" s="3" t="s">
        <v>717</v>
      </c>
      <c r="C4169" s="34"/>
      <c r="D4169" s="34">
        <v>2115.4899999999998</v>
      </c>
    </row>
    <row r="4170" spans="1:4" hidden="1" x14ac:dyDescent="0.25">
      <c r="A4170" s="4">
        <v>42905</v>
      </c>
      <c r="B4170" s="3" t="s">
        <v>719</v>
      </c>
      <c r="C4170" s="37">
        <v>1448.1</v>
      </c>
      <c r="D4170" s="37"/>
    </row>
    <row r="4171" spans="1:4" hidden="1" x14ac:dyDescent="0.25">
      <c r="A4171" s="4">
        <v>42916</v>
      </c>
      <c r="B4171" t="s">
        <v>14</v>
      </c>
      <c r="C4171" s="36">
        <f>SUM(C4161:C4170)</f>
        <v>18496.98</v>
      </c>
      <c r="D4171" s="36">
        <f>SUM(D4161:D4170)</f>
        <v>2115.4899999999998</v>
      </c>
    </row>
    <row r="4172" spans="1:4" hidden="1" x14ac:dyDescent="0.25">
      <c r="A4172" s="4"/>
      <c r="B4172" s="4" t="s">
        <v>15</v>
      </c>
      <c r="C4172" s="34">
        <f>IF(C4171&gt;D4171,C4171-D4171," ")</f>
        <v>16381.49</v>
      </c>
      <c r="D4172" s="34" t="str">
        <f>IF(D4171&gt;C4171,D4171-C4171," ")</f>
        <v xml:space="preserve"> </v>
      </c>
    </row>
    <row r="4173" spans="1:4" hidden="1" x14ac:dyDescent="0.25">
      <c r="A4173" s="4">
        <v>43213</v>
      </c>
      <c r="B4173" s="4" t="s">
        <v>761</v>
      </c>
      <c r="C4173" s="34">
        <v>2860</v>
      </c>
      <c r="D4173" s="34"/>
    </row>
    <row r="4174" spans="1:4" hidden="1" x14ac:dyDescent="0.25">
      <c r="A4174" s="4">
        <v>43241</v>
      </c>
      <c r="B4174" s="4" t="s">
        <v>762</v>
      </c>
      <c r="C4174" s="34">
        <v>5177.87</v>
      </c>
      <c r="D4174" s="34"/>
    </row>
    <row r="4175" spans="1:4" hidden="1" x14ac:dyDescent="0.25">
      <c r="A4175" s="4">
        <v>43241</v>
      </c>
      <c r="B4175" s="4" t="s">
        <v>762</v>
      </c>
      <c r="C4175" s="34">
        <v>7690.16</v>
      </c>
      <c r="D4175" s="34"/>
    </row>
    <row r="4176" spans="1:4" hidden="1" x14ac:dyDescent="0.25">
      <c r="A4176" s="4">
        <v>43249</v>
      </c>
      <c r="B4176" s="4" t="s">
        <v>763</v>
      </c>
      <c r="C4176" s="34"/>
      <c r="D4176" s="34">
        <v>1736.32</v>
      </c>
    </row>
    <row r="4177" spans="1:4" hidden="1" x14ac:dyDescent="0.25">
      <c r="A4177" s="4">
        <v>43276</v>
      </c>
      <c r="B4177" s="4" t="s">
        <v>765</v>
      </c>
      <c r="C4177" s="34">
        <v>1583.85</v>
      </c>
      <c r="D4177" s="34"/>
    </row>
    <row r="4178" spans="1:4" hidden="1" x14ac:dyDescent="0.25">
      <c r="A4178" s="4">
        <v>43042</v>
      </c>
      <c r="B4178" s="4" t="s">
        <v>775</v>
      </c>
      <c r="C4178" s="34">
        <v>108.48</v>
      </c>
      <c r="D4178" s="34"/>
    </row>
    <row r="4179" spans="1:4" hidden="1" x14ac:dyDescent="0.25">
      <c r="A4179" s="4">
        <v>43042</v>
      </c>
      <c r="B4179" s="4" t="s">
        <v>776</v>
      </c>
      <c r="C4179" s="34">
        <v>62.16</v>
      </c>
      <c r="D4179" s="34"/>
    </row>
    <row r="4180" spans="1:4" hidden="1" x14ac:dyDescent="0.25">
      <c r="A4180" s="4">
        <v>43074</v>
      </c>
      <c r="B4180" s="4" t="s">
        <v>775</v>
      </c>
      <c r="C4180" s="34">
        <v>238.79</v>
      </c>
      <c r="D4180" s="34"/>
    </row>
    <row r="4181" spans="1:4" hidden="1" x14ac:dyDescent="0.25">
      <c r="A4181" s="4">
        <v>43074</v>
      </c>
      <c r="B4181" s="4" t="s">
        <v>776</v>
      </c>
      <c r="C4181" s="34">
        <v>81.75</v>
      </c>
      <c r="D4181" s="34"/>
    </row>
    <row r="4182" spans="1:4" hidden="1" x14ac:dyDescent="0.25">
      <c r="A4182" s="4">
        <v>43104</v>
      </c>
      <c r="B4182" s="4" t="s">
        <v>775</v>
      </c>
      <c r="C4182" s="34">
        <v>249.35</v>
      </c>
      <c r="D4182" s="34"/>
    </row>
    <row r="4183" spans="1:4" hidden="1" x14ac:dyDescent="0.25">
      <c r="A4183" s="4">
        <v>43104</v>
      </c>
      <c r="B4183" s="4" t="s">
        <v>776</v>
      </c>
      <c r="C4183" s="34">
        <v>85.09</v>
      </c>
      <c r="D4183" s="34"/>
    </row>
    <row r="4184" spans="1:4" hidden="1" x14ac:dyDescent="0.25">
      <c r="A4184" s="4">
        <v>43136</v>
      </c>
      <c r="B4184" s="4" t="s">
        <v>776</v>
      </c>
      <c r="C4184" s="34">
        <v>85</v>
      </c>
      <c r="D4184" s="34"/>
    </row>
    <row r="4185" spans="1:4" hidden="1" x14ac:dyDescent="0.25">
      <c r="A4185" s="4">
        <v>43136</v>
      </c>
      <c r="B4185" s="4" t="s">
        <v>775</v>
      </c>
      <c r="C4185" s="34">
        <v>249.02</v>
      </c>
      <c r="D4185" s="34"/>
    </row>
    <row r="4186" spans="1:4" hidden="1" x14ac:dyDescent="0.25">
      <c r="A4186" s="4">
        <v>43164</v>
      </c>
      <c r="B4186" s="4" t="s">
        <v>775</v>
      </c>
      <c r="C4186" s="34">
        <v>221.71</v>
      </c>
      <c r="D4186" s="34"/>
    </row>
    <row r="4187" spans="1:4" hidden="1" x14ac:dyDescent="0.25">
      <c r="A4187" s="4">
        <v>43164</v>
      </c>
      <c r="B4187" s="4" t="s">
        <v>776</v>
      </c>
      <c r="C4187" s="34">
        <v>65.989999999999995</v>
      </c>
      <c r="D4187" s="34"/>
    </row>
    <row r="4188" spans="1:4" hidden="1" x14ac:dyDescent="0.25">
      <c r="A4188" s="4">
        <v>43196</v>
      </c>
      <c r="B4188" s="4" t="s">
        <v>775</v>
      </c>
      <c r="C4188" s="34">
        <v>244.52</v>
      </c>
      <c r="D4188" s="34"/>
    </row>
    <row r="4189" spans="1:4" hidden="1" x14ac:dyDescent="0.25">
      <c r="A4189" s="4">
        <v>43196</v>
      </c>
      <c r="B4189" s="4" t="s">
        <v>776</v>
      </c>
      <c r="C4189" s="34">
        <v>72.61</v>
      </c>
      <c r="D4189" s="34"/>
    </row>
    <row r="4190" spans="1:4" hidden="1" x14ac:dyDescent="0.25">
      <c r="A4190" s="4">
        <v>43223</v>
      </c>
      <c r="B4190" s="4" t="s">
        <v>775</v>
      </c>
      <c r="C4190" s="34">
        <v>236.33</v>
      </c>
      <c r="D4190" s="34"/>
    </row>
    <row r="4191" spans="1:4" hidden="1" x14ac:dyDescent="0.25">
      <c r="A4191" s="4">
        <v>43223</v>
      </c>
      <c r="B4191" s="4" t="s">
        <v>776</v>
      </c>
      <c r="C4191" s="34">
        <v>70.319999999999993</v>
      </c>
      <c r="D4191" s="34"/>
    </row>
    <row r="4192" spans="1:4" hidden="1" x14ac:dyDescent="0.25">
      <c r="A4192" s="4">
        <v>43256</v>
      </c>
      <c r="B4192" s="4" t="s">
        <v>776</v>
      </c>
      <c r="C4192" s="34">
        <v>73.94</v>
      </c>
      <c r="D4192" s="34"/>
    </row>
    <row r="4193" spans="1:4" hidden="1" x14ac:dyDescent="0.25">
      <c r="A4193" s="4">
        <v>43256</v>
      </c>
      <c r="B4193" s="4" t="s">
        <v>775</v>
      </c>
      <c r="C4193" s="34">
        <v>249.95</v>
      </c>
      <c r="D4193" s="34"/>
    </row>
    <row r="4194" spans="1:4" hidden="1" x14ac:dyDescent="0.25">
      <c r="A4194" s="4"/>
      <c r="B4194" s="4"/>
      <c r="C4194" s="34"/>
      <c r="D4194" s="34"/>
    </row>
    <row r="4195" spans="1:4" hidden="1" x14ac:dyDescent="0.25">
      <c r="A4195" s="4"/>
      <c r="B4195" s="4"/>
      <c r="C4195" s="34"/>
      <c r="D4195" s="34"/>
    </row>
    <row r="4196" spans="1:4" hidden="1" x14ac:dyDescent="0.25">
      <c r="A4196" s="4"/>
      <c r="B4196" s="4"/>
      <c r="C4196" s="34"/>
      <c r="D4196" s="34"/>
    </row>
    <row r="4197" spans="1:4" hidden="1" x14ac:dyDescent="0.25">
      <c r="A4197" s="4"/>
      <c r="B4197" s="4"/>
      <c r="C4197" s="34"/>
      <c r="D4197" s="34"/>
    </row>
    <row r="4198" spans="1:4" hidden="1" x14ac:dyDescent="0.25">
      <c r="A4198" s="4">
        <v>43281</v>
      </c>
      <c r="B4198" t="s">
        <v>14</v>
      </c>
      <c r="C4198" s="36">
        <f>SUM(C4173:C4197)</f>
        <v>19706.89</v>
      </c>
      <c r="D4198" s="36">
        <f>SUM(D4173:D4197)</f>
        <v>1736.32</v>
      </c>
    </row>
    <row r="4199" spans="1:4" hidden="1" x14ac:dyDescent="0.25">
      <c r="A4199" s="4"/>
      <c r="B4199" s="4" t="s">
        <v>15</v>
      </c>
      <c r="C4199" s="34">
        <f>IF(C4198&gt;D4198,C4198-D4198," ")</f>
        <v>17970.57</v>
      </c>
      <c r="D4199" s="34" t="str">
        <f>IF(D4198&gt;C4198,D4198-C4198," ")</f>
        <v xml:space="preserve"> </v>
      </c>
    </row>
    <row r="4200" spans="1:4" hidden="1" x14ac:dyDescent="0.25">
      <c r="A4200" s="4">
        <v>43556</v>
      </c>
      <c r="B4200" s="4" t="s">
        <v>818</v>
      </c>
      <c r="C4200" s="34">
        <v>3080</v>
      </c>
      <c r="D4200" s="34"/>
    </row>
    <row r="4201" spans="1:4" hidden="1" x14ac:dyDescent="0.25">
      <c r="A4201" s="4">
        <v>43620</v>
      </c>
      <c r="B4201" s="4" t="s">
        <v>821</v>
      </c>
      <c r="C4201" s="34">
        <v>1503.15</v>
      </c>
      <c r="D4201" s="34"/>
    </row>
    <row r="4202" spans="1:4" hidden="1" x14ac:dyDescent="0.25">
      <c r="A4202" s="4">
        <v>43285</v>
      </c>
      <c r="B4202" s="4" t="s">
        <v>824</v>
      </c>
      <c r="C4202" s="34">
        <v>243.8</v>
      </c>
      <c r="D4202" s="34"/>
    </row>
    <row r="4203" spans="1:4" hidden="1" x14ac:dyDescent="0.25">
      <c r="A4203" s="4">
        <v>43285</v>
      </c>
      <c r="B4203" s="4" t="s">
        <v>825</v>
      </c>
      <c r="C4203" s="34">
        <v>72.09</v>
      </c>
      <c r="D4203" s="34"/>
    </row>
    <row r="4204" spans="1:4" hidden="1" x14ac:dyDescent="0.25">
      <c r="A4204" s="4">
        <v>43315</v>
      </c>
      <c r="B4204" s="4" t="s">
        <v>834</v>
      </c>
      <c r="C4204" s="34">
        <v>253.35</v>
      </c>
      <c r="D4204" s="34"/>
    </row>
    <row r="4205" spans="1:4" hidden="1" x14ac:dyDescent="0.25">
      <c r="A4205" s="4">
        <v>43315</v>
      </c>
      <c r="B4205" s="4" t="s">
        <v>835</v>
      </c>
      <c r="C4205" s="34">
        <v>74.64</v>
      </c>
      <c r="D4205" s="34"/>
    </row>
    <row r="4206" spans="1:4" hidden="1" x14ac:dyDescent="0.25">
      <c r="A4206" s="4">
        <v>43348</v>
      </c>
      <c r="B4206" s="4" t="s">
        <v>837</v>
      </c>
      <c r="C4206" s="34">
        <v>261.7</v>
      </c>
      <c r="D4206" s="34"/>
    </row>
    <row r="4207" spans="1:4" hidden="1" x14ac:dyDescent="0.25">
      <c r="A4207" s="4">
        <v>43348</v>
      </c>
      <c r="B4207" s="4" t="s">
        <v>838</v>
      </c>
      <c r="C4207" s="34">
        <v>75.930000000000007</v>
      </c>
      <c r="D4207" s="34"/>
    </row>
    <row r="4208" spans="1:4" hidden="1" x14ac:dyDescent="0.25">
      <c r="A4208" s="4">
        <v>43378</v>
      </c>
      <c r="B4208" s="4" t="s">
        <v>846</v>
      </c>
      <c r="C4208" s="34">
        <v>255.29</v>
      </c>
      <c r="D4208" s="34"/>
    </row>
    <row r="4209" spans="1:4" hidden="1" x14ac:dyDescent="0.25">
      <c r="A4209" s="4">
        <v>43378</v>
      </c>
      <c r="B4209" s="4" t="s">
        <v>847</v>
      </c>
      <c r="C4209" s="34">
        <v>73.81</v>
      </c>
      <c r="D4209" s="34"/>
    </row>
    <row r="4210" spans="1:4" hidden="1" x14ac:dyDescent="0.25">
      <c r="A4210" s="4">
        <v>43409</v>
      </c>
      <c r="B4210" s="4" t="s">
        <v>855</v>
      </c>
      <c r="C4210" s="34">
        <v>76.36</v>
      </c>
      <c r="D4210" s="34"/>
    </row>
    <row r="4211" spans="1:4" hidden="1" x14ac:dyDescent="0.25">
      <c r="A4211" s="4">
        <v>43409</v>
      </c>
      <c r="B4211" s="4" t="s">
        <v>856</v>
      </c>
      <c r="C4211" s="34">
        <v>259.56</v>
      </c>
      <c r="D4211" s="34"/>
    </row>
    <row r="4212" spans="1:4" hidden="1" x14ac:dyDescent="0.25">
      <c r="A4212" s="4">
        <v>43439</v>
      </c>
      <c r="B4212" s="4" t="s">
        <v>858</v>
      </c>
      <c r="C4212" s="34">
        <v>260.27999999999997</v>
      </c>
      <c r="D4212" s="34"/>
    </row>
    <row r="4213" spans="1:4" hidden="1" x14ac:dyDescent="0.25">
      <c r="A4213" s="4">
        <v>43439</v>
      </c>
      <c r="B4213" s="4" t="s">
        <v>859</v>
      </c>
      <c r="C4213" s="34">
        <v>75.95</v>
      </c>
      <c r="D4213" s="34"/>
    </row>
    <row r="4214" spans="1:4" hidden="1" x14ac:dyDescent="0.25">
      <c r="A4214" s="4">
        <v>43469</v>
      </c>
      <c r="B4214" s="4" t="s">
        <v>864</v>
      </c>
      <c r="C4214" s="34">
        <v>267.02999999999997</v>
      </c>
      <c r="D4214" s="34"/>
    </row>
    <row r="4215" spans="1:4" hidden="1" x14ac:dyDescent="0.25">
      <c r="A4215" s="4">
        <v>43469</v>
      </c>
      <c r="B4215" s="4" t="s">
        <v>865</v>
      </c>
      <c r="C4215" s="34">
        <v>78.37</v>
      </c>
      <c r="D4215" s="34"/>
    </row>
    <row r="4216" spans="1:4" hidden="1" x14ac:dyDescent="0.25">
      <c r="A4216" s="4">
        <v>43502</v>
      </c>
      <c r="B4216" s="4" t="s">
        <v>872</v>
      </c>
      <c r="C4216" s="34">
        <v>273.74</v>
      </c>
      <c r="D4216" s="34"/>
    </row>
    <row r="4217" spans="1:4" hidden="1" x14ac:dyDescent="0.25">
      <c r="A4217" s="4">
        <v>43502</v>
      </c>
      <c r="B4217" s="4" t="s">
        <v>873</v>
      </c>
      <c r="C4217" s="34">
        <v>79.25</v>
      </c>
      <c r="D4217" s="34"/>
    </row>
    <row r="4218" spans="1:4" hidden="1" x14ac:dyDescent="0.25">
      <c r="A4218" s="4">
        <v>43529</v>
      </c>
      <c r="B4218" s="4" t="s">
        <v>877</v>
      </c>
      <c r="C4218" s="34">
        <v>260.41000000000003</v>
      </c>
      <c r="D4218" s="34"/>
    </row>
    <row r="4219" spans="1:4" hidden="1" x14ac:dyDescent="0.25">
      <c r="A4219" s="4">
        <v>43529</v>
      </c>
      <c r="B4219" s="4" t="s">
        <v>878</v>
      </c>
      <c r="C4219" s="34">
        <v>72.5</v>
      </c>
      <c r="D4219" s="34"/>
    </row>
    <row r="4220" spans="1:4" hidden="1" x14ac:dyDescent="0.25">
      <c r="A4220" s="4">
        <v>43558</v>
      </c>
      <c r="B4220" s="4" t="s">
        <v>884</v>
      </c>
      <c r="C4220" s="34">
        <v>299.64999999999998</v>
      </c>
      <c r="D4220" s="34"/>
    </row>
    <row r="4221" spans="1:4" hidden="1" x14ac:dyDescent="0.25">
      <c r="A4221" s="4">
        <v>43558</v>
      </c>
      <c r="B4221" s="4" t="s">
        <v>885</v>
      </c>
      <c r="C4221" s="34">
        <v>81.02</v>
      </c>
      <c r="D4221" s="34"/>
    </row>
    <row r="4222" spans="1:4" hidden="1" x14ac:dyDescent="0.25">
      <c r="A4222" s="4">
        <v>43588</v>
      </c>
      <c r="B4222" s="4" t="s">
        <v>892</v>
      </c>
      <c r="C4222" s="34">
        <v>297.79000000000002</v>
      </c>
      <c r="D4222" s="34"/>
    </row>
    <row r="4223" spans="1:4" hidden="1" x14ac:dyDescent="0.25">
      <c r="A4223" s="4">
        <v>43588</v>
      </c>
      <c r="B4223" s="4" t="s">
        <v>893</v>
      </c>
      <c r="C4223" s="34">
        <v>79.069999999999993</v>
      </c>
      <c r="D4223" s="34"/>
    </row>
    <row r="4224" spans="1:4" hidden="1" x14ac:dyDescent="0.25">
      <c r="A4224" s="4">
        <v>43601</v>
      </c>
      <c r="B4224" s="4" t="s">
        <v>897</v>
      </c>
      <c r="C4224" s="34">
        <v>4293.38</v>
      </c>
      <c r="D4224" s="34"/>
    </row>
    <row r="4225" spans="1:4" hidden="1" x14ac:dyDescent="0.25">
      <c r="A4225" s="4">
        <v>43614</v>
      </c>
      <c r="B4225" s="4" t="s">
        <v>899</v>
      </c>
      <c r="C4225" s="34">
        <v>9068.48</v>
      </c>
      <c r="D4225" s="34"/>
    </row>
    <row r="4226" spans="1:4" hidden="1" x14ac:dyDescent="0.25">
      <c r="A4226" s="4">
        <v>43619</v>
      </c>
      <c r="B4226" s="4" t="s">
        <v>901</v>
      </c>
      <c r="C4226" s="34">
        <v>6093.6</v>
      </c>
      <c r="D4226" s="34"/>
    </row>
    <row r="4227" spans="1:4" hidden="1" x14ac:dyDescent="0.25">
      <c r="A4227" s="4">
        <v>43621</v>
      </c>
      <c r="B4227" s="4" t="s">
        <v>902</v>
      </c>
      <c r="C4227" s="34">
        <v>82.43</v>
      </c>
      <c r="D4227" s="34"/>
    </row>
    <row r="4228" spans="1:4" hidden="1" x14ac:dyDescent="0.25">
      <c r="A4228" s="4">
        <v>43621</v>
      </c>
      <c r="B4228" s="4" t="s">
        <v>903</v>
      </c>
      <c r="C4228" s="34">
        <v>315.44</v>
      </c>
      <c r="D4228" s="34"/>
    </row>
    <row r="4229" spans="1:4" hidden="1" x14ac:dyDescent="0.25">
      <c r="A4229" s="4">
        <v>43646</v>
      </c>
      <c r="B4229" t="s">
        <v>14</v>
      </c>
      <c r="C4229" s="36">
        <f>SUM(C4200:C4228)</f>
        <v>28208.069999999996</v>
      </c>
      <c r="D4229" s="36">
        <f>SUM(D4200:D4228)</f>
        <v>0</v>
      </c>
    </row>
    <row r="4230" spans="1:4" hidden="1" x14ac:dyDescent="0.25">
      <c r="A4230" s="4"/>
      <c r="B4230" s="4" t="s">
        <v>15</v>
      </c>
      <c r="C4230" s="34">
        <f>IF(C4229&gt;D4229,C4229-D4229," ")</f>
        <v>28208.069999999996</v>
      </c>
      <c r="D4230" s="34" t="str">
        <f>IF(D4229&gt;C4229,D4229-C4229," ")</f>
        <v xml:space="preserve"> </v>
      </c>
    </row>
    <row r="4231" spans="1:4" hidden="1" x14ac:dyDescent="0.25">
      <c r="A4231" s="4">
        <v>43991</v>
      </c>
      <c r="B4231" s="4" t="s">
        <v>765</v>
      </c>
      <c r="C4231" s="34">
        <v>1162.76</v>
      </c>
      <c r="D4231" s="34"/>
    </row>
    <row r="4232" spans="1:4" hidden="1" x14ac:dyDescent="0.25">
      <c r="A4232" s="4">
        <v>43649</v>
      </c>
      <c r="B4232" s="4" t="s">
        <v>919</v>
      </c>
      <c r="C4232" s="34">
        <v>308.47000000000003</v>
      </c>
      <c r="D4232" s="34"/>
    </row>
    <row r="4233" spans="1:4" hidden="1" x14ac:dyDescent="0.25">
      <c r="A4233" s="4">
        <v>43649</v>
      </c>
      <c r="B4233" s="4" t="s">
        <v>920</v>
      </c>
      <c r="C4233" s="34">
        <v>79.5</v>
      </c>
      <c r="D4233" s="34"/>
    </row>
    <row r="4234" spans="1:4" hidden="1" x14ac:dyDescent="0.25">
      <c r="A4234" s="4">
        <v>43682</v>
      </c>
      <c r="B4234" s="4" t="s">
        <v>927</v>
      </c>
      <c r="C4234" s="34">
        <v>83.15</v>
      </c>
      <c r="D4234" s="34"/>
    </row>
    <row r="4235" spans="1:4" hidden="1" x14ac:dyDescent="0.25">
      <c r="A4235" s="4">
        <v>43682</v>
      </c>
      <c r="B4235" s="4" t="s">
        <v>928</v>
      </c>
      <c r="C4235" s="34">
        <v>329.2</v>
      </c>
      <c r="D4235" s="34"/>
    </row>
    <row r="4236" spans="1:4" hidden="1" x14ac:dyDescent="0.25">
      <c r="A4236" s="4">
        <v>43712</v>
      </c>
      <c r="B4236" s="4" t="s">
        <v>932</v>
      </c>
      <c r="C4236" s="34">
        <v>328.06</v>
      </c>
      <c r="D4236" s="34"/>
    </row>
    <row r="4237" spans="1:4" hidden="1" x14ac:dyDescent="0.25">
      <c r="A4237" s="4">
        <v>43712</v>
      </c>
      <c r="B4237" s="4" t="s">
        <v>933</v>
      </c>
      <c r="C4237" s="34">
        <v>82.66</v>
      </c>
      <c r="D4237" s="34"/>
    </row>
    <row r="4238" spans="1:4" hidden="1" x14ac:dyDescent="0.25">
      <c r="A4238" s="4">
        <v>43724</v>
      </c>
      <c r="B4238" s="4" t="s">
        <v>937</v>
      </c>
      <c r="C4238" s="34">
        <v>4554.66</v>
      </c>
      <c r="D4238" s="34"/>
    </row>
    <row r="4239" spans="1:4" hidden="1" x14ac:dyDescent="0.25">
      <c r="A4239" s="4">
        <v>43724</v>
      </c>
      <c r="B4239" s="4" t="s">
        <v>938</v>
      </c>
      <c r="C4239" s="34">
        <v>4940.32</v>
      </c>
      <c r="D4239" s="34"/>
    </row>
    <row r="4240" spans="1:4" hidden="1" x14ac:dyDescent="0.25">
      <c r="A4240" s="4">
        <v>43741</v>
      </c>
      <c r="B4240" s="4" t="s">
        <v>947</v>
      </c>
      <c r="C4240" s="34">
        <v>316.36</v>
      </c>
      <c r="D4240" s="34"/>
    </row>
    <row r="4241" spans="1:4" hidden="1" x14ac:dyDescent="0.25">
      <c r="A4241" s="4">
        <v>43741</v>
      </c>
      <c r="B4241" s="4" t="s">
        <v>948</v>
      </c>
      <c r="C4241" s="34">
        <v>80.489999999999995</v>
      </c>
      <c r="D4241" s="34"/>
    </row>
    <row r="4242" spans="1:4" hidden="1" x14ac:dyDescent="0.25">
      <c r="A4242" s="4">
        <v>43747</v>
      </c>
      <c r="B4242" s="4" t="s">
        <v>1001</v>
      </c>
      <c r="C4242" s="34"/>
      <c r="D4242" s="34">
        <v>6194.32</v>
      </c>
    </row>
    <row r="4243" spans="1:4" hidden="1" x14ac:dyDescent="0.25">
      <c r="A4243" s="4">
        <v>43747</v>
      </c>
      <c r="B4243" s="4" t="s">
        <v>1002</v>
      </c>
      <c r="C4243" s="34"/>
      <c r="D4243" s="34">
        <v>4162.3</v>
      </c>
    </row>
    <row r="4244" spans="1:4" hidden="1" x14ac:dyDescent="0.25">
      <c r="A4244" s="4">
        <v>43774</v>
      </c>
      <c r="B4244" s="4" t="s">
        <v>951</v>
      </c>
      <c r="C4244" s="34">
        <v>324.89999999999998</v>
      </c>
      <c r="D4244" s="34"/>
    </row>
    <row r="4245" spans="1:4" hidden="1" x14ac:dyDescent="0.25">
      <c r="A4245" s="4">
        <v>43774</v>
      </c>
      <c r="B4245" s="4" t="s">
        <v>952</v>
      </c>
      <c r="C4245" s="34">
        <v>83.11</v>
      </c>
      <c r="D4245" s="34"/>
    </row>
    <row r="4246" spans="1:4" hidden="1" x14ac:dyDescent="0.25">
      <c r="A4246" s="4">
        <v>43803</v>
      </c>
      <c r="B4246" s="4" t="s">
        <v>959</v>
      </c>
      <c r="C4246" s="34">
        <v>318.24</v>
      </c>
      <c r="D4246" s="34"/>
    </row>
    <row r="4247" spans="1:4" hidden="1" x14ac:dyDescent="0.25">
      <c r="A4247" s="4">
        <v>43803</v>
      </c>
      <c r="B4247" s="4" t="s">
        <v>960</v>
      </c>
      <c r="C4247" s="34">
        <v>76.569999999999993</v>
      </c>
      <c r="D4247" s="34"/>
    </row>
    <row r="4248" spans="1:4" hidden="1" x14ac:dyDescent="0.25">
      <c r="A4248" s="4">
        <v>43836</v>
      </c>
      <c r="B4248" s="4" t="s">
        <v>963</v>
      </c>
      <c r="C4248" s="34">
        <v>341.85</v>
      </c>
      <c r="D4248" s="34"/>
    </row>
    <row r="4249" spans="1:4" hidden="1" x14ac:dyDescent="0.25">
      <c r="A4249" s="4">
        <v>43836</v>
      </c>
      <c r="B4249" s="4" t="s">
        <v>964</v>
      </c>
      <c r="C4249" s="34">
        <v>82.12</v>
      </c>
      <c r="D4249" s="34"/>
    </row>
    <row r="4250" spans="1:4" hidden="1" x14ac:dyDescent="0.25">
      <c r="A4250" s="4">
        <v>43866</v>
      </c>
      <c r="B4250" s="4" t="s">
        <v>966</v>
      </c>
      <c r="C4250" s="34">
        <v>350.7</v>
      </c>
      <c r="D4250" s="34"/>
    </row>
    <row r="4251" spans="1:4" hidden="1" x14ac:dyDescent="0.25">
      <c r="A4251" s="4">
        <v>43866</v>
      </c>
      <c r="B4251" s="4" t="s">
        <v>967</v>
      </c>
      <c r="C4251" s="34">
        <v>83</v>
      </c>
      <c r="D4251" s="34"/>
    </row>
    <row r="4252" spans="1:4" hidden="1" x14ac:dyDescent="0.25">
      <c r="A4252" s="4">
        <v>43894</v>
      </c>
      <c r="B4252" s="4" t="s">
        <v>970</v>
      </c>
      <c r="C4252" s="34">
        <v>330.75</v>
      </c>
      <c r="D4252" s="34"/>
    </row>
    <row r="4253" spans="1:4" hidden="1" x14ac:dyDescent="0.25">
      <c r="A4253" s="4">
        <v>43894</v>
      </c>
      <c r="B4253" s="4" t="s">
        <v>971</v>
      </c>
      <c r="C4253" s="34">
        <v>77.13</v>
      </c>
      <c r="D4253" s="34"/>
    </row>
    <row r="4254" spans="1:4" hidden="1" x14ac:dyDescent="0.25">
      <c r="A4254" s="4">
        <v>43924</v>
      </c>
      <c r="B4254" s="4" t="s">
        <v>978</v>
      </c>
      <c r="C4254" s="34">
        <v>291.42</v>
      </c>
      <c r="D4254" s="34"/>
    </row>
    <row r="4255" spans="1:4" hidden="1" x14ac:dyDescent="0.25">
      <c r="A4255" s="4">
        <v>43924</v>
      </c>
      <c r="B4255" s="4" t="s">
        <v>979</v>
      </c>
      <c r="C4255" s="34">
        <v>75.45</v>
      </c>
      <c r="D4255" s="34"/>
    </row>
    <row r="4256" spans="1:4" hidden="1" x14ac:dyDescent="0.25">
      <c r="A4256" s="4">
        <v>43956</v>
      </c>
      <c r="B4256" s="4" t="s">
        <v>981</v>
      </c>
      <c r="C4256" s="34">
        <v>281.44</v>
      </c>
      <c r="D4256" s="34"/>
    </row>
    <row r="4257" spans="1:4" hidden="1" x14ac:dyDescent="0.25">
      <c r="A4257" s="4">
        <v>43956</v>
      </c>
      <c r="B4257" s="4" t="s">
        <v>982</v>
      </c>
      <c r="C4257" s="34">
        <v>57.79</v>
      </c>
      <c r="D4257" s="34"/>
    </row>
    <row r="4258" spans="1:4" hidden="1" x14ac:dyDescent="0.25">
      <c r="A4258" s="4">
        <v>43985</v>
      </c>
      <c r="B4258" s="4" t="s">
        <v>989</v>
      </c>
      <c r="C4258" s="34">
        <v>300</v>
      </c>
      <c r="D4258" s="34"/>
    </row>
    <row r="4259" spans="1:4" hidden="1" x14ac:dyDescent="0.25">
      <c r="A4259" s="4">
        <v>43985</v>
      </c>
      <c r="B4259" s="4" t="s">
        <v>990</v>
      </c>
      <c r="C4259" s="34">
        <v>60.56</v>
      </c>
      <c r="D4259" s="34"/>
    </row>
    <row r="4260" spans="1:4" hidden="1" x14ac:dyDescent="0.25">
      <c r="A4260" s="4">
        <v>43985</v>
      </c>
      <c r="B4260" s="4" t="s">
        <v>991</v>
      </c>
      <c r="C4260" s="34">
        <v>3080</v>
      </c>
      <c r="D4260" s="34"/>
    </row>
    <row r="4261" spans="1:4" hidden="1" x14ac:dyDescent="0.25">
      <c r="A4261" s="4"/>
      <c r="B4261" s="4"/>
      <c r="C4261" s="34"/>
      <c r="D4261" s="34"/>
    </row>
    <row r="4262" spans="1:4" hidden="1" x14ac:dyDescent="0.25">
      <c r="A4262" s="4"/>
      <c r="B4262" s="4"/>
      <c r="C4262" s="34"/>
      <c r="D4262" s="34"/>
    </row>
    <row r="4263" spans="1:4" hidden="1" x14ac:dyDescent="0.25">
      <c r="A4263" s="4">
        <v>44012</v>
      </c>
      <c r="B4263" t="s">
        <v>14</v>
      </c>
      <c r="C4263" s="36">
        <f>SUM(C4231:C4262)</f>
        <v>18480.660000000003</v>
      </c>
      <c r="D4263" s="36">
        <f>SUM(D4231:D4262)</f>
        <v>10356.619999999999</v>
      </c>
    </row>
    <row r="4264" spans="1:4" hidden="1" x14ac:dyDescent="0.25">
      <c r="A4264" s="4"/>
      <c r="B4264" s="4" t="s">
        <v>15</v>
      </c>
      <c r="C4264" s="34">
        <f>IF(C4263&gt;D4263,C4263-D4263," ")</f>
        <v>8124.0400000000045</v>
      </c>
      <c r="D4264" s="34" t="str">
        <f>IF(D4263&gt;C4263,D4263-C4263," ")</f>
        <v xml:space="preserve"> </v>
      </c>
    </row>
    <row r="4265" spans="1:4" hidden="1" x14ac:dyDescent="0.25">
      <c r="A4265" s="4">
        <v>44067</v>
      </c>
      <c r="B4265" s="4" t="s">
        <v>765</v>
      </c>
      <c r="C4265" s="34">
        <v>1539.9</v>
      </c>
      <c r="D4265" s="34"/>
    </row>
    <row r="4266" spans="1:4" hidden="1" x14ac:dyDescent="0.25">
      <c r="A4266" s="4">
        <v>44089</v>
      </c>
      <c r="B4266" s="4" t="s">
        <v>1005</v>
      </c>
      <c r="C4266" s="34">
        <v>5668.96</v>
      </c>
      <c r="D4266" s="34"/>
    </row>
    <row r="4267" spans="1:4" hidden="1" x14ac:dyDescent="0.25">
      <c r="A4267" s="4">
        <v>44089</v>
      </c>
      <c r="B4267" s="4" t="s">
        <v>1005</v>
      </c>
      <c r="C4267" s="34">
        <v>6031.3</v>
      </c>
      <c r="D4267" s="34"/>
    </row>
    <row r="4268" spans="1:4" hidden="1" x14ac:dyDescent="0.25">
      <c r="A4268" s="4">
        <v>44015</v>
      </c>
      <c r="B4268" s="4" t="s">
        <v>1080</v>
      </c>
      <c r="C4268" s="34">
        <v>59.01</v>
      </c>
      <c r="D4268" s="34"/>
    </row>
    <row r="4269" spans="1:4" hidden="1" x14ac:dyDescent="0.25">
      <c r="A4269" s="4">
        <v>44015</v>
      </c>
      <c r="B4269" s="4" t="s">
        <v>1008</v>
      </c>
      <c r="C4269" s="34">
        <v>299.87</v>
      </c>
      <c r="D4269" s="34"/>
    </row>
    <row r="4270" spans="1:4" hidden="1" x14ac:dyDescent="0.25">
      <c r="A4270" s="4">
        <v>44049</v>
      </c>
      <c r="B4270" s="4" t="s">
        <v>1011</v>
      </c>
      <c r="C4270" s="34">
        <v>312.3</v>
      </c>
      <c r="D4270" s="34"/>
    </row>
    <row r="4271" spans="1:4" hidden="1" x14ac:dyDescent="0.25">
      <c r="A4271" s="4">
        <v>44049</v>
      </c>
      <c r="B4271" s="4" t="s">
        <v>1012</v>
      </c>
      <c r="C4271" s="34">
        <v>60.77</v>
      </c>
      <c r="D4271" s="34"/>
    </row>
    <row r="4272" spans="1:4" hidden="1" x14ac:dyDescent="0.25">
      <c r="A4272" s="4">
        <v>44077</v>
      </c>
      <c r="B4272" s="4" t="s">
        <v>1017</v>
      </c>
      <c r="C4272" s="34">
        <v>315.23</v>
      </c>
      <c r="D4272" s="34"/>
    </row>
    <row r="4273" spans="1:4" hidden="1" x14ac:dyDescent="0.25">
      <c r="A4273" s="4">
        <v>44077</v>
      </c>
      <c r="B4273" s="4" t="s">
        <v>1018</v>
      </c>
      <c r="C4273" s="34">
        <v>59.35</v>
      </c>
      <c r="D4273" s="34"/>
    </row>
    <row r="4274" spans="1:4" hidden="1" x14ac:dyDescent="0.25">
      <c r="A4274" s="4">
        <v>44109</v>
      </c>
      <c r="B4274" s="4" t="s">
        <v>1025</v>
      </c>
      <c r="C4274" s="34">
        <v>225</v>
      </c>
      <c r="D4274" s="34"/>
    </row>
    <row r="4275" spans="1:4" hidden="1" x14ac:dyDescent="0.25">
      <c r="A4275" s="4">
        <v>44109</v>
      </c>
      <c r="B4275" s="4" t="s">
        <v>1026</v>
      </c>
      <c r="C4275" s="34">
        <v>300.18</v>
      </c>
      <c r="D4275" s="34"/>
    </row>
    <row r="4276" spans="1:4" hidden="1" x14ac:dyDescent="0.25">
      <c r="A4276" s="4">
        <v>44109</v>
      </c>
      <c r="B4276" s="4" t="s">
        <v>1027</v>
      </c>
      <c r="C4276" s="34">
        <v>59.28</v>
      </c>
      <c r="D4276" s="34"/>
    </row>
    <row r="4277" spans="1:4" hidden="1" x14ac:dyDescent="0.25">
      <c r="A4277" s="4">
        <v>44139</v>
      </c>
      <c r="B4277" s="4" t="s">
        <v>1035</v>
      </c>
      <c r="C4277" s="34">
        <v>310.69</v>
      </c>
      <c r="D4277" s="34"/>
    </row>
    <row r="4278" spans="1:4" hidden="1" x14ac:dyDescent="0.25">
      <c r="A4278" s="4">
        <v>44139</v>
      </c>
      <c r="B4278" s="4" t="s">
        <v>1036</v>
      </c>
      <c r="C4278" s="34">
        <v>60.79</v>
      </c>
      <c r="D4278" s="34"/>
    </row>
    <row r="4279" spans="1:4" hidden="1" x14ac:dyDescent="0.25">
      <c r="A4279" s="4">
        <v>44168</v>
      </c>
      <c r="B4279" s="4" t="s">
        <v>1037</v>
      </c>
      <c r="C4279" s="34">
        <v>324.12</v>
      </c>
      <c r="D4279" s="34"/>
    </row>
    <row r="4280" spans="1:4" hidden="1" x14ac:dyDescent="0.25">
      <c r="A4280" s="4">
        <v>44168</v>
      </c>
      <c r="B4280" s="4" t="s">
        <v>1038</v>
      </c>
      <c r="C4280" s="34">
        <v>61.87</v>
      </c>
      <c r="D4280" s="34"/>
    </row>
    <row r="4281" spans="1:4" hidden="1" x14ac:dyDescent="0.25">
      <c r="A4281" s="4">
        <v>44202</v>
      </c>
      <c r="B4281" s="4" t="s">
        <v>1040</v>
      </c>
      <c r="C4281" s="34">
        <v>342.64</v>
      </c>
      <c r="D4281" s="34"/>
    </row>
    <row r="4282" spans="1:4" hidden="1" x14ac:dyDescent="0.25">
      <c r="A4282" s="4">
        <v>44202</v>
      </c>
      <c r="B4282" s="4" t="s">
        <v>1041</v>
      </c>
      <c r="C4282" s="34">
        <v>63.81</v>
      </c>
      <c r="D4282" s="34"/>
    </row>
    <row r="4283" spans="1:4" hidden="1" x14ac:dyDescent="0.25">
      <c r="A4283" s="4">
        <v>44230</v>
      </c>
      <c r="B4283" s="4" t="s">
        <v>1047</v>
      </c>
      <c r="C4283" s="34">
        <v>343.36</v>
      </c>
      <c r="D4283" s="34"/>
    </row>
    <row r="4284" spans="1:4" hidden="1" x14ac:dyDescent="0.25">
      <c r="A4284" s="4">
        <v>44230</v>
      </c>
      <c r="B4284" s="4" t="s">
        <v>1048</v>
      </c>
      <c r="C4284" s="34">
        <v>63.85</v>
      </c>
      <c r="D4284" s="34"/>
    </row>
    <row r="4285" spans="1:4" hidden="1" x14ac:dyDescent="0.25">
      <c r="A4285" s="4">
        <v>44258</v>
      </c>
      <c r="B4285" s="4" t="s">
        <v>1054</v>
      </c>
      <c r="C4285" s="34">
        <v>311.62</v>
      </c>
      <c r="D4285" s="34"/>
    </row>
    <row r="4286" spans="1:4" hidden="1" x14ac:dyDescent="0.25">
      <c r="A4286" s="4">
        <v>44258</v>
      </c>
      <c r="B4286" s="4" t="s">
        <v>1055</v>
      </c>
      <c r="C4286" s="34">
        <v>56.28</v>
      </c>
      <c r="D4286" s="34"/>
    </row>
    <row r="4287" spans="1:4" hidden="1" x14ac:dyDescent="0.25">
      <c r="A4287" s="4">
        <v>44284</v>
      </c>
      <c r="B4287" s="4" t="s">
        <v>1060</v>
      </c>
      <c r="C4287" s="34">
        <v>450</v>
      </c>
      <c r="D4287" s="34"/>
    </row>
    <row r="4288" spans="1:4" hidden="1" x14ac:dyDescent="0.25">
      <c r="A4288" s="4">
        <v>44293</v>
      </c>
      <c r="B4288" s="4" t="s">
        <v>1064</v>
      </c>
      <c r="C4288" s="34">
        <v>342.6</v>
      </c>
      <c r="D4288" s="34"/>
    </row>
    <row r="4289" spans="1:4" hidden="1" x14ac:dyDescent="0.25">
      <c r="A4289" s="4">
        <v>44293</v>
      </c>
      <c r="B4289" s="4" t="s">
        <v>1065</v>
      </c>
      <c r="C4289" s="34">
        <v>63.17</v>
      </c>
      <c r="D4289" s="34"/>
    </row>
    <row r="4290" spans="1:4" hidden="1" x14ac:dyDescent="0.25">
      <c r="A4290" s="4">
        <v>44305</v>
      </c>
      <c r="B4290" s="4" t="s">
        <v>1066</v>
      </c>
      <c r="C4290" s="34">
        <v>3080</v>
      </c>
      <c r="D4290" s="34"/>
    </row>
    <row r="4291" spans="1:4" hidden="1" x14ac:dyDescent="0.25">
      <c r="A4291" s="4">
        <v>44321</v>
      </c>
      <c r="B4291" s="4" t="s">
        <v>1069</v>
      </c>
      <c r="C4291" s="34">
        <v>343.17</v>
      </c>
      <c r="D4291" s="34"/>
    </row>
    <row r="4292" spans="1:4" hidden="1" x14ac:dyDescent="0.25">
      <c r="A4292" s="4">
        <v>44321</v>
      </c>
      <c r="B4292" s="4" t="s">
        <v>1070</v>
      </c>
      <c r="C4292" s="34">
        <v>61.68</v>
      </c>
      <c r="D4292" s="34"/>
    </row>
    <row r="4293" spans="1:4" hidden="1" x14ac:dyDescent="0.25">
      <c r="A4293" s="4">
        <v>44350</v>
      </c>
      <c r="B4293" s="4" t="s">
        <v>1074</v>
      </c>
      <c r="C4293" s="34">
        <v>355.65</v>
      </c>
      <c r="D4293" s="34"/>
    </row>
    <row r="4294" spans="1:4" hidden="1" x14ac:dyDescent="0.25">
      <c r="A4294" s="4">
        <v>44350</v>
      </c>
      <c r="B4294" s="4" t="s">
        <v>1075</v>
      </c>
      <c r="C4294" s="34">
        <v>63.11</v>
      </c>
      <c r="D4294" s="34"/>
    </row>
    <row r="4295" spans="1:4" hidden="1" x14ac:dyDescent="0.25">
      <c r="A4295" s="4">
        <v>44354</v>
      </c>
      <c r="B4295" s="4" t="s">
        <v>1076</v>
      </c>
      <c r="C4295" s="34">
        <v>1424.04</v>
      </c>
      <c r="D4295" s="34"/>
    </row>
    <row r="4296" spans="1:4" hidden="1" x14ac:dyDescent="0.25">
      <c r="A4296" s="4"/>
      <c r="B4296" s="4"/>
      <c r="C4296" s="34"/>
      <c r="D4296" s="34"/>
    </row>
    <row r="4297" spans="1:4" hidden="1" x14ac:dyDescent="0.25">
      <c r="A4297" s="4">
        <v>44377</v>
      </c>
      <c r="B4297" t="s">
        <v>14</v>
      </c>
      <c r="C4297" s="36">
        <f>SUM(C4265:C4296)</f>
        <v>23053.599999999999</v>
      </c>
      <c r="D4297" s="36">
        <f>SUM(D4265:D4296)</f>
        <v>0</v>
      </c>
    </row>
    <row r="4298" spans="1:4" hidden="1" x14ac:dyDescent="0.25">
      <c r="A4298" s="4"/>
      <c r="B4298" s="4" t="s">
        <v>15</v>
      </c>
      <c r="C4298" s="34">
        <f>IF(C4297&gt;D4297,C4297-D4297," ")</f>
        <v>23053.599999999999</v>
      </c>
      <c r="D4298" s="34" t="str">
        <f>IF(D4297&gt;C4297,D4297-C4297," ")</f>
        <v xml:space="preserve"> </v>
      </c>
    </row>
    <row r="4299" spans="1:4" x14ac:dyDescent="0.25">
      <c r="A4299" s="4">
        <v>44382</v>
      </c>
      <c r="B4299" s="4" t="s">
        <v>765</v>
      </c>
      <c r="C4299" s="34">
        <v>1575.15</v>
      </c>
      <c r="D4299" s="34"/>
    </row>
    <row r="4300" spans="1:4" x14ac:dyDescent="0.25">
      <c r="A4300" s="4">
        <v>44382</v>
      </c>
      <c r="B4300" s="4" t="s">
        <v>1164</v>
      </c>
      <c r="C4300" s="34">
        <v>355.79</v>
      </c>
      <c r="D4300" s="34"/>
    </row>
    <row r="4301" spans="1:4" x14ac:dyDescent="0.25">
      <c r="A4301" s="4">
        <v>44382</v>
      </c>
      <c r="B4301" s="4" t="s">
        <v>1080</v>
      </c>
      <c r="C4301" s="34">
        <v>62.67</v>
      </c>
      <c r="D4301" s="34"/>
    </row>
    <row r="4302" spans="1:4" x14ac:dyDescent="0.25">
      <c r="A4302" s="4">
        <v>44413</v>
      </c>
      <c r="B4302" s="4" t="s">
        <v>1164</v>
      </c>
      <c r="C4302" s="34">
        <v>368.27</v>
      </c>
      <c r="D4302" s="34"/>
    </row>
    <row r="4303" spans="1:4" x14ac:dyDescent="0.25">
      <c r="A4303" s="4">
        <v>44413</v>
      </c>
      <c r="B4303" s="4" t="s">
        <v>1080</v>
      </c>
      <c r="C4303" s="34">
        <v>63.17</v>
      </c>
      <c r="D4303" s="34"/>
    </row>
    <row r="4304" spans="1:4" x14ac:dyDescent="0.25">
      <c r="A4304" s="4">
        <v>44431</v>
      </c>
      <c r="B4304" s="4" t="s">
        <v>765</v>
      </c>
      <c r="C4304" s="34">
        <v>487</v>
      </c>
      <c r="D4304" s="34"/>
    </row>
    <row r="4305" spans="1:4" x14ac:dyDescent="0.25">
      <c r="A4305" s="4">
        <v>44442</v>
      </c>
      <c r="B4305" s="4" t="s">
        <v>1164</v>
      </c>
      <c r="C4305" s="34">
        <v>378.11</v>
      </c>
      <c r="D4305" s="34"/>
    </row>
    <row r="4306" spans="1:4" x14ac:dyDescent="0.25">
      <c r="A4306" s="4">
        <v>44442</v>
      </c>
      <c r="B4306" s="4" t="s">
        <v>1080</v>
      </c>
      <c r="C4306" s="34">
        <v>63.02</v>
      </c>
      <c r="D4306" s="34"/>
    </row>
    <row r="4307" spans="1:4" x14ac:dyDescent="0.25">
      <c r="A4307" s="4">
        <v>44452</v>
      </c>
      <c r="B4307" s="4" t="s">
        <v>1005</v>
      </c>
      <c r="C4307" s="34">
        <v>7581.53</v>
      </c>
      <c r="D4307" s="34"/>
    </row>
    <row r="4308" spans="1:4" x14ac:dyDescent="0.25">
      <c r="A4308" s="4">
        <v>44452</v>
      </c>
      <c r="B4308" s="4" t="s">
        <v>1005</v>
      </c>
      <c r="C4308" s="34">
        <v>7100.28</v>
      </c>
      <c r="D4308" s="34"/>
    </row>
    <row r="4309" spans="1:4" x14ac:dyDescent="0.25">
      <c r="A4309" s="4">
        <v>44475</v>
      </c>
      <c r="B4309" s="4" t="s">
        <v>1164</v>
      </c>
      <c r="C4309" s="34">
        <v>356.71</v>
      </c>
      <c r="D4309" s="34"/>
    </row>
    <row r="4310" spans="1:4" x14ac:dyDescent="0.25">
      <c r="A4310" s="4">
        <v>44475</v>
      </c>
      <c r="B4310" s="4" t="s">
        <v>1080</v>
      </c>
      <c r="C4310" s="34">
        <v>60.68</v>
      </c>
      <c r="D4310" s="34"/>
    </row>
    <row r="4311" spans="1:4" x14ac:dyDescent="0.25">
      <c r="A4311" s="4">
        <v>44487</v>
      </c>
      <c r="B4311" s="4" t="s">
        <v>765</v>
      </c>
      <c r="C4311" s="34">
        <v>291</v>
      </c>
      <c r="D4311" s="34"/>
    </row>
    <row r="4312" spans="1:4" x14ac:dyDescent="0.25">
      <c r="A4312" s="4">
        <v>44503</v>
      </c>
      <c r="B4312" s="4" t="s">
        <v>1164</v>
      </c>
      <c r="C4312" s="34">
        <v>363.92</v>
      </c>
      <c r="D4312" s="34"/>
    </row>
    <row r="4313" spans="1:4" x14ac:dyDescent="0.25">
      <c r="A4313" s="4">
        <v>44503</v>
      </c>
      <c r="B4313" s="4" t="s">
        <v>1080</v>
      </c>
      <c r="C4313" s="34">
        <v>62.57</v>
      </c>
      <c r="D4313" s="34"/>
    </row>
    <row r="4314" spans="1:4" x14ac:dyDescent="0.25">
      <c r="A4314" s="4">
        <v>44533</v>
      </c>
      <c r="B4314" s="4" t="s">
        <v>1164</v>
      </c>
      <c r="C4314" s="34">
        <v>355.78</v>
      </c>
      <c r="D4314" s="34"/>
    </row>
    <row r="4315" spans="1:4" x14ac:dyDescent="0.25">
      <c r="A4315" s="4">
        <v>44533</v>
      </c>
      <c r="B4315" s="4" t="s">
        <v>1080</v>
      </c>
      <c r="C4315" s="34">
        <v>60.28</v>
      </c>
      <c r="D4315" s="34"/>
    </row>
    <row r="4316" spans="1:4" x14ac:dyDescent="0.25">
      <c r="A4316" s="4">
        <v>44567</v>
      </c>
      <c r="B4316" s="4" t="s">
        <v>1164</v>
      </c>
      <c r="C4316" s="34">
        <v>361.71</v>
      </c>
      <c r="D4316" s="34"/>
    </row>
    <row r="4317" spans="1:4" x14ac:dyDescent="0.25">
      <c r="A4317" s="4">
        <v>44567</v>
      </c>
      <c r="B4317" s="4" t="s">
        <v>1080</v>
      </c>
      <c r="C4317" s="34">
        <v>62.22</v>
      </c>
      <c r="D4317" s="34"/>
    </row>
    <row r="4318" spans="1:4" x14ac:dyDescent="0.25">
      <c r="A4318" s="4">
        <v>44578</v>
      </c>
      <c r="B4318" s="4" t="s">
        <v>765</v>
      </c>
      <c r="C4318" s="34">
        <v>291</v>
      </c>
      <c r="D4318" s="34"/>
    </row>
    <row r="4319" spans="1:4" x14ac:dyDescent="0.25">
      <c r="A4319" s="4">
        <v>44595</v>
      </c>
      <c r="B4319" s="4" t="s">
        <v>1164</v>
      </c>
      <c r="C4319" s="34">
        <v>357.33</v>
      </c>
      <c r="D4319" s="34"/>
    </row>
    <row r="4320" spans="1:4" x14ac:dyDescent="0.25">
      <c r="A4320" s="4">
        <v>44595</v>
      </c>
      <c r="B4320" s="4" t="s">
        <v>1080</v>
      </c>
      <c r="C4320" s="34">
        <v>62.04</v>
      </c>
      <c r="D4320" s="34"/>
    </row>
    <row r="4321" spans="1:4" x14ac:dyDescent="0.25">
      <c r="A4321" s="4">
        <v>44623</v>
      </c>
      <c r="B4321" s="4" t="s">
        <v>1164</v>
      </c>
      <c r="C4321" s="34">
        <v>317.67</v>
      </c>
      <c r="D4321" s="34"/>
    </row>
    <row r="4322" spans="1:4" x14ac:dyDescent="0.25">
      <c r="A4322" s="4">
        <v>44623</v>
      </c>
      <c r="B4322" s="4" t="s">
        <v>1080</v>
      </c>
      <c r="C4322" s="34">
        <v>55.65</v>
      </c>
      <c r="D4322" s="34"/>
    </row>
    <row r="4323" spans="1:4" x14ac:dyDescent="0.25">
      <c r="A4323" s="4">
        <v>44656</v>
      </c>
      <c r="B4323" s="4" t="s">
        <v>1164</v>
      </c>
      <c r="C4323" s="34">
        <v>346.6</v>
      </c>
      <c r="D4323" s="34"/>
    </row>
    <row r="4324" spans="1:4" x14ac:dyDescent="0.25">
      <c r="A4324" s="4">
        <v>44656</v>
      </c>
      <c r="B4324" s="4" t="s">
        <v>1080</v>
      </c>
      <c r="C4324" s="34">
        <v>62.17</v>
      </c>
      <c r="D4324" s="34"/>
    </row>
    <row r="4325" spans="1:4" x14ac:dyDescent="0.25">
      <c r="A4325" s="4">
        <v>44685</v>
      </c>
      <c r="B4325" s="4" t="s">
        <v>1164</v>
      </c>
      <c r="C4325" s="34">
        <v>345.77</v>
      </c>
      <c r="D4325" s="34"/>
    </row>
    <row r="4326" spans="1:4" x14ac:dyDescent="0.25">
      <c r="A4326" s="4">
        <v>44685</v>
      </c>
      <c r="B4326" s="4" t="s">
        <v>1080</v>
      </c>
      <c r="C4326" s="34">
        <v>60.69</v>
      </c>
      <c r="D4326" s="34"/>
    </row>
    <row r="4327" spans="1:4" x14ac:dyDescent="0.25">
      <c r="A4327" s="4">
        <v>44692</v>
      </c>
      <c r="B4327" s="4" t="s">
        <v>765</v>
      </c>
      <c r="C4327" s="34">
        <v>291</v>
      </c>
      <c r="D4327" s="34"/>
    </row>
    <row r="4328" spans="1:4" x14ac:dyDescent="0.25">
      <c r="A4328" s="4">
        <v>44697</v>
      </c>
      <c r="B4328" s="4" t="s">
        <v>761</v>
      </c>
      <c r="C4328" s="34">
        <v>3410</v>
      </c>
      <c r="D4328" s="34"/>
    </row>
    <row r="4329" spans="1:4" x14ac:dyDescent="0.25">
      <c r="A4329" s="4">
        <v>44697</v>
      </c>
      <c r="B4329" s="4" t="s">
        <v>765</v>
      </c>
      <c r="C4329" s="34">
        <v>7299.17</v>
      </c>
      <c r="D4329" s="34"/>
    </row>
    <row r="4330" spans="1:4" x14ac:dyDescent="0.25">
      <c r="A4330" s="4">
        <v>44718</v>
      </c>
      <c r="B4330" s="4" t="s">
        <v>1164</v>
      </c>
      <c r="C4330" s="34">
        <v>340.11</v>
      </c>
      <c r="D4330" s="34"/>
    </row>
    <row r="4331" spans="1:4" x14ac:dyDescent="0.25">
      <c r="A4331" s="4">
        <v>44718</v>
      </c>
      <c r="B4331" s="4" t="s">
        <v>1080</v>
      </c>
      <c r="C4331" s="34">
        <v>61.19</v>
      </c>
      <c r="D4331" s="34"/>
    </row>
    <row r="4332" spans="1:4" x14ac:dyDescent="0.25">
      <c r="A4332" s="4">
        <v>44739</v>
      </c>
      <c r="B4332" s="4" t="s">
        <v>765</v>
      </c>
      <c r="C4332" s="34">
        <v>1627.05</v>
      </c>
      <c r="D4332" s="34"/>
    </row>
    <row r="4333" spans="1:4" x14ac:dyDescent="0.25">
      <c r="A4333" s="4"/>
      <c r="B4333" s="4"/>
      <c r="C4333" s="34"/>
      <c r="D4333" s="34"/>
    </row>
    <row r="4334" spans="1:4" x14ac:dyDescent="0.25">
      <c r="A4334" s="4">
        <v>44742</v>
      </c>
      <c r="B4334" t="s">
        <v>14</v>
      </c>
      <c r="C4334" s="36">
        <f>SUM(C4299:C4333)</f>
        <v>34937.299999999996</v>
      </c>
      <c r="D4334" s="36">
        <f>SUM(D4299:D4333)</f>
        <v>0</v>
      </c>
    </row>
    <row r="4335" spans="1:4" x14ac:dyDescent="0.25">
      <c r="A4335" s="4"/>
      <c r="B4335" s="4" t="s">
        <v>15</v>
      </c>
      <c r="C4335" s="34">
        <f>IF(C4334&gt;D4334,C4334-D4334," ")</f>
        <v>34937.299999999996</v>
      </c>
      <c r="D4335" s="34" t="str">
        <f>IF(D4334&gt;C4334,D4334-C4334," ")</f>
        <v xml:space="preserve"> </v>
      </c>
    </row>
    <row r="4336" spans="1:4" x14ac:dyDescent="0.25">
      <c r="A4336" s="4"/>
      <c r="B4336" s="4"/>
      <c r="C4336" s="34"/>
      <c r="D4336" s="34"/>
    </row>
    <row r="4337" spans="1:4" x14ac:dyDescent="0.25">
      <c r="A4337" s="4"/>
      <c r="B4337" s="4"/>
      <c r="C4337" s="34"/>
      <c r="D4337" s="34"/>
    </row>
    <row r="4338" spans="1:4" x14ac:dyDescent="0.25">
      <c r="A4338" s="4"/>
      <c r="B4338" s="4"/>
      <c r="C4338" s="34"/>
      <c r="D4338" s="34"/>
    </row>
    <row r="4339" spans="1:4" x14ac:dyDescent="0.25">
      <c r="A4339" s="4"/>
      <c r="B4339" s="4"/>
      <c r="C4339" s="34"/>
      <c r="D4339" s="34"/>
    </row>
    <row r="4340" spans="1:4" x14ac:dyDescent="0.25">
      <c r="A4340" s="4"/>
      <c r="B4340" s="4"/>
      <c r="C4340" s="34"/>
      <c r="D4340" s="34"/>
    </row>
    <row r="4341" spans="1:4" x14ac:dyDescent="0.25">
      <c r="A4341" s="4"/>
      <c r="B4341" s="4"/>
      <c r="C4341" s="34"/>
      <c r="D4341" s="34"/>
    </row>
    <row r="4342" spans="1:4" x14ac:dyDescent="0.25">
      <c r="A4342" s="4"/>
      <c r="B4342" s="4"/>
      <c r="C4342" s="34"/>
      <c r="D4342" s="34"/>
    </row>
    <row r="4343" spans="1:4" x14ac:dyDescent="0.25">
      <c r="A4343" s="4"/>
      <c r="B4343" s="4"/>
      <c r="C4343" s="34"/>
      <c r="D4343" s="34"/>
    </row>
    <row r="4344" spans="1:4" x14ac:dyDescent="0.25">
      <c r="A4344" s="4"/>
      <c r="B4344" s="4"/>
      <c r="C4344" s="34"/>
      <c r="D4344" s="34"/>
    </row>
    <row r="4345" spans="1:4" x14ac:dyDescent="0.25">
      <c r="A4345" s="4"/>
      <c r="B4345" s="4"/>
      <c r="C4345" s="34"/>
      <c r="D4345" s="34"/>
    </row>
    <row r="4346" spans="1:4" x14ac:dyDescent="0.25">
      <c r="A4346" s="4"/>
      <c r="B4346" s="4"/>
      <c r="C4346" s="34"/>
      <c r="D4346" s="34"/>
    </row>
    <row r="4347" spans="1:4" x14ac:dyDescent="0.25">
      <c r="A4347" s="4"/>
      <c r="B4347" s="4"/>
      <c r="C4347" s="34"/>
      <c r="D4347" s="34"/>
    </row>
    <row r="4348" spans="1:4" x14ac:dyDescent="0.25">
      <c r="A4348" s="4"/>
      <c r="B4348" s="4"/>
      <c r="C4348" s="34"/>
      <c r="D4348" s="34"/>
    </row>
    <row r="4349" spans="1:4" x14ac:dyDescent="0.25">
      <c r="A4349" s="4"/>
      <c r="B4349" s="4"/>
      <c r="C4349" s="34"/>
      <c r="D4349" s="34"/>
    </row>
    <row r="4350" spans="1:4" x14ac:dyDescent="0.25">
      <c r="A4350" s="4"/>
      <c r="B4350" s="4"/>
      <c r="C4350" s="34"/>
      <c r="D4350" s="34"/>
    </row>
    <row r="4351" spans="1:4" x14ac:dyDescent="0.25">
      <c r="A4351" s="4"/>
      <c r="B4351" s="4"/>
      <c r="C4351" s="34"/>
      <c r="D4351" s="34"/>
    </row>
    <row r="4352" spans="1:4" x14ac:dyDescent="0.25">
      <c r="A4352" s="4"/>
      <c r="B4352" s="4"/>
      <c r="C4352" s="33"/>
      <c r="D4352" s="33"/>
    </row>
    <row r="4353" spans="1:4" x14ac:dyDescent="0.25">
      <c r="A4353" s="4"/>
      <c r="B4353" s="4"/>
      <c r="C4353" s="3"/>
      <c r="D4353" s="3"/>
    </row>
    <row r="4354" spans="1:4" x14ac:dyDescent="0.25">
      <c r="A4354" s="4"/>
      <c r="B4354" s="4"/>
      <c r="C4354" s="3"/>
      <c r="D4354" s="3"/>
    </row>
    <row r="4355" spans="1:4" x14ac:dyDescent="0.25">
      <c r="A4355" s="4"/>
      <c r="B4355" s="4"/>
      <c r="C4355" s="3"/>
      <c r="D4355" s="3"/>
    </row>
    <row r="4356" spans="1:4" x14ac:dyDescent="0.25">
      <c r="A4356" s="4"/>
      <c r="B4356" s="4"/>
      <c r="C4356" s="3"/>
      <c r="D4356" s="3"/>
    </row>
    <row r="4357" spans="1:4" x14ac:dyDescent="0.25">
      <c r="A4357" s="4"/>
      <c r="B4357" s="4"/>
      <c r="C4357" s="3"/>
      <c r="D4357" s="3"/>
    </row>
    <row r="4358" spans="1:4" x14ac:dyDescent="0.25">
      <c r="A4358" s="4"/>
      <c r="B4358" s="4"/>
      <c r="C4358" s="3"/>
      <c r="D4358" s="3"/>
    </row>
    <row r="4359" spans="1:4" x14ac:dyDescent="0.25">
      <c r="A4359" s="4"/>
      <c r="B4359" s="4"/>
      <c r="C4359" s="3"/>
      <c r="D4359" s="3"/>
    </row>
    <row r="4360" spans="1:4" x14ac:dyDescent="0.25">
      <c r="A4360" s="4"/>
      <c r="B4360" s="4"/>
      <c r="C4360" s="3"/>
      <c r="D4360" s="3"/>
    </row>
    <row r="4361" spans="1:4" x14ac:dyDescent="0.25">
      <c r="A4361" s="4"/>
      <c r="B4361" s="4"/>
      <c r="C4361" s="3"/>
      <c r="D4361" s="3"/>
    </row>
    <row r="4362" spans="1:4" x14ac:dyDescent="0.25">
      <c r="A4362" s="4"/>
      <c r="B4362" s="4"/>
      <c r="C4362" s="3"/>
      <c r="D4362" s="3"/>
    </row>
    <row r="4363" spans="1:4" x14ac:dyDescent="0.25">
      <c r="A4363" s="4"/>
      <c r="B4363" s="4"/>
      <c r="C4363" s="3"/>
      <c r="D4363" s="3"/>
    </row>
  </sheetData>
  <phoneticPr fontId="0" type="noConversion"/>
  <printOptions horizontalCentered="1"/>
  <pageMargins left="0" right="0" top="0.19685039370078741" bottom="0.19685039370078741" header="0.31496062992125984" footer="0.31496062992125984"/>
  <pageSetup paperSize="9" orientation="portrait" horizontalDpi="300" verticalDpi="300" r:id="rId1"/>
  <headerFooter alignWithMargins="0">
    <oddFooter>&amp;L&amp;8&amp;F  &amp;A 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workbookViewId="0"/>
  </sheetViews>
  <sheetFormatPr defaultColWidth="8.85546875" defaultRowHeight="15" x14ac:dyDescent="0.25"/>
  <cols>
    <col min="1" max="1" width="40.42578125" customWidth="1"/>
    <col min="3" max="4" width="11.42578125" bestFit="1" customWidth="1"/>
  </cols>
  <sheetData>
    <row r="1" spans="1:4" x14ac:dyDescent="0.25">
      <c r="A1" s="1" t="s">
        <v>0</v>
      </c>
    </row>
    <row r="2" spans="1:4" x14ac:dyDescent="0.25">
      <c r="A2" s="1" t="s">
        <v>1093</v>
      </c>
    </row>
    <row r="4" spans="1:4" x14ac:dyDescent="0.25">
      <c r="A4" s="1" t="s">
        <v>106</v>
      </c>
      <c r="B4" s="1"/>
      <c r="C4" s="2" t="s">
        <v>4</v>
      </c>
      <c r="D4" s="2" t="s">
        <v>5</v>
      </c>
    </row>
    <row r="5" spans="1:4" x14ac:dyDescent="0.25">
      <c r="C5" s="3"/>
      <c r="D5" s="3"/>
    </row>
    <row r="6" spans="1:4" x14ac:dyDescent="0.25">
      <c r="A6" t="s">
        <v>766</v>
      </c>
      <c r="C6" s="3" t="str">
        <f>Ledger!C1160</f>
        <v xml:space="preserve"> </v>
      </c>
      <c r="D6" s="3"/>
    </row>
    <row r="7" spans="1:4" x14ac:dyDescent="0.25">
      <c r="A7" t="s">
        <v>767</v>
      </c>
      <c r="C7" s="3">
        <f>Ledger!C1700</f>
        <v>196859.66000000044</v>
      </c>
      <c r="D7" s="3"/>
    </row>
    <row r="8" spans="1:4" x14ac:dyDescent="0.25">
      <c r="A8" t="s">
        <v>310</v>
      </c>
      <c r="C8" s="3" t="str">
        <f>Ledger!C1797</f>
        <v xml:space="preserve"> </v>
      </c>
      <c r="D8" s="3"/>
    </row>
    <row r="9" spans="1:4" x14ac:dyDescent="0.25">
      <c r="A9" t="s">
        <v>67</v>
      </c>
      <c r="C9" s="3">
        <f>Ledger!C2182</f>
        <v>670282.99836195074</v>
      </c>
      <c r="D9" s="3"/>
    </row>
    <row r="10" spans="1:4" x14ac:dyDescent="0.25">
      <c r="A10" t="s">
        <v>82</v>
      </c>
      <c r="C10" s="3" t="str">
        <f>Ledger!C2201</f>
        <v xml:space="preserve"> </v>
      </c>
      <c r="D10" s="3"/>
    </row>
    <row r="11" spans="1:4" x14ac:dyDescent="0.25">
      <c r="A11" t="s">
        <v>87</v>
      </c>
      <c r="C11" s="3">
        <f>Ledger!C2207</f>
        <v>389</v>
      </c>
      <c r="D11" s="3"/>
    </row>
    <row r="12" spans="1:4" x14ac:dyDescent="0.25">
      <c r="A12" t="s">
        <v>89</v>
      </c>
      <c r="C12" s="3"/>
      <c r="D12" s="3" t="str">
        <f>Ledger!D2218</f>
        <v xml:space="preserve"> </v>
      </c>
    </row>
    <row r="13" spans="1:4" x14ac:dyDescent="0.25">
      <c r="A13" t="s">
        <v>93</v>
      </c>
      <c r="C13" s="3"/>
      <c r="D13" s="3">
        <f>Ledger!D2478</f>
        <v>698107.71499999997</v>
      </c>
    </row>
    <row r="14" spans="1:4" x14ac:dyDescent="0.25">
      <c r="A14" t="s">
        <v>98</v>
      </c>
      <c r="C14" s="3"/>
      <c r="D14" s="3">
        <f>Ledger!D2736</f>
        <v>298635.46499999991</v>
      </c>
    </row>
    <row r="15" spans="1:4" x14ac:dyDescent="0.25">
      <c r="A15" t="s">
        <v>470</v>
      </c>
      <c r="C15" s="3"/>
      <c r="D15" s="3" t="str">
        <f>Ledger!D2760</f>
        <v xml:space="preserve"> </v>
      </c>
    </row>
    <row r="16" spans="1:4" x14ac:dyDescent="0.25">
      <c r="A16" t="s">
        <v>100</v>
      </c>
      <c r="C16" s="3">
        <f>Ledger!C3936</f>
        <v>94274.221638048897</v>
      </c>
      <c r="D16" s="3" t="str">
        <f>Ledger!D3936</f>
        <v xml:space="preserve"> </v>
      </c>
    </row>
    <row r="17" spans="1:4" x14ac:dyDescent="0.25">
      <c r="A17" t="s">
        <v>104</v>
      </c>
      <c r="C17" s="3">
        <f>Ledger!C4335</f>
        <v>34937.299999999996</v>
      </c>
      <c r="D17" s="3" t="str">
        <f>Ledger!D4298</f>
        <v xml:space="preserve"> </v>
      </c>
    </row>
    <row r="18" spans="1:4" x14ac:dyDescent="0.25">
      <c r="C18" s="3"/>
      <c r="D18" s="3"/>
    </row>
    <row r="19" spans="1:4" x14ac:dyDescent="0.25">
      <c r="C19" s="3"/>
      <c r="D19" s="3"/>
    </row>
    <row r="20" spans="1:4" x14ac:dyDescent="0.25">
      <c r="A20" s="28"/>
      <c r="C20" s="5">
        <f>SUM(C5:C19)</f>
        <v>996743.18</v>
      </c>
      <c r="D20" s="5">
        <f>SUM(D5:D19)</f>
        <v>996743.17999999993</v>
      </c>
    </row>
    <row r="21" spans="1:4" x14ac:dyDescent="0.25">
      <c r="C21" s="3" t="str">
        <f>IF(C20&gt;D20,C20-D20," ")</f>
        <v xml:space="preserve"> </v>
      </c>
      <c r="D21" s="3" t="str">
        <f>IF(D20&gt;C20,D20-C20," ")</f>
        <v xml:space="preserve"> </v>
      </c>
    </row>
    <row r="22" spans="1:4" x14ac:dyDescent="0.25">
      <c r="C22" s="3"/>
      <c r="D22" s="3"/>
    </row>
    <row r="23" spans="1:4" x14ac:dyDescent="0.25">
      <c r="C23" s="3"/>
      <c r="D23" s="3"/>
    </row>
  </sheetData>
  <phoneticPr fontId="0" type="noConversion"/>
  <printOptions horizontalCentered="1"/>
  <pageMargins left="0" right="0" top="0.98425196850393704" bottom="0.98425196850393704" header="0.31496062992125984" footer="0.31496062992125984"/>
  <pageSetup paperSize="9" orientation="portrait" horizontalDpi="300" verticalDpi="300" r:id="rId1"/>
  <headerFooter alignWithMargins="0">
    <oddFooter>&amp;L&amp;8&amp;F  &amp;A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"/>
  <sheetViews>
    <sheetView workbookViewId="0"/>
  </sheetViews>
  <sheetFormatPr defaultColWidth="8.85546875" defaultRowHeight="15" x14ac:dyDescent="0.25"/>
  <cols>
    <col min="1" max="1" width="25.42578125" customWidth="1"/>
    <col min="3" max="6" width="13.28515625" customWidth="1"/>
  </cols>
  <sheetData>
    <row r="1" spans="1:7" x14ac:dyDescent="0.25">
      <c r="A1" s="1" t="s">
        <v>0</v>
      </c>
    </row>
    <row r="2" spans="1:7" x14ac:dyDescent="0.25">
      <c r="A2" s="1" t="s">
        <v>1230</v>
      </c>
    </row>
    <row r="3" spans="1:7" x14ac:dyDescent="0.25">
      <c r="A3" s="1"/>
    </row>
    <row r="4" spans="1:7" x14ac:dyDescent="0.25">
      <c r="D4" s="10" t="s">
        <v>107</v>
      </c>
      <c r="E4" s="10"/>
      <c r="F4" s="10"/>
    </row>
    <row r="5" spans="1:7" x14ac:dyDescent="0.25">
      <c r="A5" s="1" t="s">
        <v>108</v>
      </c>
      <c r="C5" s="2" t="s">
        <v>109</v>
      </c>
      <c r="D5" s="2" t="s">
        <v>110</v>
      </c>
      <c r="E5" s="2" t="s">
        <v>111</v>
      </c>
      <c r="F5" s="2" t="s">
        <v>484</v>
      </c>
    </row>
    <row r="6" spans="1:7" x14ac:dyDescent="0.25">
      <c r="A6" t="s">
        <v>112</v>
      </c>
      <c r="C6" s="8">
        <v>-94274.22</v>
      </c>
      <c r="D6" s="8">
        <f>($C6-F6)*D$25</f>
        <v>-75093.775509294224</v>
      </c>
      <c r="E6" s="8">
        <f>($C6-F6)*E$25</f>
        <v>-19180.444490705777</v>
      </c>
      <c r="F6" s="8">
        <v>0</v>
      </c>
      <c r="G6" s="8">
        <f>C6-D6-E6-F6</f>
        <v>0</v>
      </c>
    </row>
    <row r="7" spans="1:7" x14ac:dyDescent="0.25">
      <c r="C7" s="8"/>
      <c r="D7" s="8"/>
      <c r="E7" s="8"/>
      <c r="F7" s="8"/>
      <c r="G7" s="8"/>
    </row>
    <row r="8" spans="1:7" x14ac:dyDescent="0.25">
      <c r="C8" s="12"/>
      <c r="D8" s="12"/>
      <c r="E8" s="12"/>
      <c r="F8" s="12"/>
      <c r="G8" s="8"/>
    </row>
    <row r="9" spans="1:7" x14ac:dyDescent="0.25">
      <c r="A9" s="1" t="s">
        <v>113</v>
      </c>
      <c r="C9" s="11">
        <f>SUM(C6:C8)</f>
        <v>-94274.22</v>
      </c>
      <c r="D9" s="11">
        <f>SUM(D6:D8)</f>
        <v>-75093.775509294224</v>
      </c>
      <c r="E9" s="11">
        <f>SUM(E6:E8)</f>
        <v>-19180.444490705777</v>
      </c>
      <c r="F9" s="11">
        <f>SUM(F6:F8)</f>
        <v>0</v>
      </c>
      <c r="G9" s="8">
        <f>C9-D9-E9-F9</f>
        <v>0</v>
      </c>
    </row>
    <row r="10" spans="1:7" x14ac:dyDescent="0.25">
      <c r="C10" s="8"/>
      <c r="D10" s="8"/>
      <c r="E10" s="8"/>
      <c r="F10" s="8"/>
      <c r="G10" s="8"/>
    </row>
    <row r="11" spans="1:7" x14ac:dyDescent="0.25">
      <c r="A11" s="1" t="s">
        <v>114</v>
      </c>
      <c r="C11" s="8"/>
      <c r="D11" s="8"/>
      <c r="E11" s="8"/>
      <c r="F11" s="8"/>
      <c r="G11" s="8"/>
    </row>
    <row r="12" spans="1:7" x14ac:dyDescent="0.25">
      <c r="A12" t="s">
        <v>65</v>
      </c>
      <c r="C12" s="8">
        <f>D12+E12</f>
        <v>14681.81</v>
      </c>
      <c r="D12" s="8">
        <v>7581.53</v>
      </c>
      <c r="E12" s="8">
        <v>7100.28</v>
      </c>
      <c r="F12" s="8">
        <v>0</v>
      </c>
      <c r="G12" s="8">
        <f>C12-D12-E12-F12</f>
        <v>0</v>
      </c>
    </row>
    <row r="13" spans="1:7" x14ac:dyDescent="0.25">
      <c r="A13" t="s">
        <v>115</v>
      </c>
      <c r="C13" s="8">
        <f>34937.3-C12-C14</f>
        <v>8394.1200000000044</v>
      </c>
      <c r="D13" s="8">
        <f t="shared" ref="D13:F14" si="0">$C13*D$25</f>
        <v>6686.3047276135212</v>
      </c>
      <c r="E13" s="8">
        <f t="shared" si="0"/>
        <v>1707.8152723864835</v>
      </c>
      <c r="F13" s="8">
        <f t="shared" si="0"/>
        <v>0</v>
      </c>
      <c r="G13" s="8">
        <f>C13-D13-E13-F13</f>
        <v>-2.2737367544323206E-13</v>
      </c>
    </row>
    <row r="14" spans="1:7" x14ac:dyDescent="0.25">
      <c r="A14" t="s">
        <v>63</v>
      </c>
      <c r="C14" s="8">
        <v>11861.37</v>
      </c>
      <c r="D14" s="8">
        <f t="shared" si="0"/>
        <v>9448.1296797011655</v>
      </c>
      <c r="E14" s="8">
        <f t="shared" si="0"/>
        <v>2413.2403202988348</v>
      </c>
      <c r="F14" s="8">
        <f t="shared" si="0"/>
        <v>0</v>
      </c>
      <c r="G14" s="8">
        <f>C14-D14-E14-F14</f>
        <v>4.5474735088646412E-13</v>
      </c>
    </row>
    <row r="15" spans="1:7" x14ac:dyDescent="0.25">
      <c r="C15" s="12"/>
      <c r="D15" s="12"/>
      <c r="E15" s="12"/>
      <c r="F15" s="12"/>
      <c r="G15" s="8"/>
    </row>
    <row r="16" spans="1:7" x14ac:dyDescent="0.25">
      <c r="A16" s="1" t="s">
        <v>116</v>
      </c>
      <c r="C16" s="11">
        <f>SUM(C12:C15)</f>
        <v>34937.300000000003</v>
      </c>
      <c r="D16" s="11">
        <f>SUM(D12:D15)</f>
        <v>23715.964407314685</v>
      </c>
      <c r="E16" s="11">
        <f>SUM(E12:E15)</f>
        <v>11221.335592685318</v>
      </c>
      <c r="F16" s="11">
        <f>SUM(F12:F15)</f>
        <v>0</v>
      </c>
      <c r="G16" s="8">
        <f>C16-D16-E16-F16</f>
        <v>0</v>
      </c>
    </row>
    <row r="17" spans="1:7" x14ac:dyDescent="0.25">
      <c r="C17" s="15"/>
      <c r="D17" s="15"/>
      <c r="E17" s="15"/>
      <c r="F17" s="15"/>
      <c r="G17" s="8"/>
    </row>
    <row r="18" spans="1:7" x14ac:dyDescent="0.25">
      <c r="A18" s="1" t="s">
        <v>117</v>
      </c>
      <c r="C18" s="14">
        <f>C9-C16</f>
        <v>-129211.52</v>
      </c>
      <c r="D18" s="14">
        <f>D9-D16</f>
        <v>-98809.739916608902</v>
      </c>
      <c r="E18" s="14">
        <f>E9-E16</f>
        <v>-30401.780083391095</v>
      </c>
      <c r="F18" s="14">
        <f>F9-F16</f>
        <v>0</v>
      </c>
      <c r="G18" s="8">
        <f>C18-D18-E18-F18</f>
        <v>-7.2759576141834259E-12</v>
      </c>
    </row>
    <row r="19" spans="1:7" x14ac:dyDescent="0.25">
      <c r="C19" s="8"/>
      <c r="D19" s="8"/>
      <c r="E19" s="8"/>
      <c r="F19" s="8"/>
      <c r="G19" s="8"/>
    </row>
    <row r="20" spans="1:7" x14ac:dyDescent="0.25">
      <c r="A20" s="16" t="s">
        <v>118</v>
      </c>
      <c r="C20" s="8">
        <v>861624.45</v>
      </c>
      <c r="D20" s="8">
        <v>686323.71629931382</v>
      </c>
      <c r="E20" s="8">
        <v>175300.73370068619</v>
      </c>
      <c r="F20" s="8">
        <v>0</v>
      </c>
      <c r="G20" s="8">
        <f>C20-D20-E20-F20</f>
        <v>-5.8207660913467407E-11</v>
      </c>
    </row>
    <row r="21" spans="1:7" x14ac:dyDescent="0.25">
      <c r="A21" s="16" t="s">
        <v>119</v>
      </c>
      <c r="C21" s="8">
        <f>D21+E21+F21</f>
        <v>135118.75</v>
      </c>
      <c r="D21" s="8">
        <v>11784</v>
      </c>
      <c r="E21" s="8">
        <v>123334.75</v>
      </c>
      <c r="F21" s="8">
        <v>0</v>
      </c>
      <c r="G21" s="8">
        <f>C21-D21-E21-F21</f>
        <v>0</v>
      </c>
    </row>
    <row r="22" spans="1:7" x14ac:dyDescent="0.25">
      <c r="C22" s="8"/>
      <c r="D22" s="8"/>
      <c r="E22" s="8"/>
      <c r="F22" s="8"/>
      <c r="G22" s="8"/>
    </row>
    <row r="23" spans="1:7" ht="15.75" thickBot="1" x14ac:dyDescent="0.3">
      <c r="A23" s="1" t="s">
        <v>120</v>
      </c>
      <c r="C23" s="13">
        <f>C18+C20+C21</f>
        <v>867531.67999999993</v>
      </c>
      <c r="D23" s="13">
        <f>D18+D20+D21</f>
        <v>599297.97638270492</v>
      </c>
      <c r="E23" s="13">
        <f>E18+E20+E21</f>
        <v>268233.70361729513</v>
      </c>
      <c r="F23" s="13">
        <f>F18+F20+F21</f>
        <v>0</v>
      </c>
      <c r="G23" s="8">
        <f>C23-D23-E23-F23</f>
        <v>-1.1641532182693481E-10</v>
      </c>
    </row>
    <row r="24" spans="1:7" ht="15.75" thickTop="1" x14ac:dyDescent="0.25">
      <c r="C24" s="8"/>
      <c r="D24" s="8"/>
      <c r="E24" s="8"/>
      <c r="F24" s="8"/>
    </row>
    <row r="25" spans="1:7" x14ac:dyDescent="0.25">
      <c r="A25" t="s">
        <v>121</v>
      </c>
      <c r="C25" s="8"/>
      <c r="D25" s="17">
        <f>D20/C20</f>
        <v>0.79654624041752053</v>
      </c>
      <c r="E25" s="17">
        <f>1-D25</f>
        <v>0.20345375958247947</v>
      </c>
      <c r="F25" s="17">
        <v>0</v>
      </c>
    </row>
    <row r="26" spans="1:7" x14ac:dyDescent="0.25">
      <c r="A26" t="s">
        <v>122</v>
      </c>
      <c r="C26" s="8"/>
      <c r="D26" s="8"/>
      <c r="E26" s="8"/>
    </row>
  </sheetData>
  <phoneticPr fontId="0" type="noConversion"/>
  <printOptions horizontalCentered="1"/>
  <pageMargins left="0" right="0" top="0.98425196850393704" bottom="0.98425196850393704" header="0.31496062992125984" footer="0.31496062992125984"/>
  <pageSetup paperSize="9" orientation="portrait" horizontalDpi="300" verticalDpi="300" r:id="rId1"/>
  <headerFooter alignWithMargins="0">
    <oddFooter>&amp;L&amp;8&amp;F  &amp;A 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"/>
  <sheetViews>
    <sheetView workbookViewId="0"/>
  </sheetViews>
  <sheetFormatPr defaultColWidth="8.85546875" defaultRowHeight="15" x14ac:dyDescent="0.25"/>
  <cols>
    <col min="6" max="6" width="12.42578125" customWidth="1"/>
  </cols>
  <sheetData>
    <row r="1" spans="1:6" x14ac:dyDescent="0.25">
      <c r="A1" s="1" t="s">
        <v>0</v>
      </c>
    </row>
    <row r="2" spans="1:6" x14ac:dyDescent="0.25">
      <c r="A2" s="1" t="s">
        <v>1231</v>
      </c>
    </row>
    <row r="4" spans="1:6" x14ac:dyDescent="0.25">
      <c r="A4" s="1" t="s">
        <v>123</v>
      </c>
      <c r="F4" s="3"/>
    </row>
    <row r="5" spans="1:6" x14ac:dyDescent="0.25">
      <c r="A5" t="s">
        <v>809</v>
      </c>
      <c r="F5" s="3">
        <v>0</v>
      </c>
    </row>
    <row r="6" spans="1:6" x14ac:dyDescent="0.25">
      <c r="A6" t="s">
        <v>810</v>
      </c>
      <c r="F6" s="3">
        <v>196859.66</v>
      </c>
    </row>
    <row r="7" spans="1:6" x14ac:dyDescent="0.25">
      <c r="A7" s="25" t="s">
        <v>310</v>
      </c>
      <c r="F7" s="3">
        <v>0</v>
      </c>
    </row>
    <row r="8" spans="1:6" x14ac:dyDescent="0.25">
      <c r="A8" t="s">
        <v>67</v>
      </c>
      <c r="F8" s="3">
        <v>670283</v>
      </c>
    </row>
    <row r="9" spans="1:6" x14ac:dyDescent="0.25">
      <c r="A9" t="s">
        <v>82</v>
      </c>
      <c r="F9" s="3">
        <v>0</v>
      </c>
    </row>
    <row r="10" spans="1:6" x14ac:dyDescent="0.25">
      <c r="A10" t="s">
        <v>87</v>
      </c>
      <c r="F10" s="3">
        <v>389</v>
      </c>
    </row>
    <row r="11" spans="1:6" x14ac:dyDescent="0.25">
      <c r="F11" s="3"/>
    </row>
    <row r="12" spans="1:6" x14ac:dyDescent="0.25">
      <c r="A12" s="1" t="s">
        <v>124</v>
      </c>
      <c r="F12" s="18">
        <f>SUM(F5:F11)</f>
        <v>867531.66</v>
      </c>
    </row>
    <row r="13" spans="1:6" x14ac:dyDescent="0.25">
      <c r="F13" s="3"/>
    </row>
    <row r="14" spans="1:6" x14ac:dyDescent="0.25">
      <c r="F14" s="3"/>
    </row>
    <row r="15" spans="1:6" x14ac:dyDescent="0.25">
      <c r="A15" s="1" t="s">
        <v>125</v>
      </c>
      <c r="F15" s="3"/>
    </row>
    <row r="16" spans="1:6" x14ac:dyDescent="0.25">
      <c r="A16" t="s">
        <v>89</v>
      </c>
      <c r="F16" s="19">
        <v>0</v>
      </c>
    </row>
    <row r="17" spans="1:6" x14ac:dyDescent="0.25">
      <c r="F17" s="3"/>
    </row>
    <row r="18" spans="1:6" x14ac:dyDescent="0.25">
      <c r="F18" s="3"/>
    </row>
    <row r="19" spans="1:6" ht="15.75" thickBot="1" x14ac:dyDescent="0.3">
      <c r="A19" s="1" t="s">
        <v>126</v>
      </c>
      <c r="F19" s="20">
        <f>F12-F16</f>
        <v>867531.66</v>
      </c>
    </row>
    <row r="20" spans="1:6" ht="15.75" thickTop="1" x14ac:dyDescent="0.25">
      <c r="F20" s="3"/>
    </row>
    <row r="21" spans="1:6" x14ac:dyDescent="0.25">
      <c r="F21" s="3"/>
    </row>
    <row r="22" spans="1:6" x14ac:dyDescent="0.25">
      <c r="A22" s="1" t="s">
        <v>127</v>
      </c>
      <c r="F22" s="3"/>
    </row>
    <row r="23" spans="1:6" x14ac:dyDescent="0.25">
      <c r="A23" t="s">
        <v>128</v>
      </c>
      <c r="F23" s="3">
        <f>'P&amp;L'!D23-0.02</f>
        <v>599297.9563827049</v>
      </c>
    </row>
    <row r="24" spans="1:6" x14ac:dyDescent="0.25">
      <c r="A24" t="s">
        <v>129</v>
      </c>
      <c r="F24" s="3">
        <f>'P&amp;L'!E23</f>
        <v>268233.70361729513</v>
      </c>
    </row>
    <row r="25" spans="1:6" x14ac:dyDescent="0.25">
      <c r="A25" t="s">
        <v>284</v>
      </c>
      <c r="F25" s="3"/>
    </row>
    <row r="26" spans="1:6" x14ac:dyDescent="0.25">
      <c r="F26" s="3"/>
    </row>
    <row r="27" spans="1:6" ht="15.75" thickBot="1" x14ac:dyDescent="0.3">
      <c r="A27" s="1" t="s">
        <v>130</v>
      </c>
      <c r="F27" s="20">
        <f>SUM(F23:F26)</f>
        <v>867531.66</v>
      </c>
    </row>
    <row r="28" spans="1:6" ht="15.75" thickTop="1" x14ac:dyDescent="0.25">
      <c r="F28" s="3"/>
    </row>
    <row r="29" spans="1:6" x14ac:dyDescent="0.25">
      <c r="F29" s="3"/>
    </row>
  </sheetData>
  <phoneticPr fontId="0" type="noConversion"/>
  <printOptions horizontalCentered="1"/>
  <pageMargins left="0" right="0" top="0.98425196850393704" bottom="0.98425196850393704" header="0.31496062992125984" footer="0.31496062992125984"/>
  <pageSetup paperSize="9" orientation="portrait" horizontalDpi="300" verticalDpi="300" r:id="rId1"/>
  <headerFooter alignWithMargins="0">
    <oddFooter>&amp;L&amp;8&amp;F  &amp;A 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265"/>
  <sheetViews>
    <sheetView zoomScale="125" zoomScaleNormal="125" workbookViewId="0"/>
  </sheetViews>
  <sheetFormatPr defaultColWidth="8.85546875" defaultRowHeight="15" x14ac:dyDescent="0.25"/>
  <cols>
    <col min="1" max="1" width="10.42578125" customWidth="1"/>
    <col min="2" max="2" width="15.42578125" customWidth="1"/>
    <col min="3" max="8" width="10.42578125" customWidth="1"/>
    <col min="9" max="20" width="10.42578125" hidden="1" customWidth="1"/>
    <col min="21" max="31" width="10.42578125" customWidth="1"/>
    <col min="32" max="32" width="10.85546875" customWidth="1"/>
  </cols>
  <sheetData>
    <row r="1" spans="1:32" x14ac:dyDescent="0.25">
      <c r="A1" s="1" t="s">
        <v>0</v>
      </c>
    </row>
    <row r="2" spans="1:32" x14ac:dyDescent="0.25">
      <c r="A2" s="1" t="s">
        <v>1222</v>
      </c>
    </row>
    <row r="4" spans="1:32" x14ac:dyDescent="0.25">
      <c r="G4" s="2" t="s">
        <v>131</v>
      </c>
      <c r="H4" s="2" t="s">
        <v>132</v>
      </c>
      <c r="I4" s="2" t="s">
        <v>132</v>
      </c>
      <c r="J4" s="2" t="s">
        <v>132</v>
      </c>
      <c r="K4" s="2" t="s">
        <v>132</v>
      </c>
      <c r="L4" s="2" t="s">
        <v>132</v>
      </c>
      <c r="M4" s="2" t="s">
        <v>132</v>
      </c>
      <c r="N4" s="2" t="s">
        <v>132</v>
      </c>
      <c r="O4" s="2" t="s">
        <v>132</v>
      </c>
      <c r="P4" s="2" t="s">
        <v>132</v>
      </c>
      <c r="Q4" s="2" t="s">
        <v>132</v>
      </c>
      <c r="R4" s="2" t="s">
        <v>132</v>
      </c>
      <c r="S4" s="2" t="s">
        <v>132</v>
      </c>
      <c r="T4" s="2" t="s">
        <v>132</v>
      </c>
      <c r="U4" s="2" t="s">
        <v>132</v>
      </c>
      <c r="V4" s="2" t="s">
        <v>132</v>
      </c>
      <c r="W4" s="2" t="s">
        <v>132</v>
      </c>
      <c r="X4" s="2" t="s">
        <v>132</v>
      </c>
      <c r="Y4" s="2" t="s">
        <v>132</v>
      </c>
      <c r="Z4" s="2" t="s">
        <v>132</v>
      </c>
      <c r="AA4" s="2" t="s">
        <v>132</v>
      </c>
      <c r="AB4" s="2" t="s">
        <v>132</v>
      </c>
      <c r="AC4" s="2" t="s">
        <v>132</v>
      </c>
      <c r="AD4" s="2" t="s">
        <v>132</v>
      </c>
      <c r="AE4" s="2" t="s">
        <v>132</v>
      </c>
      <c r="AF4" s="2" t="s">
        <v>132</v>
      </c>
    </row>
    <row r="5" spans="1:32" x14ac:dyDescent="0.25">
      <c r="A5" s="1" t="s">
        <v>2</v>
      </c>
      <c r="B5" s="1" t="s">
        <v>133</v>
      </c>
      <c r="C5" s="2" t="s">
        <v>134</v>
      </c>
      <c r="D5" s="2" t="s">
        <v>135</v>
      </c>
      <c r="E5" s="2" t="s">
        <v>136</v>
      </c>
      <c r="F5" s="2" t="s">
        <v>137</v>
      </c>
      <c r="G5" s="2" t="s">
        <v>138</v>
      </c>
      <c r="H5" s="2" t="s">
        <v>139</v>
      </c>
      <c r="I5" s="2" t="s">
        <v>140</v>
      </c>
      <c r="J5" s="2" t="s">
        <v>141</v>
      </c>
      <c r="K5" s="2" t="s">
        <v>142</v>
      </c>
      <c r="L5" s="2" t="s">
        <v>178</v>
      </c>
      <c r="M5" s="2" t="s">
        <v>191</v>
      </c>
      <c r="N5" s="2" t="s">
        <v>206</v>
      </c>
      <c r="O5" s="2" t="s">
        <v>220</v>
      </c>
      <c r="P5" s="2" t="s">
        <v>246</v>
      </c>
      <c r="Q5" s="2" t="s">
        <v>273</v>
      </c>
      <c r="R5" s="2" t="s">
        <v>308</v>
      </c>
      <c r="S5" s="2" t="s">
        <v>327</v>
      </c>
      <c r="T5" s="2" t="s">
        <v>343</v>
      </c>
      <c r="U5" s="2" t="s">
        <v>366</v>
      </c>
      <c r="V5" s="2" t="s">
        <v>421</v>
      </c>
      <c r="W5" s="2" t="s">
        <v>480</v>
      </c>
      <c r="X5" s="2" t="s">
        <v>550</v>
      </c>
      <c r="Y5" s="2" t="s">
        <v>606</v>
      </c>
      <c r="Z5" s="2" t="s">
        <v>610</v>
      </c>
      <c r="AA5" s="2" t="s">
        <v>722</v>
      </c>
      <c r="AB5" s="2" t="s">
        <v>801</v>
      </c>
      <c r="AC5" s="2" t="s">
        <v>907</v>
      </c>
      <c r="AD5" s="2" t="s">
        <v>998</v>
      </c>
      <c r="AE5" s="2" t="s">
        <v>1003</v>
      </c>
      <c r="AF5" s="2" t="s">
        <v>1223</v>
      </c>
    </row>
    <row r="6" spans="1:32" x14ac:dyDescent="0.25">
      <c r="A6" s="4">
        <v>35962</v>
      </c>
      <c r="B6" t="s">
        <v>143</v>
      </c>
      <c r="C6" s="6">
        <f>500+5+7+9+6+44+7+7+8+9+9+11+14+71+465+300</f>
        <v>1472</v>
      </c>
      <c r="D6" s="3">
        <f>4111.71+245+404+281.6+286.55+1852.4+314.05+325.67+318.82+310.97+306.77+385.55+372.46+1917+9991.93+7119.23</f>
        <v>28543.71</v>
      </c>
      <c r="E6" s="7">
        <v>31.84</v>
      </c>
      <c r="F6" s="3">
        <f t="shared" ref="F6:F15" si="0">C6*E6</f>
        <v>46868.480000000003</v>
      </c>
      <c r="G6" s="8">
        <f t="shared" ref="G6:G15" si="1">F6-D6</f>
        <v>18324.770000000004</v>
      </c>
      <c r="H6" s="8">
        <v>-81.709999999999994</v>
      </c>
      <c r="I6" s="8">
        <v>1085</v>
      </c>
      <c r="J6" s="8">
        <v>1385</v>
      </c>
      <c r="K6" s="8">
        <v>1710</v>
      </c>
      <c r="L6" s="8">
        <v>-1425</v>
      </c>
      <c r="M6" s="8">
        <v>-595</v>
      </c>
      <c r="N6" s="8">
        <v>2145</v>
      </c>
      <c r="O6" s="8">
        <v>6290</v>
      </c>
      <c r="P6" s="8">
        <v>7375</v>
      </c>
      <c r="Q6" s="8">
        <v>875</v>
      </c>
      <c r="R6" s="8">
        <v>10967.5</v>
      </c>
      <c r="S6" s="8">
        <v>-12260.690000000002</v>
      </c>
      <c r="T6" s="8">
        <v>-781.88999999999942</v>
      </c>
      <c r="U6" s="8">
        <v>-515.0099999999984</v>
      </c>
      <c r="V6" s="8">
        <v>-5977.52</v>
      </c>
      <c r="W6" s="8">
        <v>2437.4499999999971</v>
      </c>
      <c r="X6" s="8">
        <v>3769.3200000000033</v>
      </c>
      <c r="Y6" s="8">
        <v>-4254.4800000000032</v>
      </c>
      <c r="Z6" s="8">
        <v>-4593.2799999999952</v>
      </c>
      <c r="AA6" s="8">
        <v>1927.0799999999981</v>
      </c>
      <c r="AB6" s="8">
        <v>4155.9000000000015</v>
      </c>
      <c r="AC6" s="8">
        <v>636.29999999999927</v>
      </c>
      <c r="AD6" s="8">
        <v>-10324.650000000001</v>
      </c>
      <c r="AE6" s="8">
        <v>656.32000000000335</v>
      </c>
      <c r="AF6" s="8">
        <f t="shared" ref="AF6:AF27" si="2">G6-H6-I6-J6-K6-L6-M6-N6-O6-P6-Q6-R6-S6-T6-U6-V6-W6-X6-Y6-Z6-AA6-AB6-AC6-AD6-AE6</f>
        <v>13719.130000000001</v>
      </c>
    </row>
    <row r="7" spans="1:32" x14ac:dyDescent="0.25">
      <c r="A7" s="4">
        <v>38982</v>
      </c>
      <c r="B7" s="4" t="s">
        <v>274</v>
      </c>
      <c r="C7" s="6">
        <f>500+12+68+17+10+27+18+271+22+16+20+20+27+25+29+20+27-14+23+30-20+7+23+34+26+28+30+37-489</f>
        <v>844</v>
      </c>
      <c r="D7" s="3">
        <f>17270.66+425+1972+716.8+343.85+819.45+317+3658.5+553.8+519.75+288.3+273.28+719.6+850.85+1000.35+833.14+1135.06+947.75+1308.7+292+1027.95+1307.58+1102.92+1176.1+1308.98+1555.2-D112</f>
        <v>26568.071597222206</v>
      </c>
      <c r="E7" s="7">
        <v>41.91</v>
      </c>
      <c r="F7" s="3">
        <f t="shared" si="0"/>
        <v>35372.039999999994</v>
      </c>
      <c r="G7" s="8">
        <f t="shared" si="1"/>
        <v>8803.9684027777876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5718.0999999999985</v>
      </c>
      <c r="R7" s="8">
        <v>-3805.3099999999977</v>
      </c>
      <c r="S7" s="8">
        <v>-6530.1000000000022</v>
      </c>
      <c r="T7" s="8">
        <v>5553.1500000000015</v>
      </c>
      <c r="U7" s="8">
        <v>3787.6200000000063</v>
      </c>
      <c r="V7" s="8">
        <v>-1967.6000000000022</v>
      </c>
      <c r="W7" s="8">
        <v>10321.010000000009</v>
      </c>
      <c r="X7" s="8">
        <v>1891.9099999999999</v>
      </c>
      <c r="Y7" s="8">
        <v>-4265.2299999999959</v>
      </c>
      <c r="Z7" s="8">
        <v>1255.9599999999991</v>
      </c>
      <c r="AA7" s="8">
        <v>-133.36000000000786</v>
      </c>
      <c r="AB7" s="8">
        <v>3265.6184027777817</v>
      </c>
      <c r="AC7" s="8">
        <v>-11140.8</v>
      </c>
      <c r="AD7" s="8">
        <v>7317.48</v>
      </c>
      <c r="AE7" s="8">
        <v>12043.880000000005</v>
      </c>
      <c r="AF7" s="8">
        <f t="shared" si="2"/>
        <v>-14508.360000000008</v>
      </c>
    </row>
    <row r="8" spans="1:32" x14ac:dyDescent="0.25">
      <c r="A8" s="4">
        <v>38982</v>
      </c>
      <c r="B8" s="4" t="s">
        <v>275</v>
      </c>
      <c r="C8" s="6"/>
      <c r="D8" s="3"/>
      <c r="E8" s="7"/>
      <c r="F8" s="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x14ac:dyDescent="0.25">
      <c r="A9" s="4">
        <v>39276</v>
      </c>
      <c r="B9" s="4" t="s">
        <v>305</v>
      </c>
      <c r="C9" s="6">
        <f>500+22-160</f>
        <v>362</v>
      </c>
      <c r="D9" s="3">
        <f>28208.57+1573-D120</f>
        <v>20653.119425287357</v>
      </c>
      <c r="E9" s="7">
        <v>90.38</v>
      </c>
      <c r="F9" s="3">
        <f t="shared" si="0"/>
        <v>32717.559999999998</v>
      </c>
      <c r="G9" s="8">
        <f t="shared" si="1"/>
        <v>12064.44057471264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-8123.57</v>
      </c>
      <c r="S9" s="8">
        <v>-585</v>
      </c>
      <c r="T9" s="8">
        <v>4820</v>
      </c>
      <c r="U9" s="8">
        <v>1830</v>
      </c>
      <c r="V9" s="8">
        <v>400</v>
      </c>
      <c r="W9" s="8">
        <v>8040</v>
      </c>
      <c r="X9" s="8">
        <v>5850</v>
      </c>
      <c r="Y9" s="8">
        <v>2125</v>
      </c>
      <c r="Z9" s="8">
        <v>-5316.8600000000006</v>
      </c>
      <c r="AA9" s="8">
        <v>4405.68</v>
      </c>
      <c r="AB9" s="8">
        <v>-7719.4294252873551</v>
      </c>
      <c r="AC9" s="8">
        <v>3587.4199999999983</v>
      </c>
      <c r="AD9" s="8">
        <v>-4836.32</v>
      </c>
      <c r="AE9" s="8">
        <v>11022.900000000001</v>
      </c>
      <c r="AF9" s="8">
        <f t="shared" si="2"/>
        <v>-3435.3800000000047</v>
      </c>
    </row>
    <row r="10" spans="1:32" x14ac:dyDescent="0.25">
      <c r="A10" s="4">
        <v>41025</v>
      </c>
      <c r="B10" s="4" t="s">
        <v>422</v>
      </c>
      <c r="C10" s="6">
        <f>5000-2000-1000-850</f>
        <v>1150</v>
      </c>
      <c r="D10" s="3">
        <f>10316-D159-D149-D113</f>
        <v>2372.6799999999998</v>
      </c>
      <c r="E10" s="7">
        <v>12.92</v>
      </c>
      <c r="F10" s="3">
        <f t="shared" si="0"/>
        <v>14858</v>
      </c>
      <c r="G10" s="8">
        <f t="shared" si="1"/>
        <v>12485.32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434</v>
      </c>
      <c r="W10" s="8">
        <v>37450</v>
      </c>
      <c r="X10" s="8">
        <v>-11283.599999999999</v>
      </c>
      <c r="Y10" s="8">
        <v>4073.1999999999971</v>
      </c>
      <c r="Z10" s="8">
        <v>9700</v>
      </c>
      <c r="AA10" s="8">
        <v>13180</v>
      </c>
      <c r="AB10" s="8">
        <v>-29131.279999999999</v>
      </c>
      <c r="AC10" s="8">
        <v>31855</v>
      </c>
      <c r="AD10" s="8">
        <v>8061.5</v>
      </c>
      <c r="AE10" s="8">
        <v>-4772.5</v>
      </c>
      <c r="AF10" s="8">
        <f t="shared" si="2"/>
        <v>-47081</v>
      </c>
    </row>
    <row r="11" spans="1:32" x14ac:dyDescent="0.25">
      <c r="A11" s="4">
        <v>43033</v>
      </c>
      <c r="B11" s="4" t="s">
        <v>803</v>
      </c>
      <c r="C11" s="6">
        <v>32886.623399999997</v>
      </c>
      <c r="D11" s="3">
        <v>40000</v>
      </c>
      <c r="E11" s="7">
        <v>1.1518999999999999</v>
      </c>
      <c r="F11" s="3">
        <f t="shared" si="0"/>
        <v>37882.101494459996</v>
      </c>
      <c r="G11" s="8">
        <f t="shared" si="1"/>
        <v>-2117.8985055400044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105.23723629999586</v>
      </c>
      <c r="AC11" s="8">
        <v>141.41248061999795</v>
      </c>
      <c r="AD11" s="8">
        <v>-578.80457184000261</v>
      </c>
      <c r="AE11" s="8">
        <v>95.371207860007416</v>
      </c>
      <c r="AF11" s="8">
        <f t="shared" si="2"/>
        <v>-1881.114858480003</v>
      </c>
    </row>
    <row r="12" spans="1:32" x14ac:dyDescent="0.25">
      <c r="A12" s="4">
        <v>43033</v>
      </c>
      <c r="B12" s="4" t="s">
        <v>802</v>
      </c>
      <c r="C12" s="6">
        <v>30039.050800000001</v>
      </c>
      <c r="D12" s="3">
        <v>30000</v>
      </c>
      <c r="E12" s="7">
        <v>0.8921</v>
      </c>
      <c r="F12" s="3">
        <f t="shared" si="0"/>
        <v>26797.837218680001</v>
      </c>
      <c r="G12" s="8">
        <f t="shared" si="1"/>
        <v>-3202.1627813199993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33.042989839999791</v>
      </c>
      <c r="AC12" s="8">
        <v>1138.4800253200046</v>
      </c>
      <c r="AD12" s="8">
        <v>-537.69900932000382</v>
      </c>
      <c r="AE12" s="8">
        <v>-642.83568712000124</v>
      </c>
      <c r="AF12" s="8">
        <f t="shared" si="2"/>
        <v>-3193.1511000399987</v>
      </c>
    </row>
    <row r="13" spans="1:32" x14ac:dyDescent="0.25">
      <c r="A13" s="4">
        <v>43033</v>
      </c>
      <c r="B13" s="4" t="s">
        <v>804</v>
      </c>
      <c r="C13" s="6">
        <f>28739.7609-10403.0039</f>
        <v>18336.757000000001</v>
      </c>
      <c r="D13" s="3">
        <f>60000-24435.62</f>
        <v>35564.380000000005</v>
      </c>
      <c r="E13" s="7">
        <v>1.9389000000000001</v>
      </c>
      <c r="F13" s="3">
        <f t="shared" si="0"/>
        <v>35553.138147300007</v>
      </c>
      <c r="G13" s="8">
        <f t="shared" si="1"/>
        <v>-11.241852699997253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3218.8520517300058</v>
      </c>
      <c r="AC13" s="8">
        <v>4287.9723262799962</v>
      </c>
      <c r="AD13" s="8">
        <v>-4178.9427810100024</v>
      </c>
      <c r="AE13" s="8">
        <v>5301.1564486999996</v>
      </c>
      <c r="AF13" s="8">
        <f t="shared" si="2"/>
        <v>-8640.2798983999965</v>
      </c>
    </row>
    <row r="14" spans="1:32" x14ac:dyDescent="0.25">
      <c r="A14" s="4">
        <v>43033</v>
      </c>
      <c r="B14" s="4" t="s">
        <v>805</v>
      </c>
      <c r="C14" s="6"/>
      <c r="D14" s="3"/>
      <c r="E14" s="7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x14ac:dyDescent="0.25">
      <c r="A15" s="4">
        <v>43432</v>
      </c>
      <c r="B15" s="4" t="s">
        <v>908</v>
      </c>
      <c r="C15" s="6">
        <v>844</v>
      </c>
      <c r="D15" s="3">
        <v>0</v>
      </c>
      <c r="E15" s="7">
        <v>17.809999999999999</v>
      </c>
      <c r="F15" s="3">
        <f t="shared" si="0"/>
        <v>15031.64</v>
      </c>
      <c r="G15" s="8">
        <f t="shared" si="1"/>
        <v>15031.64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11267.4</v>
      </c>
      <c r="AD15" s="8">
        <v>3224.0800000000017</v>
      </c>
      <c r="AE15" s="8">
        <v>-67.520000000002256</v>
      </c>
      <c r="AF15" s="8">
        <f t="shared" si="2"/>
        <v>607.68000000000029</v>
      </c>
    </row>
    <row r="16" spans="1:32" x14ac:dyDescent="0.25">
      <c r="A16" s="4">
        <v>43602</v>
      </c>
      <c r="B16" s="4" t="s">
        <v>909</v>
      </c>
      <c r="C16" s="6"/>
      <c r="D16" s="3"/>
      <c r="E16" s="7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x14ac:dyDescent="0.25">
      <c r="A17" s="4">
        <v>43448</v>
      </c>
      <c r="B17" s="4" t="s">
        <v>910</v>
      </c>
      <c r="C17" s="6"/>
      <c r="D17" s="3"/>
      <c r="E17" s="7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x14ac:dyDescent="0.25">
      <c r="A18" s="4">
        <v>43417</v>
      </c>
      <c r="B18" s="40" t="s">
        <v>911</v>
      </c>
      <c r="C18" s="6">
        <f>2950+4412-4362</f>
        <v>3000</v>
      </c>
      <c r="D18" s="3">
        <f>25032.99+30000-35015.85+2408.69</f>
        <v>22425.830000000005</v>
      </c>
      <c r="E18" s="7">
        <v>4.42</v>
      </c>
      <c r="F18" s="3">
        <f t="shared" ref="F18:F20" si="3">C18*E18</f>
        <v>13260</v>
      </c>
      <c r="G18" s="8">
        <f t="shared" ref="G18:G20" si="4">F18-D18</f>
        <v>-9165.8300000000054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-3940.4900000000016</v>
      </c>
      <c r="AD18" s="8">
        <v>-3481</v>
      </c>
      <c r="AE18" s="8">
        <v>9175.6599999999962</v>
      </c>
      <c r="AF18" s="8">
        <f t="shared" si="2"/>
        <v>-10920</v>
      </c>
    </row>
    <row r="19" spans="1:32" x14ac:dyDescent="0.25">
      <c r="A19" s="4">
        <v>43405</v>
      </c>
      <c r="B19" s="4" t="s">
        <v>912</v>
      </c>
      <c r="C19" s="6">
        <v>251</v>
      </c>
      <c r="D19" s="3">
        <v>19930.82</v>
      </c>
      <c r="E19" s="7">
        <v>76</v>
      </c>
      <c r="F19" s="3">
        <f t="shared" si="3"/>
        <v>19076</v>
      </c>
      <c r="G19" s="8">
        <f t="shared" si="4"/>
        <v>-854.81999999999971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3286.6800000000003</v>
      </c>
      <c r="AD19" s="8">
        <v>-5805.6299999999974</v>
      </c>
      <c r="AE19" s="8">
        <v>5301.1199999999953</v>
      </c>
      <c r="AF19" s="8">
        <f t="shared" si="2"/>
        <v>-3636.989999999998</v>
      </c>
    </row>
    <row r="20" spans="1:32" x14ac:dyDescent="0.25">
      <c r="A20" s="4">
        <v>43777</v>
      </c>
      <c r="B20" s="4" t="s">
        <v>997</v>
      </c>
      <c r="C20" s="6">
        <v>38980.237999999998</v>
      </c>
      <c r="D20" s="3">
        <v>40000</v>
      </c>
      <c r="E20" s="7">
        <v>0.86960000000000004</v>
      </c>
      <c r="F20" s="3">
        <f t="shared" si="3"/>
        <v>33897.214964799998</v>
      </c>
      <c r="G20" s="8">
        <f t="shared" si="4"/>
        <v>-6102.7850352000023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-3479.4111197762031</v>
      </c>
      <c r="AE20" s="8">
        <v>13062.273855776199</v>
      </c>
      <c r="AF20" s="8">
        <f t="shared" si="2"/>
        <v>-15685.647771199998</v>
      </c>
    </row>
    <row r="21" spans="1:32" x14ac:dyDescent="0.25">
      <c r="A21" s="4">
        <v>44081</v>
      </c>
      <c r="B21" s="4" t="s">
        <v>1083</v>
      </c>
      <c r="C21" s="6">
        <f>5000+1800</f>
        <v>6800</v>
      </c>
      <c r="D21" s="3">
        <f>22427.55+6837.31</f>
        <v>29264.86</v>
      </c>
      <c r="E21" s="7">
        <v>3.8</v>
      </c>
      <c r="F21" s="3">
        <f t="shared" ref="F21:F28" si="5">C21*E21</f>
        <v>25840</v>
      </c>
      <c r="G21" s="8">
        <f t="shared" ref="G21:G28" si="6">F21-D21</f>
        <v>-3424.8600000000006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-3827.5499999999993</v>
      </c>
      <c r="AF21" s="8">
        <f t="shared" si="2"/>
        <v>402.68999999999869</v>
      </c>
    </row>
    <row r="22" spans="1:32" x14ac:dyDescent="0.25">
      <c r="A22" s="4">
        <v>44127</v>
      </c>
      <c r="B22" s="4" t="s">
        <v>1084</v>
      </c>
      <c r="C22" s="6"/>
      <c r="D22" s="3"/>
      <c r="E22" s="7"/>
      <c r="F22" s="3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x14ac:dyDescent="0.25">
      <c r="A23" s="4">
        <v>44130</v>
      </c>
      <c r="B23" s="4" t="s">
        <v>1085</v>
      </c>
      <c r="C23" s="6">
        <v>23887.727699999999</v>
      </c>
      <c r="D23" s="3">
        <v>40000</v>
      </c>
      <c r="E23" s="7">
        <v>1.4536</v>
      </c>
      <c r="F23" s="3">
        <f t="shared" si="5"/>
        <v>34723.200984720002</v>
      </c>
      <c r="G23" s="8">
        <f t="shared" si="6"/>
        <v>-5276.7990152799975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3478.0531867699974</v>
      </c>
      <c r="AF23" s="8">
        <f t="shared" si="2"/>
        <v>-8754.852202049995</v>
      </c>
    </row>
    <row r="24" spans="1:32" x14ac:dyDescent="0.25">
      <c r="A24" s="4">
        <v>44130</v>
      </c>
      <c r="B24" s="4" t="s">
        <v>1086</v>
      </c>
      <c r="C24" s="6">
        <v>26345.254499999999</v>
      </c>
      <c r="D24" s="3">
        <v>40000</v>
      </c>
      <c r="E24" s="7">
        <v>1.1516999999999999</v>
      </c>
      <c r="F24" s="3">
        <f t="shared" si="5"/>
        <v>30341.829607649997</v>
      </c>
      <c r="G24" s="8">
        <f t="shared" si="6"/>
        <v>-9658.1703923500027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24095.369673050001</v>
      </c>
      <c r="AF24" s="8">
        <f t="shared" si="2"/>
        <v>-33753.540065400004</v>
      </c>
    </row>
    <row r="25" spans="1:32" x14ac:dyDescent="0.25">
      <c r="A25" s="4">
        <v>44216</v>
      </c>
      <c r="B25" s="4" t="s">
        <v>1087</v>
      </c>
      <c r="C25" s="6">
        <v>800</v>
      </c>
      <c r="D25" s="3">
        <v>21137.63</v>
      </c>
      <c r="E25" s="7">
        <v>20.89</v>
      </c>
      <c r="F25" s="3">
        <f t="shared" si="5"/>
        <v>16712</v>
      </c>
      <c r="G25" s="8">
        <f t="shared" si="6"/>
        <v>-4425.630000000001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-913.63000000000102</v>
      </c>
      <c r="AF25" s="8">
        <f t="shared" si="2"/>
        <v>-3512</v>
      </c>
    </row>
    <row r="26" spans="1:32" x14ac:dyDescent="0.25">
      <c r="A26" s="4">
        <v>44243</v>
      </c>
      <c r="B26" s="4" t="s">
        <v>1088</v>
      </c>
      <c r="C26" s="6">
        <f>5986+11500+26500</f>
        <v>43986</v>
      </c>
      <c r="D26" s="3">
        <f>9680+20459.32+39889.72</f>
        <v>70029.040000000008</v>
      </c>
      <c r="E26" s="7">
        <v>1.34</v>
      </c>
      <c r="F26" s="3">
        <f t="shared" si="5"/>
        <v>58941.240000000005</v>
      </c>
      <c r="G26" s="8">
        <f t="shared" si="6"/>
        <v>-11087.800000000003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1154.6599999999999</v>
      </c>
      <c r="AF26" s="8">
        <f t="shared" si="2"/>
        <v>-12242.460000000003</v>
      </c>
    </row>
    <row r="27" spans="1:32" x14ac:dyDescent="0.25">
      <c r="A27" s="4">
        <v>44347</v>
      </c>
      <c r="B27" s="4" t="s">
        <v>996</v>
      </c>
      <c r="C27" s="6">
        <v>100000</v>
      </c>
      <c r="D27" s="3">
        <v>100000</v>
      </c>
      <c r="E27" s="7">
        <v>1</v>
      </c>
      <c r="F27" s="3">
        <f t="shared" si="5"/>
        <v>100000</v>
      </c>
      <c r="G27" s="8">
        <f t="shared" si="6"/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f t="shared" si="2"/>
        <v>0</v>
      </c>
    </row>
    <row r="28" spans="1:32" x14ac:dyDescent="0.25">
      <c r="A28" s="4">
        <v>44256</v>
      </c>
      <c r="B28" s="4" t="s">
        <v>1228</v>
      </c>
      <c r="C28" s="6">
        <v>5986</v>
      </c>
      <c r="D28" s="3">
        <v>0</v>
      </c>
      <c r="E28" s="7">
        <v>5.0000000000000001E-3</v>
      </c>
      <c r="F28" s="3">
        <f t="shared" si="5"/>
        <v>29.93</v>
      </c>
      <c r="G28" s="8">
        <f t="shared" si="6"/>
        <v>29.93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167.608</v>
      </c>
      <c r="AF28" s="8">
        <f t="shared" ref="AF28:AF31" si="7">G28-H28-I28-J28-K28-L28-M28-N28-O28-P28-Q28-R28-S28-T28-U28-V28-W28-X28-Y28-Z28-AA28-AB28-AC28-AD28-AE28</f>
        <v>-137.678</v>
      </c>
    </row>
    <row r="29" spans="1:32" x14ac:dyDescent="0.25">
      <c r="A29" s="4">
        <v>44532</v>
      </c>
      <c r="B29" s="4" t="s">
        <v>1224</v>
      </c>
      <c r="C29" s="6">
        <v>550</v>
      </c>
      <c r="D29" s="3">
        <v>25085.69</v>
      </c>
      <c r="E29" s="7">
        <v>48.27</v>
      </c>
      <c r="F29" s="3">
        <f t="shared" ref="F29:F32" si="8">C29*E29</f>
        <v>26548.5</v>
      </c>
      <c r="G29" s="8">
        <f t="shared" ref="G29:G32" si="9">F29-D29</f>
        <v>1462.8100000000013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f t="shared" si="7"/>
        <v>1462.8100000000013</v>
      </c>
    </row>
    <row r="30" spans="1:32" x14ac:dyDescent="0.25">
      <c r="A30" s="4">
        <v>44713</v>
      </c>
      <c r="B30" s="4" t="s">
        <v>1225</v>
      </c>
      <c r="C30" s="6">
        <v>14769.1788</v>
      </c>
      <c r="D30" s="3">
        <v>35000</v>
      </c>
      <c r="E30" s="7">
        <v>2.1886000000000001</v>
      </c>
      <c r="F30" s="3">
        <f t="shared" si="8"/>
        <v>32323.824721680001</v>
      </c>
      <c r="G30" s="8">
        <f t="shared" si="9"/>
        <v>-2676.1752783199991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f t="shared" si="7"/>
        <v>-2676.1752783199991</v>
      </c>
    </row>
    <row r="31" spans="1:32" x14ac:dyDescent="0.25">
      <c r="A31" s="4">
        <v>44713</v>
      </c>
      <c r="B31" s="4" t="s">
        <v>1226</v>
      </c>
      <c r="C31" s="6">
        <v>24129.610499999999</v>
      </c>
      <c r="D31" s="3">
        <v>35000</v>
      </c>
      <c r="E31" s="7">
        <v>1.3843000000000001</v>
      </c>
      <c r="F31" s="3">
        <f t="shared" si="8"/>
        <v>33402.619815149999</v>
      </c>
      <c r="G31" s="8">
        <f t="shared" si="9"/>
        <v>-1597.3801848500007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f t="shared" si="7"/>
        <v>-1597.3801848500007</v>
      </c>
    </row>
    <row r="32" spans="1:32" x14ac:dyDescent="0.25">
      <c r="A32" s="4">
        <v>44657</v>
      </c>
      <c r="B32" s="4" t="s">
        <v>1090</v>
      </c>
      <c r="C32" s="6">
        <v>144</v>
      </c>
      <c r="D32" s="3">
        <v>0</v>
      </c>
      <c r="E32" s="7">
        <v>0.73499999999999999</v>
      </c>
      <c r="F32" s="3">
        <f t="shared" si="8"/>
        <v>105.84</v>
      </c>
      <c r="G32" s="8">
        <f t="shared" si="9"/>
        <v>105.84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f t="shared" ref="AF32" si="10">G32-H32-I32-J32-K32-L32-M32-N32-O32-P32-Q32-R32-S32-T32-U32-V32-W32-X32-Y32-Z32-AA32-AB32-AC32-AD32-AE32</f>
        <v>105.84</v>
      </c>
    </row>
    <row r="33" spans="1:32" x14ac:dyDescent="0.25">
      <c r="A33" s="4"/>
      <c r="C33" s="6"/>
      <c r="D33" s="3"/>
      <c r="E33" s="7"/>
      <c r="F33" s="3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x14ac:dyDescent="0.25">
      <c r="A34" s="4"/>
      <c r="C34" s="6"/>
      <c r="D34" s="5">
        <f>SUM(D6:D33)</f>
        <v>661575.83102250949</v>
      </c>
      <c r="E34" s="7"/>
      <c r="F34" s="5">
        <f t="shared" ref="F34:AF34" si="11">SUM(F6:F33)</f>
        <v>670282.99695444014</v>
      </c>
      <c r="G34" s="9">
        <f t="shared" si="11"/>
        <v>8707.1659319304199</v>
      </c>
      <c r="H34" s="9">
        <f t="shared" si="11"/>
        <v>-81.709999999999994</v>
      </c>
      <c r="I34" s="9">
        <f t="shared" si="11"/>
        <v>1085</v>
      </c>
      <c r="J34" s="9">
        <f t="shared" si="11"/>
        <v>1385</v>
      </c>
      <c r="K34" s="9">
        <f t="shared" si="11"/>
        <v>1710</v>
      </c>
      <c r="L34" s="9">
        <f t="shared" si="11"/>
        <v>-1425</v>
      </c>
      <c r="M34" s="9">
        <f t="shared" si="11"/>
        <v>-595</v>
      </c>
      <c r="N34" s="9">
        <f t="shared" si="11"/>
        <v>2145</v>
      </c>
      <c r="O34" s="9">
        <f t="shared" si="11"/>
        <v>6290</v>
      </c>
      <c r="P34" s="9">
        <f t="shared" si="11"/>
        <v>7375</v>
      </c>
      <c r="Q34" s="9">
        <f t="shared" si="11"/>
        <v>6593.0999999999985</v>
      </c>
      <c r="R34" s="9">
        <f t="shared" si="11"/>
        <v>-961.37999999999738</v>
      </c>
      <c r="S34" s="9">
        <f t="shared" si="11"/>
        <v>-19375.790000000005</v>
      </c>
      <c r="T34" s="9">
        <f t="shared" si="11"/>
        <v>9591.260000000002</v>
      </c>
      <c r="U34" s="9">
        <f t="shared" si="11"/>
        <v>5102.6100000000079</v>
      </c>
      <c r="V34" s="9">
        <f t="shared" si="11"/>
        <v>-7111.1200000000026</v>
      </c>
      <c r="W34" s="9">
        <f t="shared" si="11"/>
        <v>58248.460000000006</v>
      </c>
      <c r="X34" s="9">
        <f t="shared" si="11"/>
        <v>227.63000000000466</v>
      </c>
      <c r="Y34" s="9">
        <f t="shared" si="11"/>
        <v>-2321.510000000002</v>
      </c>
      <c r="Z34" s="9">
        <f t="shared" si="11"/>
        <v>1045.8200000000033</v>
      </c>
      <c r="AA34" s="9">
        <f t="shared" si="11"/>
        <v>19379.399999999991</v>
      </c>
      <c r="AB34" s="9">
        <f t="shared" si="11"/>
        <v>-26072.058744639569</v>
      </c>
      <c r="AC34" s="9">
        <f t="shared" si="11"/>
        <v>41119.37483221999</v>
      </c>
      <c r="AD34" s="9">
        <f t="shared" si="11"/>
        <v>-14619.397481946209</v>
      </c>
      <c r="AE34" s="9">
        <f t="shared" si="11"/>
        <v>75330.336685036193</v>
      </c>
      <c r="AF34" s="9">
        <f t="shared" si="11"/>
        <v>-155357.85935874001</v>
      </c>
    </row>
    <row r="35" spans="1:32" x14ac:dyDescent="0.25">
      <c r="A35" s="4"/>
      <c r="C35" s="6"/>
      <c r="D35" s="26"/>
      <c r="E35" s="7"/>
      <c r="F35" s="26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</row>
    <row r="36" spans="1:32" x14ac:dyDescent="0.25">
      <c r="A36" s="1" t="s">
        <v>0</v>
      </c>
      <c r="C36" s="6"/>
      <c r="D36" s="26"/>
      <c r="E36" s="7"/>
      <c r="F36" s="26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</row>
    <row r="37" spans="1:32" x14ac:dyDescent="0.25">
      <c r="A37" s="1" t="s">
        <v>1227</v>
      </c>
      <c r="C37" s="6"/>
      <c r="D37" s="26"/>
      <c r="E37" s="7"/>
      <c r="F37" s="26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</row>
    <row r="38" spans="1:32" x14ac:dyDescent="0.25">
      <c r="G38" s="2" t="s">
        <v>131</v>
      </c>
      <c r="H38" s="2" t="s">
        <v>150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</row>
    <row r="39" spans="1:32" x14ac:dyDescent="0.25">
      <c r="A39" s="1" t="s">
        <v>2</v>
      </c>
      <c r="B39" s="1" t="s">
        <v>133</v>
      </c>
      <c r="C39" s="2" t="s">
        <v>134</v>
      </c>
      <c r="D39" s="2" t="s">
        <v>135</v>
      </c>
      <c r="E39" s="2" t="s">
        <v>151</v>
      </c>
      <c r="F39" s="2" t="s">
        <v>152</v>
      </c>
      <c r="G39" s="2" t="s">
        <v>138</v>
      </c>
      <c r="H39" s="2" t="s">
        <v>153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</row>
    <row r="40" spans="1:32" x14ac:dyDescent="0.25">
      <c r="A40" s="4">
        <v>44532</v>
      </c>
      <c r="B40" s="4" t="s">
        <v>1084</v>
      </c>
      <c r="C40" s="6">
        <v>20000</v>
      </c>
      <c r="D40" s="3">
        <v>31026.69</v>
      </c>
      <c r="E40" s="4">
        <v>44127</v>
      </c>
      <c r="F40" s="26">
        <v>36909.86</v>
      </c>
      <c r="G40" s="8">
        <f>F40-D40</f>
        <v>5883.1700000000019</v>
      </c>
      <c r="H40" s="15">
        <v>273.31000000000131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</row>
    <row r="41" spans="1:32" x14ac:dyDescent="0.25">
      <c r="A41" s="4">
        <v>44532</v>
      </c>
      <c r="B41" s="4" t="s">
        <v>909</v>
      </c>
      <c r="C41" s="6">
        <v>6500</v>
      </c>
      <c r="D41" s="3">
        <v>20619.2</v>
      </c>
      <c r="E41" s="4">
        <v>43602</v>
      </c>
      <c r="F41" s="26">
        <v>20822.73</v>
      </c>
      <c r="G41" s="8">
        <f>F41-D41</f>
        <v>203.52999999999884</v>
      </c>
      <c r="H41" s="15">
        <v>-664.20000000000073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3"/>
      <c r="W41" s="15"/>
      <c r="X41" s="15"/>
      <c r="Y41" s="15"/>
      <c r="Z41" s="15"/>
      <c r="AA41" s="15"/>
      <c r="AB41" s="15"/>
      <c r="AC41" s="15"/>
      <c r="AD41" s="15"/>
      <c r="AE41" s="15"/>
      <c r="AF41" s="15"/>
    </row>
    <row r="42" spans="1:32" x14ac:dyDescent="0.25">
      <c r="A42" s="4">
        <v>44644</v>
      </c>
      <c r="B42" s="4" t="s">
        <v>805</v>
      </c>
      <c r="C42" s="6">
        <f>34634.6049-10637.4596-6805.7168-1201.0088</f>
        <v>15990.419699999995</v>
      </c>
      <c r="D42" s="3">
        <f>70000-21498.75-13754.64-2427.29</f>
        <v>32319.32</v>
      </c>
      <c r="E42" s="4">
        <v>43033</v>
      </c>
      <c r="F42" s="26">
        <v>39425.980000000003</v>
      </c>
      <c r="G42" s="8">
        <f>F42-D42</f>
        <v>7106.6600000000035</v>
      </c>
      <c r="H42" s="15">
        <v>11472.043390419982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</row>
    <row r="43" spans="1:32" x14ac:dyDescent="0.25">
      <c r="A43" s="4">
        <v>44713</v>
      </c>
      <c r="B43" s="4" t="s">
        <v>275</v>
      </c>
      <c r="C43" s="46">
        <f>1970+8030-10000+1754+62+78+45+118+57+47+61+56+61+61+63+62+58+64+62+60+58+62+55+71+70+149-1255+348-1000+1025+262</f>
        <v>2614</v>
      </c>
      <c r="D43" s="47">
        <f>24389.01+3406</f>
        <v>27795.01</v>
      </c>
      <c r="E43" s="4">
        <v>38982</v>
      </c>
      <c r="F43" s="26">
        <v>37812.769999999997</v>
      </c>
      <c r="G43" s="8">
        <f>F43-D43</f>
        <v>10017.759999999998</v>
      </c>
      <c r="H43" s="15">
        <v>9079.9488888888882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</row>
    <row r="44" spans="1:32" x14ac:dyDescent="0.25">
      <c r="A44" s="4">
        <v>44713</v>
      </c>
      <c r="B44" s="4" t="s">
        <v>910</v>
      </c>
      <c r="C44" s="6">
        <v>2900</v>
      </c>
      <c r="D44" s="3">
        <v>20547.5</v>
      </c>
      <c r="E44" s="4">
        <v>43448</v>
      </c>
      <c r="F44" s="26">
        <v>19734.34</v>
      </c>
      <c r="G44" s="8">
        <f>F44-D44</f>
        <v>-813.15999999999985</v>
      </c>
      <c r="H44" s="15">
        <v>-7468.5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</row>
    <row r="45" spans="1:32" x14ac:dyDescent="0.25">
      <c r="A45" s="4"/>
      <c r="C45" s="6"/>
      <c r="D45" s="5">
        <f>SUM(D35:D44)</f>
        <v>132307.71999999997</v>
      </c>
      <c r="E45" s="7"/>
      <c r="F45" s="5">
        <f>SUM(F35:F44)</f>
        <v>154705.68</v>
      </c>
      <c r="G45" s="9">
        <f>SUM(G35:G44)</f>
        <v>22397.960000000003</v>
      </c>
      <c r="H45" s="9">
        <f>SUM(H35:H44)</f>
        <v>12692.60227930887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</row>
    <row r="46" spans="1:32" x14ac:dyDescent="0.25">
      <c r="A46" t="s">
        <v>132</v>
      </c>
      <c r="G46" s="9">
        <f>G45-H45</f>
        <v>9705.3577206911323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</row>
    <row r="47" spans="1:32" x14ac:dyDescent="0.25">
      <c r="G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</row>
    <row r="48" spans="1:32" x14ac:dyDescent="0.25">
      <c r="A48" s="1" t="s">
        <v>0</v>
      </c>
      <c r="C48" s="6"/>
      <c r="D48" s="26"/>
      <c r="E48" s="7"/>
      <c r="F48" s="26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</row>
    <row r="49" spans="1:31" x14ac:dyDescent="0.25">
      <c r="A49" s="1" t="s">
        <v>1004</v>
      </c>
      <c r="C49" s="6"/>
      <c r="D49" s="26"/>
      <c r="E49" s="7"/>
      <c r="F49" s="26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</row>
    <row r="50" spans="1:31" x14ac:dyDescent="0.25">
      <c r="G50" s="2" t="s">
        <v>131</v>
      </c>
      <c r="H50" s="2" t="s">
        <v>150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</row>
    <row r="51" spans="1:31" x14ac:dyDescent="0.25">
      <c r="A51" s="1" t="s">
        <v>2</v>
      </c>
      <c r="B51" s="1" t="s">
        <v>133</v>
      </c>
      <c r="C51" s="2" t="s">
        <v>134</v>
      </c>
      <c r="D51" s="2" t="s">
        <v>135</v>
      </c>
      <c r="E51" s="2" t="s">
        <v>151</v>
      </c>
      <c r="F51" s="2" t="s">
        <v>152</v>
      </c>
      <c r="G51" s="2" t="s">
        <v>138</v>
      </c>
      <c r="H51" s="2" t="s">
        <v>153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</row>
    <row r="52" spans="1:31" x14ac:dyDescent="0.25">
      <c r="A52" s="4">
        <v>44127</v>
      </c>
      <c r="B52" s="4" t="s">
        <v>806</v>
      </c>
      <c r="C52" s="6">
        <v>29786</v>
      </c>
      <c r="D52" s="3">
        <v>45000</v>
      </c>
      <c r="E52" s="4">
        <v>42989</v>
      </c>
      <c r="F52" s="26">
        <v>58141.2</v>
      </c>
      <c r="G52" s="8">
        <f>F52-D52</f>
        <v>13141.199999999997</v>
      </c>
      <c r="H52" s="15">
        <v>6976.57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</row>
    <row r="53" spans="1:31" x14ac:dyDescent="0.25">
      <c r="A53" s="4">
        <v>44127</v>
      </c>
      <c r="B53" s="4" t="s">
        <v>995</v>
      </c>
      <c r="C53" s="6">
        <v>920</v>
      </c>
      <c r="D53" s="3">
        <v>20351.7</v>
      </c>
      <c r="E53" s="4">
        <v>43965</v>
      </c>
      <c r="F53" s="26">
        <v>23244.71</v>
      </c>
      <c r="G53" s="8">
        <f>F53-D53</f>
        <v>2893.0099999999984</v>
      </c>
      <c r="H53" s="15">
        <v>1820.2999999999993</v>
      </c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</row>
    <row r="54" spans="1:31" x14ac:dyDescent="0.25">
      <c r="A54" s="4">
        <v>43850</v>
      </c>
      <c r="B54" s="4" t="s">
        <v>342</v>
      </c>
      <c r="C54" s="6">
        <v>500</v>
      </c>
      <c r="D54" s="3">
        <v>18581.400000000001</v>
      </c>
      <c r="E54" s="4">
        <v>40316</v>
      </c>
      <c r="F54" s="26">
        <v>22548.84</v>
      </c>
      <c r="G54" s="8">
        <f>F54-D54</f>
        <v>3967.4399999999987</v>
      </c>
      <c r="H54" s="15">
        <v>-671.40000000000146</v>
      </c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x14ac:dyDescent="0.25">
      <c r="A55" s="4">
        <v>44365</v>
      </c>
      <c r="B55" s="4" t="s">
        <v>911</v>
      </c>
      <c r="C55" s="6">
        <v>4362</v>
      </c>
      <c r="D55" s="3">
        <f>4362/7362*(25032.99+30000)</f>
        <v>32607.158704156482</v>
      </c>
      <c r="E55" s="4">
        <v>43417</v>
      </c>
      <c r="F55" s="26">
        <v>35015.85</v>
      </c>
      <c r="G55" s="8">
        <f>F55-D55</f>
        <v>2408.6912958435169</v>
      </c>
      <c r="H55" s="15">
        <f>-7421.49*4362/(7362)</f>
        <v>-4397.2479462102692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x14ac:dyDescent="0.25">
      <c r="A56" s="4"/>
      <c r="C56" s="6"/>
      <c r="D56" s="5">
        <f>SUM(D46:D55)</f>
        <v>116540.25870415648</v>
      </c>
      <c r="E56" s="7"/>
      <c r="F56" s="5">
        <f>SUM(F46:F55)</f>
        <v>138950.6</v>
      </c>
      <c r="G56" s="9">
        <f>SUM(G46:G55)</f>
        <v>32115.699016534643</v>
      </c>
      <c r="H56" s="9">
        <f>SUM(H46:H55)</f>
        <v>3728.2220537897283</v>
      </c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x14ac:dyDescent="0.25">
      <c r="A57" t="s">
        <v>132</v>
      </c>
      <c r="G57" s="9">
        <f>G56-H56</f>
        <v>28387.476962744913</v>
      </c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x14ac:dyDescent="0.25">
      <c r="A58" s="4"/>
      <c r="C58" s="6"/>
      <c r="D58" s="26"/>
      <c r="E58" s="7"/>
      <c r="F58" s="26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x14ac:dyDescent="0.25">
      <c r="A59" t="s">
        <v>1089</v>
      </c>
      <c r="C59" s="6"/>
      <c r="D59" s="26"/>
      <c r="E59" s="7"/>
      <c r="F59" s="26"/>
      <c r="G59" s="15"/>
      <c r="H59" s="15">
        <f>H55</f>
        <v>-4397.2479462102692</v>
      </c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x14ac:dyDescent="0.25">
      <c r="A60" t="s">
        <v>1091</v>
      </c>
      <c r="C60" s="6"/>
      <c r="D60" s="26"/>
      <c r="E60" s="7"/>
      <c r="F60" s="26"/>
      <c r="G60" s="15"/>
      <c r="H60" s="15">
        <f>H56-H59</f>
        <v>8125.4699999999975</v>
      </c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x14ac:dyDescent="0.25">
      <c r="A61" s="4"/>
      <c r="C61" s="6"/>
      <c r="D61" s="26"/>
      <c r="E61" s="7"/>
      <c r="F61" s="26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</row>
    <row r="62" spans="1:31" x14ac:dyDescent="0.25">
      <c r="A62" s="1" t="s">
        <v>0</v>
      </c>
      <c r="C62" s="6"/>
      <c r="D62" s="26"/>
      <c r="E62" s="7"/>
      <c r="F62" s="26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</row>
    <row r="63" spans="1:31" x14ac:dyDescent="0.25">
      <c r="A63" s="1" t="s">
        <v>992</v>
      </c>
      <c r="C63" s="6"/>
      <c r="D63" s="26"/>
      <c r="E63" s="7"/>
      <c r="F63" s="26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</row>
    <row r="64" spans="1:31" x14ac:dyDescent="0.25">
      <c r="G64" s="2" t="s">
        <v>131</v>
      </c>
      <c r="H64" s="2" t="s">
        <v>150</v>
      </c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</row>
    <row r="65" spans="1:29" x14ac:dyDescent="0.25">
      <c r="A65" s="1" t="s">
        <v>2</v>
      </c>
      <c r="B65" s="1" t="s">
        <v>133</v>
      </c>
      <c r="C65" s="2" t="s">
        <v>134</v>
      </c>
      <c r="D65" s="2" t="s">
        <v>135</v>
      </c>
      <c r="E65" s="2" t="s">
        <v>151</v>
      </c>
      <c r="F65" s="2" t="s">
        <v>152</v>
      </c>
      <c r="G65" s="2" t="s">
        <v>138</v>
      </c>
      <c r="H65" s="2" t="s">
        <v>153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</row>
    <row r="66" spans="1:29" x14ac:dyDescent="0.25">
      <c r="A66" s="4">
        <v>43662</v>
      </c>
      <c r="B66" s="4" t="s">
        <v>925</v>
      </c>
      <c r="C66" s="6">
        <v>1000</v>
      </c>
      <c r="D66" s="3">
        <f>16464.3711111111*(1000/2327)</f>
        <v>7075.3636059781265</v>
      </c>
      <c r="E66" s="4">
        <v>38982</v>
      </c>
      <c r="F66" s="26">
        <v>15143.17</v>
      </c>
      <c r="G66" s="8">
        <f t="shared" ref="G66:G74" si="12">F66-D66</f>
        <v>8067.8063940218735</v>
      </c>
      <c r="H66" s="15">
        <f>17835.6088888889*(1000/2327)</f>
        <v>7664.6363940218725</v>
      </c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</row>
    <row r="67" spans="1:29" x14ac:dyDescent="0.25">
      <c r="A67" s="4">
        <v>43677</v>
      </c>
      <c r="B67" s="4" t="s">
        <v>926</v>
      </c>
      <c r="C67" s="6">
        <v>52</v>
      </c>
      <c r="D67" s="3">
        <v>19819.12</v>
      </c>
      <c r="E67" s="4">
        <v>43405</v>
      </c>
      <c r="F67" s="3">
        <v>22587.32</v>
      </c>
      <c r="G67" s="8">
        <f t="shared" si="12"/>
        <v>2768.2000000000007</v>
      </c>
      <c r="H67" s="15">
        <v>2073.9200000000019</v>
      </c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</row>
    <row r="68" spans="1:29" x14ac:dyDescent="0.25">
      <c r="A68" s="4">
        <v>43712</v>
      </c>
      <c r="B68" t="s">
        <v>934</v>
      </c>
      <c r="C68" s="6">
        <v>723</v>
      </c>
      <c r="D68" s="26">
        <v>7726.8042857142855</v>
      </c>
      <c r="E68" s="4">
        <v>41394</v>
      </c>
      <c r="F68" s="26">
        <v>12125.67</v>
      </c>
      <c r="G68" s="8">
        <f t="shared" si="12"/>
        <v>4398.8657142857146</v>
      </c>
      <c r="H68" s="15">
        <v>1672.1957142857145</v>
      </c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</row>
    <row r="69" spans="1:29" x14ac:dyDescent="0.25">
      <c r="A69" s="4">
        <v>43714</v>
      </c>
      <c r="B69" t="s">
        <v>993</v>
      </c>
      <c r="C69" s="6">
        <v>10637.4596</v>
      </c>
      <c r="D69" s="3">
        <f>70000*(10637.4596/34635.6049)</f>
        <v>21498.748878498729</v>
      </c>
      <c r="E69" s="4">
        <v>43033</v>
      </c>
      <c r="F69" s="26">
        <v>27000</v>
      </c>
      <c r="G69" s="8">
        <f t="shared" si="12"/>
        <v>5501.251121501271</v>
      </c>
      <c r="H69" s="15">
        <f>17473.15813544*(10637.4596/34634.6049)</f>
        <v>5366.5983569558302</v>
      </c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</row>
    <row r="70" spans="1:29" x14ac:dyDescent="0.25">
      <c r="A70" s="4">
        <v>43774</v>
      </c>
      <c r="B70" t="s">
        <v>993</v>
      </c>
      <c r="C70" s="6">
        <v>6805.7168000000001</v>
      </c>
      <c r="D70" s="3">
        <f>70000*(6805.7168/34635.6049)</f>
        <v>13754.63709600175</v>
      </c>
      <c r="E70" s="4">
        <v>43774</v>
      </c>
      <c r="F70" s="26">
        <v>17000</v>
      </c>
      <c r="G70" s="8">
        <f t="shared" si="12"/>
        <v>3245.3629039982497</v>
      </c>
      <c r="H70" s="15">
        <f>17473.15813544*(6805.7168/34634.6049)</f>
        <v>3433.4841184061174</v>
      </c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 t="s">
        <v>994</v>
      </c>
      <c r="V70" s="15"/>
      <c r="W70" s="15"/>
      <c r="X70" s="15"/>
      <c r="Y70" s="15"/>
      <c r="Z70" s="15"/>
      <c r="AA70" s="15"/>
      <c r="AB70" s="15"/>
      <c r="AC70" s="15"/>
    </row>
    <row r="71" spans="1:29" x14ac:dyDescent="0.25">
      <c r="A71" s="4">
        <v>43774</v>
      </c>
      <c r="B71" s="4" t="s">
        <v>804</v>
      </c>
      <c r="C71" s="6">
        <v>10403.0039</v>
      </c>
      <c r="D71" s="3">
        <f>67506.82437801*(10403.0039/28739.7606)</f>
        <v>24435.616115781184</v>
      </c>
      <c r="E71" s="4">
        <v>43033</v>
      </c>
      <c r="F71" s="26">
        <v>23000</v>
      </c>
      <c r="G71" s="8">
        <f t="shared" si="12"/>
        <v>-1435.6161157811839</v>
      </c>
      <c r="H71" s="15">
        <f>7506.82437801*(10403.0039/28739.7609)</f>
        <v>2717.264195508777</v>
      </c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 t="s">
        <v>994</v>
      </c>
      <c r="V71" s="15"/>
      <c r="W71" s="15"/>
      <c r="X71" s="15"/>
      <c r="Y71" s="15"/>
      <c r="Z71" s="15"/>
      <c r="AA71" s="15"/>
      <c r="AB71" s="15"/>
      <c r="AC71" s="15"/>
    </row>
    <row r="72" spans="1:29" x14ac:dyDescent="0.25">
      <c r="A72" s="4">
        <v>43734</v>
      </c>
      <c r="B72" t="s">
        <v>946</v>
      </c>
      <c r="C72" s="6">
        <v>2175</v>
      </c>
      <c r="D72" s="3">
        <v>14985.55</v>
      </c>
      <c r="E72" s="4">
        <v>43658</v>
      </c>
      <c r="F72" s="26">
        <v>16254.86</v>
      </c>
      <c r="G72" s="8">
        <f t="shared" si="12"/>
        <v>1269.3100000000013</v>
      </c>
      <c r="H72" s="15">
        <v>0</v>
      </c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</row>
    <row r="73" spans="1:29" x14ac:dyDescent="0.25">
      <c r="A73" s="4">
        <v>43776</v>
      </c>
      <c r="B73" t="s">
        <v>953</v>
      </c>
      <c r="C73" s="6">
        <f>500+40</f>
        <v>540</v>
      </c>
      <c r="D73" s="3">
        <f>14581+1140</f>
        <v>15721</v>
      </c>
      <c r="E73" s="4">
        <v>38366</v>
      </c>
      <c r="F73" s="26">
        <v>14868.81</v>
      </c>
      <c r="G73" s="8">
        <f t="shared" si="12"/>
        <v>-852.19000000000051</v>
      </c>
      <c r="H73" s="15">
        <v>-1292.2000000000007</v>
      </c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</row>
    <row r="74" spans="1:29" x14ac:dyDescent="0.25">
      <c r="A74" s="4">
        <v>43776</v>
      </c>
      <c r="B74" t="s">
        <v>954</v>
      </c>
      <c r="C74" s="6">
        <v>26650</v>
      </c>
      <c r="D74" s="3">
        <v>39975</v>
      </c>
      <c r="E74" s="4">
        <v>43720</v>
      </c>
      <c r="F74" s="26">
        <v>44313.09</v>
      </c>
      <c r="G74" s="8">
        <f t="shared" si="12"/>
        <v>4338.0899999999965</v>
      </c>
      <c r="H74" s="15">
        <v>0</v>
      </c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</row>
    <row r="75" spans="1:29" x14ac:dyDescent="0.25">
      <c r="A75" s="4">
        <v>43777</v>
      </c>
      <c r="B75" t="s">
        <v>993</v>
      </c>
      <c r="C75" s="6">
        <v>1201.0088000000001</v>
      </c>
      <c r="D75" s="3">
        <f>70000*(1201.0088/34635.6049)</f>
        <v>2427.2888041865845</v>
      </c>
      <c r="E75" s="4">
        <v>43774</v>
      </c>
      <c r="F75" s="26">
        <v>3000</v>
      </c>
      <c r="G75" s="8">
        <f>F75-D75</f>
        <v>572.71119581341554</v>
      </c>
      <c r="H75" s="15">
        <f>17473.15813544*(1201.0088/34634.6049)</f>
        <v>605.90893833049142</v>
      </c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</row>
    <row r="76" spans="1:29" x14ac:dyDescent="0.25">
      <c r="A76" s="4">
        <v>43969</v>
      </c>
      <c r="B76" t="s">
        <v>987</v>
      </c>
      <c r="C76" s="6">
        <v>1250</v>
      </c>
      <c r="D76" s="3">
        <v>18626.490000000002</v>
      </c>
      <c r="E76" s="4">
        <v>43559</v>
      </c>
      <c r="F76" s="26">
        <v>9835.64</v>
      </c>
      <c r="G76" s="8">
        <f>F76-D76</f>
        <v>-8790.8500000000022</v>
      </c>
      <c r="H76" s="15">
        <v>-238.9900000000016</v>
      </c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</row>
    <row r="77" spans="1:29" x14ac:dyDescent="0.25">
      <c r="A77" s="4">
        <v>43969</v>
      </c>
      <c r="B77" t="s">
        <v>988</v>
      </c>
      <c r="C77" s="6">
        <f>500+22+1240</f>
        <v>1762</v>
      </c>
      <c r="D77" s="3">
        <f>13386+561+30000</f>
        <v>43947</v>
      </c>
      <c r="E77" s="4">
        <v>39276</v>
      </c>
      <c r="F77" s="26">
        <v>26503.7</v>
      </c>
      <c r="G77" s="8">
        <f>F77-D77</f>
        <v>-17443.3</v>
      </c>
      <c r="H77" s="15">
        <v>856.92000000000007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</row>
    <row r="78" spans="1:29" x14ac:dyDescent="0.25">
      <c r="A78" s="4"/>
      <c r="C78" s="6"/>
      <c r="D78" s="3"/>
      <c r="E78" s="4"/>
      <c r="F78" s="26"/>
      <c r="G78" s="8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</row>
    <row r="79" spans="1:29" x14ac:dyDescent="0.25">
      <c r="A79" s="4"/>
      <c r="C79" s="6"/>
      <c r="D79" s="3"/>
      <c r="E79" s="4"/>
      <c r="F79" s="26"/>
      <c r="G79" s="8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</row>
    <row r="80" spans="1:29" x14ac:dyDescent="0.25">
      <c r="A80" s="4"/>
      <c r="C80" s="6"/>
      <c r="D80" s="3"/>
      <c r="E80" s="4"/>
      <c r="F80" s="26"/>
      <c r="G80" s="8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</row>
    <row r="81" spans="1:29" x14ac:dyDescent="0.25">
      <c r="A81" s="4"/>
      <c r="C81" s="6"/>
      <c r="D81" s="26"/>
      <c r="E81" s="7"/>
      <c r="F81" s="26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</row>
    <row r="82" spans="1:29" x14ac:dyDescent="0.25">
      <c r="A82" s="4"/>
      <c r="C82" s="6"/>
      <c r="D82" s="5">
        <f>SUM(D66:D81)</f>
        <v>229992.61878616066</v>
      </c>
      <c r="E82" s="7"/>
      <c r="F82" s="5">
        <f>SUM(F66:F81)</f>
        <v>231632.26</v>
      </c>
      <c r="G82" s="9">
        <f>SUM(G66:G81)</f>
        <v>1639.6412138393389</v>
      </c>
      <c r="H82" s="9">
        <f>SUM(H66:H81)</f>
        <v>22859.737717508804</v>
      </c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</row>
    <row r="83" spans="1:29" x14ac:dyDescent="0.25">
      <c r="A83" t="s">
        <v>132</v>
      </c>
      <c r="G83" s="9">
        <f>G82-H82</f>
        <v>-21220.096503669465</v>
      </c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</row>
    <row r="84" spans="1:29" x14ac:dyDescent="0.25">
      <c r="A84" s="4"/>
      <c r="C84" s="6"/>
      <c r="D84" s="26"/>
      <c r="E84" s="7"/>
      <c r="F84" s="26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</row>
    <row r="85" spans="1:29" x14ac:dyDescent="0.25">
      <c r="A85" t="s">
        <v>999</v>
      </c>
      <c r="C85" s="6"/>
      <c r="D85" s="26"/>
      <c r="E85" s="7"/>
      <c r="F85" s="26"/>
      <c r="G85" s="15"/>
      <c r="H85" s="15">
        <f>H66+H69+H70+H71+H75</f>
        <v>19787.892003223093</v>
      </c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</row>
    <row r="86" spans="1:29" x14ac:dyDescent="0.25">
      <c r="A86" t="s">
        <v>1000</v>
      </c>
      <c r="C86" s="6"/>
      <c r="D86" s="26"/>
      <c r="E86" s="7"/>
      <c r="F86" s="26"/>
      <c r="G86" s="15"/>
      <c r="H86" s="15">
        <f>H82-H85</f>
        <v>3071.8457142857114</v>
      </c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9" x14ac:dyDescent="0.25">
      <c r="C87" s="6"/>
      <c r="D87" s="26"/>
      <c r="E87" s="7"/>
      <c r="F87" s="26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9" x14ac:dyDescent="0.25">
      <c r="A88" s="1" t="s">
        <v>0</v>
      </c>
      <c r="C88" s="6"/>
      <c r="D88" s="26"/>
      <c r="E88" s="7"/>
      <c r="F88" s="26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9" x14ac:dyDescent="0.25">
      <c r="A89" s="1" t="s">
        <v>812</v>
      </c>
      <c r="C89" s="6"/>
      <c r="D89" s="26"/>
      <c r="E89" s="7"/>
      <c r="F89" s="26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9" x14ac:dyDescent="0.25">
      <c r="G90" s="2" t="s">
        <v>131</v>
      </c>
      <c r="H90" s="2" t="s">
        <v>150</v>
      </c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9" x14ac:dyDescent="0.25">
      <c r="A91" s="1" t="s">
        <v>2</v>
      </c>
      <c r="B91" s="1" t="s">
        <v>133</v>
      </c>
      <c r="C91" s="2" t="s">
        <v>134</v>
      </c>
      <c r="D91" s="2" t="s">
        <v>135</v>
      </c>
      <c r="E91" s="2" t="s">
        <v>151</v>
      </c>
      <c r="F91" s="2" t="s">
        <v>152</v>
      </c>
      <c r="G91" s="2" t="s">
        <v>138</v>
      </c>
      <c r="H91" s="2" t="s">
        <v>153</v>
      </c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9" x14ac:dyDescent="0.25">
      <c r="A92" s="4">
        <v>43300</v>
      </c>
      <c r="B92" s="4" t="s">
        <v>829</v>
      </c>
      <c r="C92" s="6">
        <v>540</v>
      </c>
      <c r="D92" s="3">
        <v>0</v>
      </c>
      <c r="E92" s="4">
        <v>43259</v>
      </c>
      <c r="F92" s="26">
        <v>7835.26</v>
      </c>
      <c r="G92" s="8">
        <f>F92-D92</f>
        <v>7835.26</v>
      </c>
      <c r="H92" s="15">
        <v>7921.8</v>
      </c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9" x14ac:dyDescent="0.25">
      <c r="A93" s="4">
        <v>43405</v>
      </c>
      <c r="B93" s="4" t="s">
        <v>854</v>
      </c>
      <c r="C93" s="6">
        <v>159</v>
      </c>
      <c r="D93" s="3">
        <v>24971.5</v>
      </c>
      <c r="E93" s="4">
        <v>43034</v>
      </c>
      <c r="F93" s="3">
        <v>25717.439999999999</v>
      </c>
      <c r="G93" s="8">
        <f>F93-D93</f>
        <v>745.93999999999869</v>
      </c>
      <c r="H93" s="15">
        <v>476.45000000000073</v>
      </c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9" x14ac:dyDescent="0.25">
      <c r="A94" s="4">
        <v>43559</v>
      </c>
      <c r="B94" t="s">
        <v>887</v>
      </c>
      <c r="C94" s="6">
        <v>1200</v>
      </c>
      <c r="D94" s="26">
        <v>20015.07</v>
      </c>
      <c r="E94" s="4">
        <v>43405</v>
      </c>
      <c r="F94" s="26">
        <v>21604.26</v>
      </c>
      <c r="G94" s="8">
        <f>F94-D94</f>
        <v>1589.1899999999987</v>
      </c>
      <c r="H94" s="15">
        <v>0</v>
      </c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9" x14ac:dyDescent="0.25">
      <c r="A95" s="4">
        <v>43616</v>
      </c>
      <c r="B95" t="s">
        <v>900</v>
      </c>
      <c r="C95" s="6">
        <v>635</v>
      </c>
      <c r="D95" s="3">
        <f>10346+15000-14550.6+15000-14060.7</f>
        <v>11734.7</v>
      </c>
      <c r="E95" s="4">
        <v>40316</v>
      </c>
      <c r="F95" s="26">
        <v>7333.59</v>
      </c>
      <c r="G95" s="8">
        <f>F95-D95</f>
        <v>-4401.1100000000006</v>
      </c>
      <c r="H95" s="15">
        <v>-5549.8</v>
      </c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9" x14ac:dyDescent="0.25">
      <c r="A96" s="4"/>
      <c r="C96" s="6"/>
      <c r="D96" s="26"/>
      <c r="E96" s="7"/>
      <c r="F96" s="26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x14ac:dyDescent="0.25">
      <c r="A97" s="4"/>
      <c r="C97" s="6"/>
      <c r="D97" s="5">
        <f>SUM(D92:D96)</f>
        <v>56721.270000000004</v>
      </c>
      <c r="E97" s="7"/>
      <c r="F97" s="5">
        <f>SUM(F92:F96)</f>
        <v>62490.549999999988</v>
      </c>
      <c r="G97" s="9">
        <f>SUM(G92:G96)</f>
        <v>5769.279999999997</v>
      </c>
      <c r="H97" s="9">
        <f>SUM(H92:H96)</f>
        <v>2848.45</v>
      </c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x14ac:dyDescent="0.25">
      <c r="A98" t="s">
        <v>132</v>
      </c>
      <c r="G98" s="9">
        <f>G97-H97</f>
        <v>2920.8299999999972</v>
      </c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x14ac:dyDescent="0.25">
      <c r="G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x14ac:dyDescent="0.25">
      <c r="G100" s="15"/>
      <c r="H100" s="3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x14ac:dyDescent="0.25">
      <c r="G101" s="15"/>
      <c r="H101" s="3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x14ac:dyDescent="0.25">
      <c r="A102" s="4"/>
      <c r="C102" s="6"/>
      <c r="D102" s="26"/>
      <c r="E102" s="7"/>
      <c r="F102" s="26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x14ac:dyDescent="0.25">
      <c r="A103" s="4"/>
      <c r="C103" s="6"/>
      <c r="D103" s="26"/>
      <c r="E103" s="7"/>
      <c r="F103" s="26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8" x14ac:dyDescent="0.25">
      <c r="A104" s="1" t="s">
        <v>0</v>
      </c>
      <c r="C104" s="6"/>
      <c r="D104" s="26"/>
      <c r="E104" s="7"/>
      <c r="F104" s="26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8" x14ac:dyDescent="0.25">
      <c r="A105" s="1" t="s">
        <v>800</v>
      </c>
      <c r="C105" s="6"/>
      <c r="D105" s="26"/>
      <c r="E105" s="7"/>
      <c r="F105" s="26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8" x14ac:dyDescent="0.25">
      <c r="G106" s="2" t="s">
        <v>131</v>
      </c>
      <c r="H106" s="2" t="s">
        <v>150</v>
      </c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8" x14ac:dyDescent="0.25">
      <c r="A107" s="1" t="s">
        <v>2</v>
      </c>
      <c r="B107" s="1" t="s">
        <v>133</v>
      </c>
      <c r="C107" s="2" t="s">
        <v>134</v>
      </c>
      <c r="D107" s="2" t="s">
        <v>135</v>
      </c>
      <c r="E107" s="2" t="s">
        <v>151</v>
      </c>
      <c r="F107" s="2" t="s">
        <v>152</v>
      </c>
      <c r="G107" s="2" t="s">
        <v>138</v>
      </c>
      <c r="H107" s="2" t="s">
        <v>153</v>
      </c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8" x14ac:dyDescent="0.25">
      <c r="A108" s="4">
        <v>42999</v>
      </c>
      <c r="B108" s="4" t="s">
        <v>732</v>
      </c>
      <c r="C108" s="6">
        <v>500</v>
      </c>
      <c r="D108" s="3">
        <v>0</v>
      </c>
      <c r="E108" s="4">
        <v>42516</v>
      </c>
      <c r="F108" s="26">
        <v>1514</v>
      </c>
      <c r="G108" s="8">
        <f>F108-D108</f>
        <v>1514</v>
      </c>
      <c r="H108" s="15">
        <v>1340</v>
      </c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8" x14ac:dyDescent="0.25">
      <c r="A109" s="4">
        <v>42999</v>
      </c>
      <c r="B109" s="4" t="s">
        <v>733</v>
      </c>
      <c r="C109" s="6">
        <v>20000</v>
      </c>
      <c r="D109" s="3">
        <v>11466</v>
      </c>
      <c r="E109" s="4">
        <v>41584</v>
      </c>
      <c r="F109" s="3">
        <v>2734</v>
      </c>
      <c r="G109" s="8">
        <f t="shared" ref="G109:G124" si="13">F109-D109</f>
        <v>-8732</v>
      </c>
      <c r="H109" s="15">
        <v>-9166</v>
      </c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8" x14ac:dyDescent="0.25">
      <c r="A110" s="4">
        <v>42999</v>
      </c>
      <c r="B110" s="4" t="s">
        <v>734</v>
      </c>
      <c r="C110" s="6">
        <v>135</v>
      </c>
      <c r="D110" s="3">
        <v>0</v>
      </c>
      <c r="E110" s="4">
        <v>42409</v>
      </c>
      <c r="F110" s="3">
        <v>609</v>
      </c>
      <c r="G110" s="8">
        <f t="shared" si="13"/>
        <v>609</v>
      </c>
      <c r="H110" s="15">
        <v>635.85</v>
      </c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8" x14ac:dyDescent="0.25">
      <c r="A111" s="4">
        <v>42999</v>
      </c>
      <c r="B111" s="4" t="s">
        <v>735</v>
      </c>
      <c r="C111" s="6">
        <v>1458</v>
      </c>
      <c r="D111" s="3">
        <f>10205.3+146.45+481.28+259.47+256.88+293.48-520.5+2018.4+2673</f>
        <v>15813.759999999998</v>
      </c>
      <c r="E111" s="4">
        <v>36934</v>
      </c>
      <c r="F111" s="3">
        <v>34126.76</v>
      </c>
      <c r="G111" s="8">
        <f t="shared" si="13"/>
        <v>18313.000000000004</v>
      </c>
      <c r="H111" s="15">
        <v>21365.24</v>
      </c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8" x14ac:dyDescent="0.25">
      <c r="A112" s="4">
        <v>42999</v>
      </c>
      <c r="B112" s="4" t="s">
        <v>736</v>
      </c>
      <c r="C112" s="6">
        <v>489</v>
      </c>
      <c r="D112" s="3">
        <f>489/1296*(40169.37)</f>
        <v>15156.498402777779</v>
      </c>
      <c r="E112" s="4">
        <v>38982</v>
      </c>
      <c r="F112" s="3">
        <v>19960.400000000001</v>
      </c>
      <c r="G112" s="8">
        <f t="shared" si="13"/>
        <v>4803.9015972222223</v>
      </c>
      <c r="H112" s="3">
        <f>489/1296*(11826.15)</f>
        <v>4462.1815972222221</v>
      </c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x14ac:dyDescent="0.25">
      <c r="A113" s="4">
        <v>42999</v>
      </c>
      <c r="B113" s="4" t="s">
        <v>737</v>
      </c>
      <c r="C113" s="6">
        <v>850</v>
      </c>
      <c r="D113" s="3">
        <f>850/2000*(4126.4)</f>
        <v>1753.7199999999998</v>
      </c>
      <c r="E113" s="4">
        <v>41025</v>
      </c>
      <c r="F113" s="3">
        <v>19922.5</v>
      </c>
      <c r="G113" s="8">
        <f t="shared" si="13"/>
        <v>18168.78</v>
      </c>
      <c r="H113" s="15">
        <f>850/2000*(53553.6)</f>
        <v>22760.28</v>
      </c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x14ac:dyDescent="0.25">
      <c r="A114" s="4">
        <v>42999</v>
      </c>
      <c r="B114" s="4" t="s">
        <v>738</v>
      </c>
      <c r="C114" s="6">
        <v>5120</v>
      </c>
      <c r="D114" s="3">
        <f>3854.5+1400+4500+2900+6000+4800</f>
        <v>23454.5</v>
      </c>
      <c r="E114" s="4">
        <v>39017</v>
      </c>
      <c r="F114" s="3">
        <v>18396.900000000001</v>
      </c>
      <c r="G114" s="8">
        <f t="shared" si="13"/>
        <v>-5057.5999999999985</v>
      </c>
      <c r="H114" s="15">
        <f>-954.5-3100+2616</f>
        <v>-1438.5</v>
      </c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x14ac:dyDescent="0.25">
      <c r="A115" s="4">
        <v>42999</v>
      </c>
      <c r="B115" s="4" t="s">
        <v>739</v>
      </c>
      <c r="C115" s="6">
        <v>1700</v>
      </c>
      <c r="D115" s="3">
        <v>14839</v>
      </c>
      <c r="E115" s="4">
        <v>41394</v>
      </c>
      <c r="F115" s="3">
        <v>15249.6</v>
      </c>
      <c r="G115" s="8">
        <f t="shared" si="13"/>
        <v>410.60000000000036</v>
      </c>
      <c r="H115" s="15">
        <v>1702</v>
      </c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x14ac:dyDescent="0.25">
      <c r="A116" s="4">
        <v>42999</v>
      </c>
      <c r="B116" s="4" t="s">
        <v>740</v>
      </c>
      <c r="C116" s="6">
        <v>4000</v>
      </c>
      <c r="D116" s="3">
        <f>9793.7+1125</f>
        <v>10918.7</v>
      </c>
      <c r="E116" s="4">
        <v>36934</v>
      </c>
      <c r="F116" s="3">
        <v>3774</v>
      </c>
      <c r="G116" s="8">
        <f t="shared" si="13"/>
        <v>-7144.7000000000007</v>
      </c>
      <c r="H116" s="15">
        <v>-6518.7</v>
      </c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x14ac:dyDescent="0.25">
      <c r="A117" s="4">
        <v>42999</v>
      </c>
      <c r="B117" s="4" t="s">
        <v>741</v>
      </c>
      <c r="C117" s="6">
        <v>18000</v>
      </c>
      <c r="D117" s="3">
        <v>15141.33</v>
      </c>
      <c r="E117" s="4">
        <v>42023</v>
      </c>
      <c r="F117" s="3">
        <v>4974</v>
      </c>
      <c r="G117" s="8">
        <f t="shared" si="13"/>
        <v>-10167.33</v>
      </c>
      <c r="H117" s="15">
        <v>-10461.33</v>
      </c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x14ac:dyDescent="0.25">
      <c r="A118" s="4">
        <v>42999</v>
      </c>
      <c r="B118" s="4" t="s">
        <v>742</v>
      </c>
      <c r="C118" s="6">
        <v>1397</v>
      </c>
      <c r="D118" s="3">
        <f>9811.7+11610.12-8919.73+381.6+316.61+170.21+172.01+174+2990.5+763.67+574+649.99+615.4+632.1+651.3+674.92</f>
        <v>21268.399999999998</v>
      </c>
      <c r="E118" s="4">
        <v>40211</v>
      </c>
      <c r="F118" s="3">
        <v>7785.14</v>
      </c>
      <c r="G118" s="8">
        <f t="shared" si="13"/>
        <v>-13483.259999999998</v>
      </c>
      <c r="H118" s="15">
        <f>7837.17-21268.4</f>
        <v>-13431.230000000001</v>
      </c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x14ac:dyDescent="0.25">
      <c r="A119" s="4">
        <v>42999</v>
      </c>
      <c r="B119" s="4" t="s">
        <v>743</v>
      </c>
      <c r="C119" s="6">
        <v>677</v>
      </c>
      <c r="D119" s="3">
        <f>677/1400*(14962)</f>
        <v>7235.1957142857145</v>
      </c>
      <c r="E119" s="4">
        <v>41394</v>
      </c>
      <c r="F119" s="3">
        <v>11984.6</v>
      </c>
      <c r="G119" s="8">
        <f t="shared" si="13"/>
        <v>4749.4042857142858</v>
      </c>
      <c r="H119" s="15">
        <f>677/1400*(8348)</f>
        <v>4036.8542857142861</v>
      </c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x14ac:dyDescent="0.25">
      <c r="A120" s="4">
        <v>42999</v>
      </c>
      <c r="B120" s="4" t="s">
        <v>744</v>
      </c>
      <c r="C120" s="6">
        <v>160</v>
      </c>
      <c r="D120" s="3">
        <f>160/522*(29781.57)</f>
        <v>9128.4505747126423</v>
      </c>
      <c r="E120" s="4">
        <v>39276</v>
      </c>
      <c r="F120" s="3">
        <v>12185.2</v>
      </c>
      <c r="G120" s="8">
        <f t="shared" si="13"/>
        <v>3056.7494252873585</v>
      </c>
      <c r="H120" s="15">
        <f>160/522*(13445.25)</f>
        <v>4121.1494252873563</v>
      </c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x14ac:dyDescent="0.25">
      <c r="A121" s="4">
        <v>42999</v>
      </c>
      <c r="B121" s="4" t="s">
        <v>745</v>
      </c>
      <c r="C121" s="6">
        <v>3243</v>
      </c>
      <c r="D121" s="3">
        <v>0</v>
      </c>
      <c r="E121" s="4">
        <v>40529</v>
      </c>
      <c r="F121" s="3">
        <v>12906</v>
      </c>
      <c r="G121" s="8">
        <f t="shared" si="13"/>
        <v>12906</v>
      </c>
      <c r="H121" s="15">
        <v>13134.15</v>
      </c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x14ac:dyDescent="0.25">
      <c r="A122" s="4">
        <v>42999</v>
      </c>
      <c r="B122" s="4" t="s">
        <v>746</v>
      </c>
      <c r="C122" s="6">
        <v>1255</v>
      </c>
      <c r="D122" s="3">
        <f>1255/3015*(17487.67)</f>
        <v>7279.2788888888881</v>
      </c>
      <c r="E122" s="4">
        <v>38982</v>
      </c>
      <c r="F122" s="3">
        <v>14993.74</v>
      </c>
      <c r="G122" s="8">
        <f t="shared" si="13"/>
        <v>7714.4611111111117</v>
      </c>
      <c r="H122" s="15">
        <f>1255/3015*(18240.08)</f>
        <v>7592.4711111111119</v>
      </c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x14ac:dyDescent="0.25">
      <c r="A123" s="4">
        <v>42999</v>
      </c>
      <c r="B123" s="4" t="s">
        <v>747</v>
      </c>
      <c r="C123" s="6">
        <v>500</v>
      </c>
      <c r="D123" s="3">
        <v>14891</v>
      </c>
      <c r="E123" s="4">
        <v>39276</v>
      </c>
      <c r="F123" s="3">
        <v>15068.41</v>
      </c>
      <c r="G123" s="8">
        <f t="shared" si="13"/>
        <v>177.40999999999985</v>
      </c>
      <c r="H123" s="15">
        <v>-531</v>
      </c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x14ac:dyDescent="0.25">
      <c r="A124" s="4">
        <v>43258</v>
      </c>
      <c r="B124" s="4" t="s">
        <v>797</v>
      </c>
      <c r="C124" s="6">
        <v>1498</v>
      </c>
      <c r="D124" s="3">
        <f>22245.47</f>
        <v>22245.47</v>
      </c>
      <c r="E124" s="4">
        <v>38366</v>
      </c>
      <c r="F124" s="3">
        <v>5266.02</v>
      </c>
      <c r="G124" s="8">
        <f t="shared" si="13"/>
        <v>-16979.45</v>
      </c>
      <c r="H124" s="15">
        <v>-10216.530000000001</v>
      </c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x14ac:dyDescent="0.25">
      <c r="A125" s="4"/>
      <c r="C125" s="6"/>
      <c r="D125" s="26"/>
      <c r="E125" s="7"/>
      <c r="F125" s="26"/>
      <c r="G125" s="8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x14ac:dyDescent="0.25">
      <c r="A126" s="4"/>
      <c r="C126" s="6"/>
      <c r="D126" s="5">
        <f>SUM(D108:D125)</f>
        <v>190591.30358066503</v>
      </c>
      <c r="E126" s="7"/>
      <c r="F126" s="5">
        <f>SUM(F108:F125)</f>
        <v>201450.27</v>
      </c>
      <c r="G126" s="9">
        <f>SUM(G108:G125)</f>
        <v>10858.966419334982</v>
      </c>
      <c r="H126" s="9">
        <f>SUM(H108:H125)</f>
        <v>29386.886419334973</v>
      </c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x14ac:dyDescent="0.25">
      <c r="A127" t="s">
        <v>132</v>
      </c>
      <c r="G127" s="9">
        <f>G126-H126</f>
        <v>-18527.919999999991</v>
      </c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x14ac:dyDescent="0.25">
      <c r="G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x14ac:dyDescent="0.25">
      <c r="A129" t="s">
        <v>807</v>
      </c>
      <c r="G129" s="15"/>
      <c r="H129" s="3">
        <f>H112+H113+H119+H120+H122</f>
        <v>42972.936419334976</v>
      </c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x14ac:dyDescent="0.25">
      <c r="A130" t="s">
        <v>808</v>
      </c>
      <c r="G130" s="15"/>
      <c r="H130" s="3">
        <f>H129-H126</f>
        <v>13586.050000000003</v>
      </c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x14ac:dyDescent="0.25">
      <c r="A131" s="4"/>
      <c r="C131" s="6"/>
      <c r="D131" s="26"/>
      <c r="E131" s="7"/>
      <c r="F131" s="26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x14ac:dyDescent="0.25">
      <c r="A132" s="4"/>
      <c r="C132" s="6"/>
      <c r="D132" s="26"/>
      <c r="E132" s="7"/>
      <c r="F132" s="26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x14ac:dyDescent="0.25">
      <c r="A133" s="1" t="s">
        <v>0</v>
      </c>
      <c r="C133" s="6"/>
      <c r="D133" s="26"/>
      <c r="E133" s="7"/>
      <c r="F133" s="26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x14ac:dyDescent="0.25">
      <c r="A134" s="1" t="s">
        <v>609</v>
      </c>
      <c r="C134" s="6"/>
      <c r="D134" s="26"/>
      <c r="E134" s="7"/>
      <c r="F134" s="26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x14ac:dyDescent="0.25">
      <c r="G135" s="2" t="s">
        <v>131</v>
      </c>
      <c r="H135" s="2" t="s">
        <v>150</v>
      </c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x14ac:dyDescent="0.25">
      <c r="A136" s="1" t="s">
        <v>2</v>
      </c>
      <c r="B136" s="1" t="s">
        <v>133</v>
      </c>
      <c r="C136" s="2" t="s">
        <v>134</v>
      </c>
      <c r="D136" s="2" t="s">
        <v>135</v>
      </c>
      <c r="E136" s="2" t="s">
        <v>151</v>
      </c>
      <c r="F136" s="2" t="s">
        <v>152</v>
      </c>
      <c r="G136" s="2" t="s">
        <v>138</v>
      </c>
      <c r="H136" s="2" t="s">
        <v>153</v>
      </c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x14ac:dyDescent="0.25">
      <c r="A137" s="4">
        <v>42430</v>
      </c>
      <c r="B137" s="4" t="s">
        <v>145</v>
      </c>
      <c r="C137" s="6">
        <v>1000</v>
      </c>
      <c r="D137" s="3">
        <v>4792.83</v>
      </c>
      <c r="E137" s="4">
        <v>36234</v>
      </c>
      <c r="F137" s="26">
        <v>5824</v>
      </c>
      <c r="G137" s="8">
        <f>F137-D137</f>
        <v>1031.17</v>
      </c>
      <c r="H137" s="15">
        <v>1747.17</v>
      </c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x14ac:dyDescent="0.25">
      <c r="A138" s="4">
        <v>42430</v>
      </c>
      <c r="B138" s="4" t="s">
        <v>144</v>
      </c>
      <c r="C138" s="6">
        <v>3348</v>
      </c>
      <c r="D138" s="3">
        <f>1422.72+2122</f>
        <v>3544.7200000000003</v>
      </c>
      <c r="E138" s="4">
        <v>36201</v>
      </c>
      <c r="F138" s="3">
        <v>4570.9799999999996</v>
      </c>
      <c r="G138" s="8">
        <f>F138-D138</f>
        <v>1026.2599999999993</v>
      </c>
      <c r="H138" s="15">
        <v>2632.3399999999992</v>
      </c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x14ac:dyDescent="0.25">
      <c r="A139" s="4"/>
      <c r="B139" s="4"/>
      <c r="C139" s="6"/>
      <c r="D139" s="3"/>
      <c r="E139" s="4"/>
      <c r="F139" s="3"/>
      <c r="G139" s="8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x14ac:dyDescent="0.25">
      <c r="A140" s="4"/>
      <c r="C140" s="6"/>
      <c r="D140" s="26"/>
      <c r="E140" s="7"/>
      <c r="F140" s="26"/>
      <c r="G140" s="8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x14ac:dyDescent="0.25">
      <c r="A141" s="4"/>
      <c r="C141" s="6"/>
      <c r="D141" s="5">
        <f>SUM(D137:D140)</f>
        <v>8337.5499999999993</v>
      </c>
      <c r="E141" s="7"/>
      <c r="F141" s="5">
        <f>SUM(F137:F140)</f>
        <v>10394.98</v>
      </c>
      <c r="G141" s="9">
        <f>SUM(G137:G140)</f>
        <v>2057.4299999999994</v>
      </c>
      <c r="H141" s="9">
        <f>SUM(H137:H140)</f>
        <v>4379.5099999999993</v>
      </c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x14ac:dyDescent="0.25">
      <c r="A142" t="s">
        <v>132</v>
      </c>
      <c r="G142" s="9">
        <f>G141-H141</f>
        <v>-2322.08</v>
      </c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x14ac:dyDescent="0.25">
      <c r="A143" s="4"/>
      <c r="C143" s="6"/>
      <c r="D143" s="26"/>
      <c r="E143" s="7"/>
      <c r="F143" s="26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</row>
    <row r="144" spans="1:25" x14ac:dyDescent="0.25">
      <c r="A144" s="1" t="s">
        <v>0</v>
      </c>
      <c r="C144" s="6"/>
      <c r="D144" s="26"/>
      <c r="E144" s="7"/>
      <c r="F144" s="26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</row>
    <row r="145" spans="1:24" x14ac:dyDescent="0.25">
      <c r="A145" s="1" t="s">
        <v>605</v>
      </c>
      <c r="C145" s="6"/>
      <c r="D145" s="26"/>
      <c r="E145" s="7"/>
      <c r="F145" s="26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</row>
    <row r="146" spans="1:24" x14ac:dyDescent="0.25">
      <c r="G146" s="2" t="s">
        <v>131</v>
      </c>
      <c r="H146" s="2" t="s">
        <v>150</v>
      </c>
      <c r="I146" s="15"/>
      <c r="J146" s="15"/>
      <c r="K146" s="15"/>
      <c r="L146" s="15"/>
      <c r="M146" s="15"/>
      <c r="N146" s="15"/>
      <c r="O146" s="15"/>
      <c r="P146" s="15"/>
      <c r="Q146" s="15" t="s">
        <v>607</v>
      </c>
      <c r="R146" s="15"/>
      <c r="S146" s="15"/>
      <c r="T146" s="15"/>
      <c r="U146" s="15"/>
      <c r="V146" s="15"/>
      <c r="W146" s="15"/>
      <c r="X146" s="15"/>
    </row>
    <row r="147" spans="1:24" x14ac:dyDescent="0.25">
      <c r="A147" s="1" t="s">
        <v>2</v>
      </c>
      <c r="B147" s="1" t="s">
        <v>133</v>
      </c>
      <c r="C147" s="2" t="s">
        <v>134</v>
      </c>
      <c r="D147" s="2" t="s">
        <v>135</v>
      </c>
      <c r="E147" s="2" t="s">
        <v>151</v>
      </c>
      <c r="F147" s="2" t="s">
        <v>152</v>
      </c>
      <c r="G147" s="2" t="s">
        <v>138</v>
      </c>
      <c r="H147" s="2" t="s">
        <v>153</v>
      </c>
      <c r="I147" s="15"/>
      <c r="J147" s="15"/>
      <c r="K147" s="15"/>
      <c r="L147" s="15"/>
      <c r="M147" s="15"/>
      <c r="N147" s="15"/>
      <c r="O147" s="15"/>
      <c r="P147" s="15"/>
      <c r="Q147" s="15" t="s">
        <v>608</v>
      </c>
      <c r="R147" s="15"/>
      <c r="S147" s="15"/>
      <c r="T147" s="15"/>
      <c r="U147" s="15"/>
      <c r="V147" s="15"/>
      <c r="W147" s="15"/>
      <c r="X147" s="15"/>
    </row>
    <row r="148" spans="1:24" x14ac:dyDescent="0.25">
      <c r="A148" s="4">
        <v>42076</v>
      </c>
      <c r="B148" s="4" t="s">
        <v>423</v>
      </c>
      <c r="C148" s="6">
        <f>14000+506+364+385+127</f>
        <v>15382</v>
      </c>
      <c r="D148" s="3">
        <f>9726+328.3+278.81+434.65+142.75</f>
        <v>10910.509999999998</v>
      </c>
      <c r="E148" s="4">
        <v>41026</v>
      </c>
      <c r="F148" s="26">
        <f>17395.37+831.28</f>
        <v>18226.649999999998</v>
      </c>
      <c r="G148" s="8">
        <f>F148-D148</f>
        <v>7316.1399999999994</v>
      </c>
      <c r="H148" s="15">
        <v>-593.2599999999984</v>
      </c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</row>
    <row r="149" spans="1:24" x14ac:dyDescent="0.25">
      <c r="A149" s="4">
        <v>42076</v>
      </c>
      <c r="B149" s="4" t="s">
        <v>422</v>
      </c>
      <c r="C149" s="6">
        <v>1000</v>
      </c>
      <c r="D149" s="3">
        <f>10316*20%</f>
        <v>2063.2000000000003</v>
      </c>
      <c r="E149" s="4">
        <v>41584</v>
      </c>
      <c r="F149" s="3">
        <v>19666.810000000001</v>
      </c>
      <c r="G149" s="8">
        <f>F149-D149</f>
        <v>17603.61</v>
      </c>
      <c r="H149" s="15">
        <f>(V10+W10+X10)*33%</f>
        <v>8778.1320000000014</v>
      </c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</row>
    <row r="150" spans="1:24" x14ac:dyDescent="0.25">
      <c r="A150" s="4"/>
      <c r="B150" s="4"/>
      <c r="C150" s="6"/>
      <c r="D150" s="3"/>
      <c r="E150" s="4"/>
      <c r="F150" s="3"/>
      <c r="G150" s="8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</row>
    <row r="151" spans="1:24" x14ac:dyDescent="0.25">
      <c r="A151" s="4"/>
      <c r="C151" s="6"/>
      <c r="D151" s="26"/>
      <c r="E151" s="7"/>
      <c r="F151" s="26"/>
      <c r="G151" s="8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</row>
    <row r="152" spans="1:24" x14ac:dyDescent="0.25">
      <c r="A152" s="4"/>
      <c r="C152" s="6"/>
      <c r="D152" s="5">
        <f>SUM(D148:D151)</f>
        <v>12973.71</v>
      </c>
      <c r="E152" s="7"/>
      <c r="F152" s="5">
        <f>SUM(F148:F151)</f>
        <v>37893.46</v>
      </c>
      <c r="G152" s="9">
        <f>SUM(G148:G151)</f>
        <v>24919.75</v>
      </c>
      <c r="H152" s="9">
        <f>SUM(H148:H151)</f>
        <v>8184.872000000003</v>
      </c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</row>
    <row r="153" spans="1:24" x14ac:dyDescent="0.25">
      <c r="A153" t="s">
        <v>132</v>
      </c>
      <c r="G153" s="9">
        <f>G152-H152</f>
        <v>16734.877999999997</v>
      </c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</row>
    <row r="154" spans="1:24" x14ac:dyDescent="0.25">
      <c r="A154" s="4"/>
      <c r="C154" s="6"/>
      <c r="D154" s="26"/>
      <c r="E154" s="7"/>
      <c r="F154" s="26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</row>
    <row r="155" spans="1:24" x14ac:dyDescent="0.25">
      <c r="A155" s="1" t="s">
        <v>0</v>
      </c>
      <c r="C155" s="6"/>
      <c r="D155" s="26"/>
      <c r="E155" s="7"/>
      <c r="F155" s="26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</row>
    <row r="156" spans="1:24" x14ac:dyDescent="0.25">
      <c r="A156" s="1" t="s">
        <v>549</v>
      </c>
      <c r="C156" s="6"/>
      <c r="D156" s="26"/>
      <c r="E156" s="7"/>
      <c r="F156" s="26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</row>
    <row r="157" spans="1:24" x14ac:dyDescent="0.25">
      <c r="G157" s="2" t="s">
        <v>131</v>
      </c>
      <c r="H157" s="2" t="s">
        <v>150</v>
      </c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</row>
    <row r="158" spans="1:24" x14ac:dyDescent="0.25">
      <c r="A158" s="1" t="s">
        <v>2</v>
      </c>
      <c r="B158" s="1" t="s">
        <v>133</v>
      </c>
      <c r="C158" s="2" t="s">
        <v>134</v>
      </c>
      <c r="D158" s="2" t="s">
        <v>135</v>
      </c>
      <c r="E158" s="2" t="s">
        <v>151</v>
      </c>
      <c r="F158" s="2" t="s">
        <v>152</v>
      </c>
      <c r="G158" s="2" t="s">
        <v>138</v>
      </c>
      <c r="H158" s="2" t="s">
        <v>153</v>
      </c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</row>
    <row r="159" spans="1:24" x14ac:dyDescent="0.25">
      <c r="A159" s="4">
        <v>42088</v>
      </c>
      <c r="B159" s="4" t="s">
        <v>422</v>
      </c>
      <c r="C159" s="6">
        <v>2000</v>
      </c>
      <c r="D159" s="3">
        <f>10316*40%</f>
        <v>4126.4000000000005</v>
      </c>
      <c r="E159" s="4">
        <v>41025</v>
      </c>
      <c r="F159" s="26">
        <f>11074+13304</f>
        <v>24378</v>
      </c>
      <c r="G159" s="8">
        <f>F159-D159</f>
        <v>20251.599999999999</v>
      </c>
      <c r="H159" s="15">
        <f>(V10+W10)*40%</f>
        <v>15153.6</v>
      </c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</row>
    <row r="160" spans="1:24" x14ac:dyDescent="0.25">
      <c r="A160" s="4">
        <v>42088</v>
      </c>
      <c r="B160" s="4" t="s">
        <v>547</v>
      </c>
      <c r="C160" s="6">
        <v>7000</v>
      </c>
      <c r="D160" s="3">
        <v>9789.33</v>
      </c>
      <c r="E160" s="4">
        <v>41584</v>
      </c>
      <c r="F160" s="3">
        <v>11309</v>
      </c>
      <c r="G160" s="8">
        <f>F160-D160</f>
        <v>1519.67</v>
      </c>
      <c r="H160" s="15">
        <v>0</v>
      </c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</row>
    <row r="161" spans="1:23" x14ac:dyDescent="0.25">
      <c r="A161" s="4">
        <v>42088</v>
      </c>
      <c r="B161" s="4" t="s">
        <v>548</v>
      </c>
      <c r="C161" s="6">
        <v>340</v>
      </c>
      <c r="D161" s="3">
        <v>0</v>
      </c>
      <c r="E161" s="4">
        <v>41628</v>
      </c>
      <c r="F161" s="3">
        <v>1440.2</v>
      </c>
      <c r="G161" s="8">
        <f>F161-D161</f>
        <v>1440.2</v>
      </c>
      <c r="H161" s="15">
        <v>0</v>
      </c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</row>
    <row r="162" spans="1:23" x14ac:dyDescent="0.25">
      <c r="A162" s="4"/>
      <c r="C162" s="6"/>
      <c r="D162" s="26"/>
      <c r="E162" s="7"/>
      <c r="F162" s="26"/>
      <c r="G162" s="8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</row>
    <row r="163" spans="1:23" x14ac:dyDescent="0.25">
      <c r="A163" s="4"/>
      <c r="C163" s="6"/>
      <c r="D163" s="5">
        <f>SUM(D159:D162)</f>
        <v>13915.73</v>
      </c>
      <c r="E163" s="7"/>
      <c r="F163" s="5">
        <f>SUM(F159:F162)</f>
        <v>37127.199999999997</v>
      </c>
      <c r="G163" s="9">
        <f>SUM(G159:G162)</f>
        <v>23211.469999999998</v>
      </c>
      <c r="H163" s="9">
        <f>SUM(H159:H162)</f>
        <v>15153.6</v>
      </c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</row>
    <row r="164" spans="1:23" x14ac:dyDescent="0.25">
      <c r="A164" t="s">
        <v>132</v>
      </c>
      <c r="G164" s="9">
        <f>G163-H163</f>
        <v>8057.8699999999972</v>
      </c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</row>
    <row r="165" spans="1:23" x14ac:dyDescent="0.25">
      <c r="A165" s="4"/>
      <c r="C165" s="6"/>
      <c r="D165" s="26"/>
      <c r="E165" s="7"/>
      <c r="F165" s="26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</row>
    <row r="166" spans="1:23" x14ac:dyDescent="0.25">
      <c r="A166" s="1" t="s">
        <v>0</v>
      </c>
      <c r="C166" s="6"/>
      <c r="D166" s="26"/>
      <c r="E166" s="7"/>
      <c r="F166" s="26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</row>
    <row r="167" spans="1:23" x14ac:dyDescent="0.25">
      <c r="A167" s="1" t="s">
        <v>481</v>
      </c>
      <c r="C167" s="6"/>
      <c r="D167" s="26"/>
      <c r="E167" s="7"/>
      <c r="F167" s="26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</row>
    <row r="168" spans="1:23" x14ac:dyDescent="0.25">
      <c r="G168" s="2" t="s">
        <v>131</v>
      </c>
      <c r="H168" s="2" t="s">
        <v>150</v>
      </c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</row>
    <row r="169" spans="1:23" x14ac:dyDescent="0.25">
      <c r="A169" s="1" t="s">
        <v>2</v>
      </c>
      <c r="B169" s="1" t="s">
        <v>133</v>
      </c>
      <c r="C169" s="2" t="s">
        <v>134</v>
      </c>
      <c r="D169" s="2" t="s">
        <v>135</v>
      </c>
      <c r="E169" s="2" t="s">
        <v>151</v>
      </c>
      <c r="F169" s="2" t="s">
        <v>152</v>
      </c>
      <c r="G169" s="2" t="s">
        <v>138</v>
      </c>
      <c r="H169" s="2" t="s">
        <v>153</v>
      </c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</row>
    <row r="170" spans="1:23" x14ac:dyDescent="0.25">
      <c r="A170" s="4">
        <v>41394</v>
      </c>
      <c r="B170" t="s">
        <v>482</v>
      </c>
      <c r="C170" s="6">
        <v>1645</v>
      </c>
      <c r="D170" s="3">
        <v>0</v>
      </c>
      <c r="E170" s="4">
        <v>41324</v>
      </c>
      <c r="F170" s="26">
        <v>1817.53</v>
      </c>
      <c r="G170" s="8">
        <f>F170-D170</f>
        <v>1817.53</v>
      </c>
      <c r="H170" s="15">
        <v>0</v>
      </c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</row>
    <row r="171" spans="1:23" x14ac:dyDescent="0.25">
      <c r="A171" s="4">
        <v>41394</v>
      </c>
      <c r="B171" t="s">
        <v>483</v>
      </c>
      <c r="C171" s="6">
        <v>545</v>
      </c>
      <c r="D171" s="3">
        <v>0</v>
      </c>
      <c r="E171" s="4">
        <v>41324</v>
      </c>
      <c r="F171" s="26">
        <v>81.150000000000006</v>
      </c>
      <c r="G171" s="8">
        <f>F171-D171</f>
        <v>81.150000000000006</v>
      </c>
      <c r="H171" s="15">
        <v>0</v>
      </c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</row>
    <row r="172" spans="1:23" x14ac:dyDescent="0.25">
      <c r="A172" s="4"/>
      <c r="C172" s="6"/>
      <c r="D172" s="26"/>
      <c r="E172" s="7"/>
      <c r="F172" s="26"/>
      <c r="G172" s="8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</row>
    <row r="173" spans="1:23" x14ac:dyDescent="0.25">
      <c r="A173" s="4"/>
      <c r="C173" s="6"/>
      <c r="D173" s="5">
        <f>SUM(D170:D172)</f>
        <v>0</v>
      </c>
      <c r="E173" s="7"/>
      <c r="F173" s="5">
        <f>SUM(F170:F172)</f>
        <v>1898.68</v>
      </c>
      <c r="G173" s="9">
        <f>SUM(G170:G172)</f>
        <v>1898.68</v>
      </c>
      <c r="H173" s="9">
        <f>SUM(H170:H172)</f>
        <v>0</v>
      </c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</row>
    <row r="174" spans="1:23" x14ac:dyDescent="0.25">
      <c r="A174" t="s">
        <v>132</v>
      </c>
      <c r="G174" s="9">
        <f>G173-H173</f>
        <v>1898.68</v>
      </c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</row>
    <row r="175" spans="1:23" x14ac:dyDescent="0.25">
      <c r="A175" s="4"/>
      <c r="C175" s="6"/>
      <c r="D175" s="26"/>
      <c r="E175" s="7"/>
      <c r="F175" s="26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</row>
    <row r="176" spans="1:23" x14ac:dyDescent="0.25">
      <c r="A176" s="1" t="s">
        <v>0</v>
      </c>
      <c r="C176" s="6"/>
      <c r="D176" s="26"/>
      <c r="E176" s="7"/>
      <c r="F176" s="26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</row>
    <row r="177" spans="1:21" x14ac:dyDescent="0.25">
      <c r="A177" s="1" t="s">
        <v>367</v>
      </c>
      <c r="C177" s="6"/>
      <c r="D177" s="26"/>
      <c r="E177" s="7"/>
      <c r="F177" s="26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</row>
    <row r="178" spans="1:21" x14ac:dyDescent="0.25">
      <c r="G178" s="2" t="s">
        <v>131</v>
      </c>
      <c r="H178" s="2" t="s">
        <v>150</v>
      </c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</row>
    <row r="179" spans="1:21" x14ac:dyDescent="0.25">
      <c r="A179" s="1" t="s">
        <v>2</v>
      </c>
      <c r="B179" s="1" t="s">
        <v>133</v>
      </c>
      <c r="C179" s="2" t="s">
        <v>134</v>
      </c>
      <c r="D179" s="2" t="s">
        <v>135</v>
      </c>
      <c r="E179" s="2" t="s">
        <v>151</v>
      </c>
      <c r="F179" s="2" t="s">
        <v>152</v>
      </c>
      <c r="G179" s="2" t="s">
        <v>138</v>
      </c>
      <c r="H179" s="2" t="s">
        <v>153</v>
      </c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</row>
    <row r="180" spans="1:21" x14ac:dyDescent="0.25">
      <c r="A180" s="4">
        <v>40527</v>
      </c>
      <c r="B180" t="s">
        <v>344</v>
      </c>
      <c r="C180" s="6">
        <v>6987</v>
      </c>
      <c r="D180" s="3">
        <v>0</v>
      </c>
      <c r="E180" s="4">
        <v>40211</v>
      </c>
      <c r="F180" s="26">
        <v>10620.24</v>
      </c>
      <c r="G180" s="8">
        <f>F180-D180</f>
        <v>10620.24</v>
      </c>
      <c r="H180" s="15">
        <v>7266.48</v>
      </c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</row>
    <row r="181" spans="1:21" x14ac:dyDescent="0.25">
      <c r="A181" s="4"/>
      <c r="C181" s="6"/>
      <c r="D181" s="26"/>
      <c r="E181" s="7"/>
      <c r="F181" s="26"/>
      <c r="G181" s="8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</row>
    <row r="182" spans="1:21" x14ac:dyDescent="0.25">
      <c r="A182" s="4"/>
      <c r="C182" s="6"/>
      <c r="D182" s="5">
        <f>SUM(D180:D181)</f>
        <v>0</v>
      </c>
      <c r="E182" s="7"/>
      <c r="F182" s="5">
        <f>SUM(F180:F181)</f>
        <v>10620.24</v>
      </c>
      <c r="G182" s="9">
        <f>SUM(G180:G181)</f>
        <v>10620.24</v>
      </c>
      <c r="H182" s="9">
        <f>SUM(H180:H181)</f>
        <v>7266.48</v>
      </c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</row>
    <row r="183" spans="1:21" x14ac:dyDescent="0.25">
      <c r="A183" t="s">
        <v>132</v>
      </c>
      <c r="G183" s="9">
        <f>G182-H182</f>
        <v>3353.76</v>
      </c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</row>
    <row r="184" spans="1:21" x14ac:dyDescent="0.25">
      <c r="A184" s="4"/>
      <c r="C184" s="6"/>
      <c r="D184" s="26"/>
      <c r="E184" s="7"/>
      <c r="F184" s="26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</row>
    <row r="185" spans="1:21" x14ac:dyDescent="0.25">
      <c r="A185" s="1" t="s">
        <v>0</v>
      </c>
      <c r="C185" s="6"/>
      <c r="D185" s="26"/>
      <c r="E185" s="7"/>
      <c r="F185" s="26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</row>
    <row r="186" spans="1:21" x14ac:dyDescent="0.25">
      <c r="A186" s="1" t="s">
        <v>326</v>
      </c>
      <c r="C186" s="6"/>
      <c r="D186" s="26"/>
      <c r="E186" s="7"/>
      <c r="F186" s="26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</row>
    <row r="187" spans="1:21" x14ac:dyDescent="0.25">
      <c r="G187" s="2" t="s">
        <v>131</v>
      </c>
      <c r="H187" s="2" t="s">
        <v>150</v>
      </c>
      <c r="I187" s="15"/>
      <c r="J187" s="15"/>
      <c r="K187" s="15"/>
      <c r="L187" s="15"/>
      <c r="M187" s="15"/>
      <c r="N187" s="15"/>
      <c r="O187" s="15"/>
      <c r="P187" s="15"/>
      <c r="Q187" s="15"/>
    </row>
    <row r="188" spans="1:21" x14ac:dyDescent="0.25">
      <c r="A188" s="1" t="s">
        <v>2</v>
      </c>
      <c r="B188" s="1" t="s">
        <v>133</v>
      </c>
      <c r="C188" s="2" t="s">
        <v>134</v>
      </c>
      <c r="D188" s="2" t="s">
        <v>135</v>
      </c>
      <c r="E188" s="2" t="s">
        <v>151</v>
      </c>
      <c r="F188" s="2" t="s">
        <v>152</v>
      </c>
      <c r="G188" s="2" t="s">
        <v>138</v>
      </c>
      <c r="H188" s="2" t="s">
        <v>153</v>
      </c>
      <c r="I188" s="15"/>
      <c r="J188" s="15"/>
      <c r="K188" s="15"/>
      <c r="L188" s="15"/>
      <c r="M188" s="15"/>
      <c r="N188" s="15"/>
      <c r="O188" s="15"/>
      <c r="P188" s="15"/>
      <c r="Q188" s="15"/>
    </row>
    <row r="189" spans="1:21" x14ac:dyDescent="0.25">
      <c r="A189" s="4">
        <v>39276</v>
      </c>
      <c r="B189" t="s">
        <v>146</v>
      </c>
      <c r="C189" s="6">
        <v>4571</v>
      </c>
      <c r="D189" s="3">
        <v>11473.21</v>
      </c>
      <c r="E189" s="4">
        <v>36678</v>
      </c>
      <c r="F189" s="26">
        <v>19022.71</v>
      </c>
      <c r="G189" s="8">
        <f>F189-D189</f>
        <v>7549.5</v>
      </c>
      <c r="H189" s="15">
        <v>8227.7999999999993</v>
      </c>
      <c r="I189" s="15"/>
      <c r="J189" s="15"/>
      <c r="K189" s="15"/>
      <c r="L189" s="15"/>
      <c r="M189" s="15"/>
      <c r="N189" s="15"/>
      <c r="O189" s="15"/>
      <c r="P189" s="15"/>
      <c r="Q189" s="15"/>
    </row>
    <row r="190" spans="1:21" x14ac:dyDescent="0.25">
      <c r="A190" s="4">
        <v>39276</v>
      </c>
      <c r="B190" t="s">
        <v>147</v>
      </c>
      <c r="C190" s="6">
        <f>643+525+601</f>
        <v>1769</v>
      </c>
      <c r="D190" s="3">
        <f>1012.5+1061.5+3200</f>
        <v>5274</v>
      </c>
      <c r="E190" s="4">
        <v>36815</v>
      </c>
      <c r="F190" s="26">
        <v>26981.84</v>
      </c>
      <c r="G190" s="8">
        <f>F190-D190</f>
        <v>21707.84</v>
      </c>
      <c r="H190" s="8">
        <f>24850.18-3200</f>
        <v>21650.18</v>
      </c>
      <c r="I190" s="15"/>
      <c r="J190" s="26"/>
      <c r="K190" s="15"/>
      <c r="L190" s="15"/>
      <c r="M190" s="15"/>
      <c r="N190" s="15"/>
      <c r="O190" s="15"/>
      <c r="P190" s="15"/>
      <c r="Q190" s="15"/>
    </row>
    <row r="191" spans="1:21" x14ac:dyDescent="0.25">
      <c r="A191" s="4"/>
      <c r="C191" s="6"/>
      <c r="D191" s="26"/>
      <c r="E191" s="7"/>
      <c r="F191" s="26"/>
      <c r="G191" s="8"/>
      <c r="H191" s="15"/>
      <c r="I191" s="15"/>
      <c r="J191" s="15"/>
      <c r="K191" s="15"/>
      <c r="L191" s="15"/>
      <c r="M191" s="15"/>
      <c r="N191" s="15"/>
      <c r="O191" s="15"/>
      <c r="P191" s="15"/>
      <c r="Q191" s="15"/>
    </row>
    <row r="192" spans="1:21" x14ac:dyDescent="0.25">
      <c r="A192" s="4"/>
      <c r="C192" s="6"/>
      <c r="D192" s="5">
        <f>SUM(D189:D191)</f>
        <v>16747.21</v>
      </c>
      <c r="E192" s="7"/>
      <c r="F192" s="5">
        <f>SUM(F189:F191)</f>
        <v>46004.55</v>
      </c>
      <c r="G192" s="9">
        <f>SUM(G189:G191)</f>
        <v>29257.34</v>
      </c>
      <c r="H192" s="9">
        <f>SUM(H189:H191)</f>
        <v>29877.98</v>
      </c>
      <c r="I192" s="15"/>
      <c r="J192" s="15"/>
      <c r="K192" s="15"/>
      <c r="L192" s="15"/>
      <c r="M192" s="15"/>
      <c r="N192" s="15"/>
      <c r="O192" s="15"/>
      <c r="P192" s="15"/>
      <c r="Q192" s="15"/>
    </row>
    <row r="193" spans="1:14" x14ac:dyDescent="0.25">
      <c r="A193" t="s">
        <v>132</v>
      </c>
      <c r="G193" s="9">
        <f>G192-H192</f>
        <v>-620.63999999999942</v>
      </c>
      <c r="I193" s="15"/>
      <c r="J193" s="15"/>
      <c r="K193" s="15"/>
      <c r="L193" s="15"/>
      <c r="M193" s="15"/>
    </row>
    <row r="194" spans="1:14" x14ac:dyDescent="0.25">
      <c r="G194" s="15"/>
      <c r="I194" s="15"/>
      <c r="J194" s="15"/>
      <c r="K194" s="15"/>
      <c r="L194" s="15"/>
      <c r="M194" s="15"/>
    </row>
    <row r="195" spans="1:14" x14ac:dyDescent="0.25">
      <c r="A195" s="1" t="s">
        <v>0</v>
      </c>
      <c r="C195" s="6"/>
      <c r="D195" s="26"/>
      <c r="E195" s="7"/>
      <c r="F195" s="26"/>
      <c r="G195" s="15"/>
      <c r="H195" s="15"/>
      <c r="I195" s="15"/>
      <c r="J195" s="15"/>
      <c r="K195" s="15"/>
      <c r="L195" s="15"/>
      <c r="M195" s="15"/>
    </row>
    <row r="196" spans="1:14" x14ac:dyDescent="0.25">
      <c r="A196" s="1" t="s">
        <v>272</v>
      </c>
      <c r="C196" s="6"/>
      <c r="D196" s="26"/>
      <c r="E196" s="7"/>
      <c r="F196" s="26"/>
      <c r="G196" s="15"/>
      <c r="H196" s="15"/>
      <c r="I196" s="15"/>
      <c r="J196" s="15"/>
      <c r="K196" s="15"/>
      <c r="L196" s="15"/>
      <c r="M196" s="15"/>
    </row>
    <row r="197" spans="1:14" x14ac:dyDescent="0.25">
      <c r="G197" s="2" t="s">
        <v>131</v>
      </c>
      <c r="H197" s="2" t="s">
        <v>150</v>
      </c>
      <c r="I197" s="15"/>
      <c r="J197" s="29" t="s">
        <v>276</v>
      </c>
      <c r="K197" s="15"/>
      <c r="L197" s="15"/>
      <c r="M197" s="15"/>
    </row>
    <row r="198" spans="1:14" x14ac:dyDescent="0.25">
      <c r="A198" s="1" t="s">
        <v>2</v>
      </c>
      <c r="B198" s="1" t="s">
        <v>133</v>
      </c>
      <c r="C198" s="2" t="s">
        <v>134</v>
      </c>
      <c r="D198" s="2" t="s">
        <v>135</v>
      </c>
      <c r="E198" s="2" t="s">
        <v>151</v>
      </c>
      <c r="F198" s="2" t="s">
        <v>152</v>
      </c>
      <c r="G198" s="2" t="s">
        <v>138</v>
      </c>
      <c r="H198" s="2" t="s">
        <v>153</v>
      </c>
      <c r="I198" s="15"/>
      <c r="J198" s="15" t="s">
        <v>277</v>
      </c>
      <c r="K198" s="15">
        <v>643</v>
      </c>
      <c r="L198" s="15"/>
      <c r="M198" s="15" t="s">
        <v>280</v>
      </c>
      <c r="N198">
        <v>1970</v>
      </c>
    </row>
    <row r="199" spans="1:14" x14ac:dyDescent="0.25">
      <c r="A199" s="4">
        <v>38919</v>
      </c>
      <c r="B199" t="s">
        <v>205</v>
      </c>
      <c r="C199" s="6">
        <v>2522</v>
      </c>
      <c r="D199" s="3">
        <v>0</v>
      </c>
      <c r="E199" s="4">
        <v>37921</v>
      </c>
      <c r="F199" s="26">
        <v>3530.8</v>
      </c>
      <c r="G199" s="8">
        <f>F199-D199</f>
        <v>3530.8</v>
      </c>
      <c r="H199" s="15">
        <v>3530.8</v>
      </c>
      <c r="I199" s="15"/>
      <c r="J199" s="15" t="s">
        <v>278</v>
      </c>
      <c r="K199" s="15">
        <v>525</v>
      </c>
      <c r="L199" s="15"/>
      <c r="M199" s="15" t="s">
        <v>281</v>
      </c>
      <c r="N199">
        <v>8030</v>
      </c>
    </row>
    <row r="200" spans="1:14" x14ac:dyDescent="0.25">
      <c r="A200" s="4">
        <v>38982</v>
      </c>
      <c r="B200" t="s">
        <v>179</v>
      </c>
      <c r="C200" s="6">
        <v>8500</v>
      </c>
      <c r="D200" s="3">
        <v>857.73</v>
      </c>
      <c r="E200" s="4">
        <v>35936</v>
      </c>
      <c r="F200" s="26">
        <v>10389</v>
      </c>
      <c r="G200" s="8">
        <f>F200-D200</f>
        <v>9531.27</v>
      </c>
      <c r="H200" s="15">
        <v>7174.77</v>
      </c>
      <c r="I200" s="15"/>
      <c r="J200" s="15" t="s">
        <v>279</v>
      </c>
      <c r="K200" s="15">
        <v>601</v>
      </c>
      <c r="L200" s="15"/>
      <c r="M200" s="15" t="s">
        <v>112</v>
      </c>
      <c r="N200">
        <f>SUM(N198:N199)</f>
        <v>10000</v>
      </c>
    </row>
    <row r="201" spans="1:14" x14ac:dyDescent="0.25">
      <c r="A201" s="4">
        <v>39111</v>
      </c>
      <c r="B201" s="4" t="s">
        <v>249</v>
      </c>
      <c r="C201" s="6">
        <v>1000</v>
      </c>
      <c r="D201" s="3">
        <v>2000</v>
      </c>
      <c r="E201" s="4">
        <v>38611</v>
      </c>
      <c r="F201" s="26">
        <v>2060</v>
      </c>
      <c r="G201" s="8">
        <f>F201-D201</f>
        <v>60</v>
      </c>
      <c r="H201" s="15">
        <v>-305</v>
      </c>
      <c r="I201" s="15"/>
      <c r="J201" s="15" t="s">
        <v>112</v>
      </c>
      <c r="K201" s="15">
        <f>SUM(K198:K200)</f>
        <v>1769</v>
      </c>
      <c r="L201" s="15"/>
      <c r="M201" s="15" t="s">
        <v>282</v>
      </c>
      <c r="N201">
        <v>1754</v>
      </c>
    </row>
    <row r="202" spans="1:14" x14ac:dyDescent="0.25">
      <c r="A202" s="4"/>
      <c r="C202" s="6"/>
      <c r="D202" s="26"/>
      <c r="E202" s="7"/>
      <c r="F202" s="26"/>
      <c r="G202" s="8"/>
      <c r="H202" s="15"/>
      <c r="I202" s="15"/>
      <c r="J202" s="15"/>
      <c r="K202" s="15"/>
      <c r="L202" s="15"/>
      <c r="M202" s="15"/>
    </row>
    <row r="203" spans="1:14" x14ac:dyDescent="0.25">
      <c r="A203" s="4"/>
      <c r="C203" s="6"/>
      <c r="D203" s="5">
        <f>SUM(D199:D202)</f>
        <v>2857.73</v>
      </c>
      <c r="E203" s="7"/>
      <c r="F203" s="5">
        <f>SUM(F199:F202)</f>
        <v>15979.8</v>
      </c>
      <c r="G203" s="9">
        <f>SUM(G199:G202)</f>
        <v>13122.07</v>
      </c>
      <c r="H203" s="9">
        <f>SUM(H199:H202)</f>
        <v>10400.57</v>
      </c>
      <c r="I203" s="15"/>
      <c r="J203" s="15"/>
      <c r="K203" s="15"/>
      <c r="L203" s="15"/>
      <c r="M203" s="15"/>
    </row>
    <row r="204" spans="1:14" x14ac:dyDescent="0.25">
      <c r="A204" t="s">
        <v>132</v>
      </c>
      <c r="G204" s="9">
        <f>G203-H203</f>
        <v>2721.5</v>
      </c>
      <c r="I204" s="15"/>
      <c r="J204" s="15"/>
      <c r="K204" s="15"/>
      <c r="L204" s="15"/>
      <c r="M204" s="15"/>
    </row>
    <row r="205" spans="1:14" x14ac:dyDescent="0.25">
      <c r="A205" s="4"/>
      <c r="C205" s="6"/>
      <c r="D205" s="26"/>
      <c r="E205" s="7"/>
      <c r="F205" s="26"/>
      <c r="G205" s="15"/>
      <c r="H205" s="15"/>
      <c r="I205" s="15"/>
      <c r="J205" s="15"/>
      <c r="K205" s="15"/>
      <c r="L205" s="15"/>
      <c r="M205" s="15"/>
    </row>
    <row r="206" spans="1:14" x14ac:dyDescent="0.25">
      <c r="A206" s="1" t="s">
        <v>0</v>
      </c>
      <c r="I206" s="15"/>
      <c r="J206" s="15"/>
      <c r="K206" s="15"/>
      <c r="L206" s="15"/>
      <c r="M206" s="15"/>
    </row>
    <row r="207" spans="1:14" x14ac:dyDescent="0.25">
      <c r="A207" s="1" t="s">
        <v>247</v>
      </c>
      <c r="I207" s="15"/>
      <c r="J207" s="15"/>
      <c r="K207" s="15"/>
      <c r="L207" s="15"/>
      <c r="M207" s="15"/>
    </row>
    <row r="208" spans="1:14" x14ac:dyDescent="0.25">
      <c r="G208" s="2" t="s">
        <v>131</v>
      </c>
      <c r="H208" s="2" t="s">
        <v>150</v>
      </c>
      <c r="I208" s="15"/>
      <c r="J208" s="15"/>
      <c r="K208" s="15"/>
      <c r="L208" s="15"/>
      <c r="M208" s="15"/>
    </row>
    <row r="209" spans="1:13" x14ac:dyDescent="0.25">
      <c r="A209" s="1" t="s">
        <v>2</v>
      </c>
      <c r="B209" s="1" t="s">
        <v>133</v>
      </c>
      <c r="C209" s="2" t="s">
        <v>134</v>
      </c>
      <c r="D209" s="2" t="s">
        <v>135</v>
      </c>
      <c r="E209" s="2" t="s">
        <v>151</v>
      </c>
      <c r="F209" s="2" t="s">
        <v>152</v>
      </c>
      <c r="G209" s="2" t="s">
        <v>138</v>
      </c>
      <c r="H209" s="2" t="s">
        <v>153</v>
      </c>
      <c r="I209" s="15"/>
      <c r="J209" s="15"/>
      <c r="K209" s="15"/>
      <c r="L209" s="15"/>
      <c r="M209" s="15"/>
    </row>
    <row r="210" spans="1:13" x14ac:dyDescent="0.25">
      <c r="A210" s="4">
        <v>38603</v>
      </c>
      <c r="B210" t="s">
        <v>248</v>
      </c>
      <c r="C210" s="6">
        <v>10000</v>
      </c>
      <c r="D210" s="3">
        <v>2000</v>
      </c>
      <c r="E210" s="4">
        <v>38475</v>
      </c>
      <c r="F210" s="3">
        <v>1934</v>
      </c>
      <c r="G210" s="8">
        <f>F210-D210</f>
        <v>-66</v>
      </c>
      <c r="H210" s="8">
        <v>-450</v>
      </c>
      <c r="I210" s="15"/>
      <c r="J210" s="15"/>
      <c r="K210" s="15"/>
      <c r="L210" s="15"/>
      <c r="M210" s="15"/>
    </row>
    <row r="211" spans="1:13" x14ac:dyDescent="0.25">
      <c r="A211" s="4"/>
      <c r="C211" s="6"/>
      <c r="D211" s="3"/>
      <c r="E211" s="4"/>
      <c r="F211" s="3"/>
      <c r="G211" s="8"/>
      <c r="H211" s="8"/>
      <c r="I211" s="15"/>
      <c r="J211" s="15"/>
      <c r="K211" s="15"/>
      <c r="L211" s="15"/>
      <c r="M211" s="15"/>
    </row>
    <row r="212" spans="1:13" x14ac:dyDescent="0.25">
      <c r="A212" s="4"/>
      <c r="C212" s="6"/>
      <c r="D212" s="3"/>
      <c r="E212" s="4"/>
      <c r="F212" s="3"/>
      <c r="G212" s="8"/>
      <c r="H212" s="8"/>
      <c r="I212" s="15"/>
      <c r="J212" s="15"/>
      <c r="K212" s="15"/>
      <c r="L212" s="15"/>
      <c r="M212" s="15"/>
    </row>
    <row r="213" spans="1:13" x14ac:dyDescent="0.25">
      <c r="A213" s="4"/>
      <c r="C213" s="6"/>
      <c r="D213" s="3"/>
      <c r="E213" s="4"/>
      <c r="F213" s="3"/>
      <c r="G213" s="8"/>
      <c r="H213" s="8"/>
      <c r="I213" s="15"/>
      <c r="J213" s="15"/>
      <c r="K213" s="15"/>
      <c r="L213" s="15"/>
      <c r="M213" s="15"/>
    </row>
    <row r="214" spans="1:13" x14ac:dyDescent="0.25">
      <c r="A214" s="4"/>
      <c r="C214" s="6"/>
      <c r="D214" s="5">
        <f>SUM(D210:D213)</f>
        <v>2000</v>
      </c>
      <c r="E214" s="7"/>
      <c r="F214" s="5">
        <f>SUM(F210:F213)</f>
        <v>1934</v>
      </c>
      <c r="G214" s="9">
        <f>SUM(G210:G213)</f>
        <v>-66</v>
      </c>
      <c r="H214" s="9">
        <f>SUM(H210:H213)</f>
        <v>-450</v>
      </c>
      <c r="I214" s="15"/>
      <c r="J214" s="15"/>
      <c r="K214" s="15"/>
      <c r="L214" s="15"/>
      <c r="M214" s="15"/>
    </row>
    <row r="215" spans="1:13" x14ac:dyDescent="0.25">
      <c r="A215" t="s">
        <v>132</v>
      </c>
      <c r="G215" s="9">
        <f>G214-H214</f>
        <v>384</v>
      </c>
      <c r="I215" s="15"/>
      <c r="J215" s="15"/>
      <c r="K215" s="15"/>
      <c r="L215" s="15"/>
      <c r="M215" s="15"/>
    </row>
    <row r="216" spans="1:13" x14ac:dyDescent="0.25">
      <c r="G216" s="15"/>
      <c r="I216" s="15"/>
      <c r="J216" s="15"/>
      <c r="K216" s="15"/>
      <c r="L216" s="15"/>
      <c r="M216" s="15"/>
    </row>
    <row r="217" spans="1:13" x14ac:dyDescent="0.25">
      <c r="G217" s="15"/>
      <c r="I217" s="15"/>
      <c r="J217" s="15"/>
      <c r="K217" s="15"/>
      <c r="L217" s="15"/>
      <c r="M217" s="15"/>
    </row>
    <row r="218" spans="1:13" x14ac:dyDescent="0.25">
      <c r="A218" s="4"/>
      <c r="C218" s="6"/>
      <c r="D218" s="26"/>
      <c r="E218" s="7"/>
      <c r="F218" s="26"/>
      <c r="G218" s="15"/>
      <c r="H218" s="15"/>
      <c r="I218" s="15"/>
      <c r="J218" s="15"/>
      <c r="K218" s="15"/>
      <c r="L218" s="15"/>
    </row>
    <row r="219" spans="1:13" x14ac:dyDescent="0.25">
      <c r="A219" s="1" t="s">
        <v>0</v>
      </c>
      <c r="I219" s="15"/>
      <c r="J219" s="15"/>
      <c r="K219" s="15"/>
      <c r="L219" s="15"/>
    </row>
    <row r="220" spans="1:13" x14ac:dyDescent="0.25">
      <c r="A220" s="1" t="s">
        <v>190</v>
      </c>
      <c r="I220" s="15"/>
      <c r="J220" s="15"/>
      <c r="K220" s="15"/>
      <c r="L220" s="15"/>
    </row>
    <row r="221" spans="1:13" x14ac:dyDescent="0.25">
      <c r="G221" s="2" t="s">
        <v>131</v>
      </c>
      <c r="H221" s="2" t="s">
        <v>150</v>
      </c>
      <c r="I221" s="15"/>
      <c r="J221" s="15"/>
      <c r="K221" s="15"/>
      <c r="L221" s="15"/>
    </row>
    <row r="222" spans="1:13" x14ac:dyDescent="0.25">
      <c r="A222" s="1" t="s">
        <v>2</v>
      </c>
      <c r="B222" s="1" t="s">
        <v>133</v>
      </c>
      <c r="C222" s="2" t="s">
        <v>134</v>
      </c>
      <c r="D222" s="2" t="s">
        <v>135</v>
      </c>
      <c r="E222" s="2" t="s">
        <v>151</v>
      </c>
      <c r="F222" s="2" t="s">
        <v>152</v>
      </c>
      <c r="G222" s="2" t="s">
        <v>138</v>
      </c>
      <c r="H222" s="2" t="s">
        <v>153</v>
      </c>
      <c r="I222" s="15"/>
      <c r="J222" s="15"/>
      <c r="K222" s="15"/>
      <c r="L222" s="15"/>
    </row>
    <row r="223" spans="1:13" x14ac:dyDescent="0.25">
      <c r="A223" s="4">
        <v>37628</v>
      </c>
      <c r="B223" t="s">
        <v>148</v>
      </c>
      <c r="C223" s="6">
        <v>4000</v>
      </c>
      <c r="D223" s="3">
        <v>8919.73</v>
      </c>
      <c r="E223" s="4">
        <v>36938</v>
      </c>
      <c r="F223" s="3">
        <v>13221.57</v>
      </c>
      <c r="G223" s="8">
        <f>F223-D223</f>
        <v>4301.84</v>
      </c>
      <c r="H223" s="8">
        <v>2640</v>
      </c>
      <c r="I223" s="15"/>
      <c r="J223" s="15"/>
      <c r="K223" s="15"/>
      <c r="L223" s="15"/>
    </row>
    <row r="224" spans="1:13" x14ac:dyDescent="0.25">
      <c r="A224" s="4"/>
      <c r="C224" s="6"/>
      <c r="D224" s="3"/>
      <c r="E224" s="4"/>
      <c r="F224" s="3"/>
      <c r="G224" s="8"/>
      <c r="H224" s="8"/>
      <c r="I224" s="15"/>
      <c r="J224" s="15"/>
      <c r="K224" s="15"/>
      <c r="L224" s="15"/>
    </row>
    <row r="225" spans="1:12" x14ac:dyDescent="0.25">
      <c r="A225" s="4"/>
      <c r="C225" s="6"/>
      <c r="D225" s="3"/>
      <c r="E225" s="4"/>
      <c r="F225" s="3"/>
      <c r="G225" s="8"/>
      <c r="H225" s="8"/>
      <c r="I225" s="15"/>
      <c r="J225" s="15"/>
      <c r="K225" s="15"/>
      <c r="L225" s="15"/>
    </row>
    <row r="226" spans="1:12" x14ac:dyDescent="0.25">
      <c r="A226" s="4"/>
      <c r="C226" s="6"/>
      <c r="D226" s="3"/>
      <c r="E226" s="4"/>
      <c r="F226" s="3"/>
      <c r="G226" s="8"/>
      <c r="H226" s="8"/>
      <c r="I226" s="15"/>
      <c r="J226" s="15"/>
      <c r="K226" s="15"/>
      <c r="L226" s="15"/>
    </row>
    <row r="227" spans="1:12" x14ac:dyDescent="0.25">
      <c r="A227" s="4"/>
      <c r="C227" s="6"/>
      <c r="D227" s="5">
        <f>SUM(D223:D226)</f>
        <v>8919.73</v>
      </c>
      <c r="E227" s="7"/>
      <c r="F227" s="5">
        <f>SUM(F223:F226)</f>
        <v>13221.57</v>
      </c>
      <c r="G227" s="9">
        <f>SUM(G223:G226)</f>
        <v>4301.84</v>
      </c>
      <c r="H227" s="9">
        <f>SUM(H223:H226)</f>
        <v>2640</v>
      </c>
      <c r="I227" s="15"/>
      <c r="J227" s="15"/>
      <c r="K227" s="15"/>
      <c r="L227" s="15"/>
    </row>
    <row r="228" spans="1:12" x14ac:dyDescent="0.25">
      <c r="A228" t="s">
        <v>132</v>
      </c>
      <c r="G228" s="9">
        <f>G227-H227</f>
        <v>1661.8400000000001</v>
      </c>
      <c r="I228" s="15"/>
      <c r="J228" s="15"/>
      <c r="K228" s="15"/>
      <c r="L228" s="15"/>
    </row>
    <row r="229" spans="1:12" x14ac:dyDescent="0.25">
      <c r="A229" s="4"/>
      <c r="C229" s="6"/>
      <c r="D229" s="3"/>
      <c r="E229" s="7"/>
      <c r="F229" s="3"/>
      <c r="G229" s="8"/>
    </row>
    <row r="230" spans="1:12" x14ac:dyDescent="0.25">
      <c r="A230" s="1" t="s">
        <v>0</v>
      </c>
    </row>
    <row r="231" spans="1:12" x14ac:dyDescent="0.25">
      <c r="A231" s="1" t="s">
        <v>149</v>
      </c>
    </row>
    <row r="232" spans="1:12" x14ac:dyDescent="0.25">
      <c r="G232" s="2" t="s">
        <v>131</v>
      </c>
      <c r="H232" s="2" t="s">
        <v>150</v>
      </c>
    </row>
    <row r="233" spans="1:12" x14ac:dyDescent="0.25">
      <c r="A233" s="1" t="s">
        <v>2</v>
      </c>
      <c r="B233" s="1" t="s">
        <v>133</v>
      </c>
      <c r="C233" s="2" t="s">
        <v>134</v>
      </c>
      <c r="D233" s="2" t="s">
        <v>135</v>
      </c>
      <c r="E233" s="2" t="s">
        <v>151</v>
      </c>
      <c r="F233" s="2" t="s">
        <v>152</v>
      </c>
      <c r="G233" s="2" t="s">
        <v>138</v>
      </c>
      <c r="H233" s="2" t="s">
        <v>153</v>
      </c>
    </row>
    <row r="234" spans="1:12" x14ac:dyDescent="0.25">
      <c r="A234" s="4">
        <v>36746</v>
      </c>
      <c r="B234" t="s">
        <v>154</v>
      </c>
      <c r="C234" s="6">
        <v>100</v>
      </c>
      <c r="D234" s="3">
        <v>10000</v>
      </c>
      <c r="E234" s="4">
        <v>36538</v>
      </c>
      <c r="F234" s="3">
        <v>9831</v>
      </c>
      <c r="G234" s="8">
        <f>F234-D234</f>
        <v>-169</v>
      </c>
      <c r="H234" s="8">
        <v>-200</v>
      </c>
    </row>
    <row r="235" spans="1:12" x14ac:dyDescent="0.25">
      <c r="A235" s="4">
        <v>36937</v>
      </c>
      <c r="B235" t="s">
        <v>155</v>
      </c>
      <c r="C235" s="6">
        <v>8000</v>
      </c>
      <c r="D235" s="3">
        <v>7184.2</v>
      </c>
      <c r="E235" s="4">
        <v>36945</v>
      </c>
      <c r="F235" s="3">
        <v>5722.3</v>
      </c>
      <c r="G235" s="8">
        <f>F235-D235</f>
        <v>-1461.8999999999996</v>
      </c>
      <c r="H235" s="8">
        <v>-2064.1999999999998</v>
      </c>
    </row>
    <row r="236" spans="1:12" x14ac:dyDescent="0.25">
      <c r="A236" s="4">
        <v>37042</v>
      </c>
      <c r="B236" t="s">
        <v>71</v>
      </c>
      <c r="C236" s="6">
        <v>5000</v>
      </c>
      <c r="D236" s="3">
        <v>5000</v>
      </c>
      <c r="E236" s="4">
        <v>36034</v>
      </c>
      <c r="F236" s="3">
        <v>5000</v>
      </c>
      <c r="G236" s="8">
        <f>F236-D236</f>
        <v>0</v>
      </c>
      <c r="H236" s="8">
        <v>0</v>
      </c>
    </row>
    <row r="237" spans="1:12" x14ac:dyDescent="0.25">
      <c r="A237" s="4"/>
      <c r="C237" s="6"/>
      <c r="D237" s="3"/>
      <c r="E237" s="4"/>
      <c r="F237" s="3"/>
      <c r="G237" s="8"/>
      <c r="H237" s="8"/>
    </row>
    <row r="238" spans="1:12" x14ac:dyDescent="0.25">
      <c r="A238" s="4"/>
      <c r="C238" s="6"/>
      <c r="D238" s="5">
        <f>SUM(D234:D237)</f>
        <v>22184.2</v>
      </c>
      <c r="E238" s="7"/>
      <c r="F238" s="5">
        <f>SUM(F234:F237)</f>
        <v>20553.3</v>
      </c>
      <c r="G238" s="9">
        <f>SUM(G234:G237)</f>
        <v>-1630.8999999999996</v>
      </c>
      <c r="H238" s="9">
        <f>SUM(H234:H237)</f>
        <v>-2264.1999999999998</v>
      </c>
    </row>
    <row r="239" spans="1:12" x14ac:dyDescent="0.25">
      <c r="A239" t="s">
        <v>132</v>
      </c>
      <c r="G239" s="9">
        <f>G238-H238</f>
        <v>633.30000000000018</v>
      </c>
    </row>
    <row r="240" spans="1:12" x14ac:dyDescent="0.25">
      <c r="A240" s="4"/>
      <c r="C240" s="6"/>
      <c r="D240" s="3"/>
      <c r="E240" s="7"/>
      <c r="F240" s="3"/>
      <c r="G240" s="8"/>
    </row>
    <row r="241" spans="1:8" x14ac:dyDescent="0.25">
      <c r="A241" s="4"/>
      <c r="C241" s="6"/>
      <c r="D241" s="3"/>
      <c r="E241" s="7"/>
      <c r="F241" s="3"/>
      <c r="G241" s="8"/>
      <c r="H241" s="8"/>
    </row>
    <row r="242" spans="1:8" x14ac:dyDescent="0.25">
      <c r="A242" s="1" t="s">
        <v>0</v>
      </c>
    </row>
    <row r="243" spans="1:8" x14ac:dyDescent="0.25">
      <c r="A243" s="1" t="s">
        <v>156</v>
      </c>
    </row>
    <row r="244" spans="1:8" x14ac:dyDescent="0.25">
      <c r="G244" s="2" t="s">
        <v>131</v>
      </c>
      <c r="H244" s="2" t="s">
        <v>150</v>
      </c>
    </row>
    <row r="245" spans="1:8" x14ac:dyDescent="0.25">
      <c r="A245" s="1" t="s">
        <v>2</v>
      </c>
      <c r="B245" s="1" t="s">
        <v>133</v>
      </c>
      <c r="C245" s="2" t="s">
        <v>134</v>
      </c>
      <c r="D245" s="2" t="s">
        <v>135</v>
      </c>
      <c r="E245" s="2" t="s">
        <v>151</v>
      </c>
      <c r="F245" s="2" t="s">
        <v>152</v>
      </c>
      <c r="G245" s="2" t="s">
        <v>138</v>
      </c>
      <c r="H245" s="2" t="s">
        <v>153</v>
      </c>
    </row>
    <row r="246" spans="1:8" x14ac:dyDescent="0.25">
      <c r="A246" s="4">
        <v>36410</v>
      </c>
      <c r="B246" t="s">
        <v>157</v>
      </c>
      <c r="C246" s="6">
        <v>2000</v>
      </c>
      <c r="D246" s="3">
        <v>2865.65</v>
      </c>
      <c r="E246" s="4">
        <v>35936</v>
      </c>
      <c r="F246" s="3">
        <v>2715.8</v>
      </c>
      <c r="G246" s="8">
        <f>F246-D246</f>
        <v>-149.84999999999991</v>
      </c>
      <c r="H246" s="8">
        <v>-305.64999999999998</v>
      </c>
    </row>
    <row r="247" spans="1:8" x14ac:dyDescent="0.25">
      <c r="A247" s="4">
        <v>36034</v>
      </c>
      <c r="B247" t="s">
        <v>70</v>
      </c>
      <c r="C247" s="6">
        <v>7000</v>
      </c>
      <c r="D247" s="3">
        <v>7000</v>
      </c>
      <c r="E247" s="4">
        <v>35936</v>
      </c>
      <c r="F247" s="3">
        <v>6939.5</v>
      </c>
      <c r="G247" s="8">
        <f>F247-D247</f>
        <v>-60.5</v>
      </c>
      <c r="H247" s="8">
        <v>840</v>
      </c>
    </row>
    <row r="248" spans="1:8" x14ac:dyDescent="0.25">
      <c r="A248" s="4"/>
      <c r="C248" s="6"/>
      <c r="D248" s="3"/>
      <c r="E248" s="4"/>
      <c r="F248" s="3"/>
      <c r="G248" s="8"/>
      <c r="H248" s="8"/>
    </row>
    <row r="249" spans="1:8" x14ac:dyDescent="0.25">
      <c r="A249" s="4"/>
      <c r="C249" s="6"/>
      <c r="D249" s="5">
        <f>SUM(D246:D248)</f>
        <v>9865.65</v>
      </c>
      <c r="E249" s="7"/>
      <c r="F249" s="5">
        <f>SUM(F246:F248)</f>
        <v>9655.2999999999993</v>
      </c>
      <c r="G249" s="9">
        <f>SUM(G246:G248)</f>
        <v>-210.34999999999991</v>
      </c>
      <c r="H249" s="9">
        <f>SUM(H246:H248)</f>
        <v>534.35</v>
      </c>
    </row>
    <row r="250" spans="1:8" x14ac:dyDescent="0.25">
      <c r="A250" t="s">
        <v>132</v>
      </c>
      <c r="G250" s="9">
        <f>G249-H249</f>
        <v>-744.69999999999993</v>
      </c>
    </row>
    <row r="251" spans="1:8" x14ac:dyDescent="0.25">
      <c r="G251" s="15"/>
    </row>
    <row r="252" spans="1:8" x14ac:dyDescent="0.25">
      <c r="G252" s="15"/>
    </row>
    <row r="253" spans="1:8" x14ac:dyDescent="0.25">
      <c r="G253" s="15"/>
    </row>
    <row r="254" spans="1:8" x14ac:dyDescent="0.25">
      <c r="A254" s="1" t="s">
        <v>0</v>
      </c>
    </row>
    <row r="255" spans="1:8" x14ac:dyDescent="0.25">
      <c r="A255" s="1" t="s">
        <v>158</v>
      </c>
    </row>
    <row r="257" spans="1:8" x14ac:dyDescent="0.25">
      <c r="G257" s="2" t="s">
        <v>131</v>
      </c>
      <c r="H257" s="2" t="s">
        <v>153</v>
      </c>
    </row>
    <row r="258" spans="1:8" x14ac:dyDescent="0.25">
      <c r="A258" s="1" t="s">
        <v>2</v>
      </c>
      <c r="B258" s="1" t="s">
        <v>133</v>
      </c>
      <c r="C258" s="2" t="s">
        <v>134</v>
      </c>
      <c r="D258" s="2" t="s">
        <v>135</v>
      </c>
      <c r="E258" s="2" t="s">
        <v>151</v>
      </c>
      <c r="F258" s="2" t="s">
        <v>152</v>
      </c>
      <c r="G258" s="2" t="s">
        <v>138</v>
      </c>
      <c r="H258" s="2" t="s">
        <v>139</v>
      </c>
    </row>
    <row r="259" spans="1:8" x14ac:dyDescent="0.25">
      <c r="A259" s="4">
        <v>36048</v>
      </c>
      <c r="B259" t="s">
        <v>159</v>
      </c>
      <c r="C259" s="6">
        <v>2000</v>
      </c>
      <c r="D259" s="3">
        <v>1392.45</v>
      </c>
      <c r="E259" s="4">
        <v>35936</v>
      </c>
      <c r="F259" s="3">
        <v>1347.7</v>
      </c>
      <c r="G259" s="8">
        <f>F259-D259</f>
        <v>-44.75</v>
      </c>
      <c r="H259" s="8">
        <v>-12.45</v>
      </c>
    </row>
    <row r="260" spans="1:8" x14ac:dyDescent="0.25">
      <c r="A260" s="4">
        <v>36145</v>
      </c>
      <c r="B260" t="s">
        <v>160</v>
      </c>
      <c r="C260" s="6">
        <v>2000</v>
      </c>
      <c r="D260" s="3">
        <v>2179.5</v>
      </c>
      <c r="E260" s="4">
        <v>35936</v>
      </c>
      <c r="F260" s="3">
        <f>1540.08+859.64</f>
        <v>2399.7199999999998</v>
      </c>
      <c r="G260" s="8">
        <f>F260-D260</f>
        <v>220.2199999999998</v>
      </c>
      <c r="H260" s="8">
        <v>60.5</v>
      </c>
    </row>
    <row r="261" spans="1:8" x14ac:dyDescent="0.25">
      <c r="A261" s="4">
        <v>36248</v>
      </c>
      <c r="B261" t="s">
        <v>72</v>
      </c>
      <c r="C261" s="6">
        <v>530</v>
      </c>
      <c r="D261" s="3">
        <f>4000-1880</f>
        <v>2120</v>
      </c>
      <c r="E261" s="4">
        <v>36088</v>
      </c>
      <c r="F261" s="3">
        <v>3490.4</v>
      </c>
      <c r="G261" s="8">
        <f>F261-D261</f>
        <v>1370.4</v>
      </c>
      <c r="H261" s="8">
        <v>0</v>
      </c>
    </row>
    <row r="262" spans="1:8" x14ac:dyDescent="0.25">
      <c r="A262" s="4">
        <v>36248</v>
      </c>
      <c r="B262" t="s">
        <v>161</v>
      </c>
      <c r="C262" s="6">
        <v>771</v>
      </c>
      <c r="D262" s="3">
        <v>1580.55</v>
      </c>
      <c r="E262" s="4">
        <v>35943</v>
      </c>
      <c r="F262" s="3">
        <f>2521.24-50</f>
        <v>2471.2399999999998</v>
      </c>
      <c r="G262" s="8">
        <f>F262-D262</f>
        <v>890.68999999999983</v>
      </c>
      <c r="H262" s="8">
        <v>254.43</v>
      </c>
    </row>
    <row r="263" spans="1:8" x14ac:dyDescent="0.25">
      <c r="A263" s="4"/>
      <c r="C263" s="6"/>
      <c r="D263" s="3"/>
      <c r="E263" s="4"/>
      <c r="F263" s="3"/>
      <c r="G263" s="8"/>
      <c r="H263" s="8"/>
    </row>
    <row r="264" spans="1:8" x14ac:dyDescent="0.25">
      <c r="A264" s="4"/>
      <c r="C264" s="6"/>
      <c r="D264" s="5">
        <f>SUM(D259:D263)</f>
        <v>7272.5</v>
      </c>
      <c r="E264" s="7"/>
      <c r="F264" s="5">
        <f>SUM(F259:F263)</f>
        <v>9709.06</v>
      </c>
      <c r="G264" s="9">
        <f>SUM(G259:G263)</f>
        <v>2436.5599999999995</v>
      </c>
      <c r="H264" s="9">
        <f>SUM(H259:H263)</f>
        <v>302.48</v>
      </c>
    </row>
    <row r="265" spans="1:8" x14ac:dyDescent="0.25">
      <c r="A265" t="s">
        <v>132</v>
      </c>
      <c r="G265" s="9">
        <f>G264-H264</f>
        <v>2134.0799999999995</v>
      </c>
    </row>
  </sheetData>
  <phoneticPr fontId="0" type="noConversion"/>
  <printOptions horizontalCentered="1"/>
  <pageMargins left="0" right="0" top="0.59055118110236227" bottom="0.59055118110236227" header="0.31496062992125984" footer="0.31496062992125984"/>
  <pageSetup paperSize="9" scale="69" fitToHeight="0" orientation="landscape" horizontalDpi="300" verticalDpi="300" r:id="rId1"/>
  <headerFooter alignWithMargins="0"/>
  <rowBreaks count="8" manualBreakCount="8">
    <brk id="60" max="16383" man="1"/>
    <brk id="87" max="16383" man="1"/>
    <brk id="103" max="16383" man="1"/>
    <brk id="132" max="16383" man="1"/>
    <brk id="154" max="16383" man="1"/>
    <brk id="165" max="16383" man="1"/>
    <brk id="175" max="16383" man="1"/>
    <brk id="184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"/>
  <sheetViews>
    <sheetView tabSelected="1" workbookViewId="0">
      <selection activeCell="A11" sqref="A11"/>
    </sheetView>
  </sheetViews>
  <sheetFormatPr defaultColWidth="8.85546875" defaultRowHeight="15" x14ac:dyDescent="0.25"/>
  <sheetData>
    <row r="1" spans="1:8" ht="23.25" x14ac:dyDescent="0.35">
      <c r="A1" s="21" t="s">
        <v>251</v>
      </c>
      <c r="B1" s="21"/>
      <c r="C1" s="21"/>
      <c r="D1" s="21"/>
      <c r="E1" s="21"/>
      <c r="F1" s="22"/>
      <c r="G1" s="22"/>
      <c r="H1" s="22"/>
    </row>
    <row r="2" spans="1:8" ht="23.25" x14ac:dyDescent="0.35">
      <c r="A2" s="21"/>
      <c r="B2" s="21"/>
      <c r="C2" s="21"/>
      <c r="D2" s="21"/>
      <c r="E2" s="21"/>
      <c r="F2" s="22"/>
      <c r="G2" s="22"/>
      <c r="H2" s="22"/>
    </row>
    <row r="3" spans="1:8" ht="23.25" x14ac:dyDescent="0.35">
      <c r="A3" s="21" t="s">
        <v>162</v>
      </c>
      <c r="B3" s="21"/>
      <c r="C3" s="21"/>
      <c r="D3" s="21"/>
      <c r="E3" s="21"/>
      <c r="F3" s="22"/>
      <c r="G3" s="22"/>
      <c r="H3" s="22"/>
    </row>
    <row r="4" spans="1:8" ht="23.25" x14ac:dyDescent="0.35">
      <c r="A4" s="21"/>
      <c r="B4" s="21"/>
      <c r="C4" s="21"/>
      <c r="D4" s="21"/>
      <c r="E4" s="21"/>
      <c r="F4" s="22"/>
      <c r="G4" s="22"/>
      <c r="H4" s="22"/>
    </row>
    <row r="5" spans="1:8" ht="23.25" x14ac:dyDescent="0.35">
      <c r="A5" s="21" t="s">
        <v>0</v>
      </c>
      <c r="B5" s="21"/>
      <c r="C5" s="21"/>
      <c r="D5" s="21"/>
      <c r="E5" s="21"/>
      <c r="F5" s="22"/>
      <c r="G5" s="22"/>
      <c r="H5" s="22"/>
    </row>
    <row r="6" spans="1:8" ht="23.25" x14ac:dyDescent="0.35">
      <c r="A6" s="21"/>
      <c r="B6" s="21"/>
      <c r="C6" s="21"/>
      <c r="D6" s="21"/>
      <c r="E6" s="21"/>
      <c r="F6" s="22"/>
      <c r="G6" s="22"/>
      <c r="H6" s="22"/>
    </row>
    <row r="7" spans="1:8" ht="23.25" x14ac:dyDescent="0.35">
      <c r="A7" s="21"/>
      <c r="B7" s="21"/>
      <c r="C7" s="21"/>
      <c r="D7" s="21"/>
      <c r="E7" s="21"/>
      <c r="F7" s="22"/>
      <c r="G7" s="22"/>
      <c r="H7" s="22"/>
    </row>
    <row r="8" spans="1:8" ht="23.25" x14ac:dyDescent="0.35">
      <c r="A8" s="21" t="s">
        <v>163</v>
      </c>
      <c r="B8" s="21"/>
      <c r="C8" s="21"/>
      <c r="D8" s="21"/>
      <c r="E8" s="21"/>
      <c r="F8" s="22"/>
      <c r="G8" s="22"/>
      <c r="H8" s="22"/>
    </row>
    <row r="9" spans="1:8" ht="23.25" x14ac:dyDescent="0.35">
      <c r="A9" s="21"/>
      <c r="B9" s="21"/>
      <c r="C9" s="21"/>
      <c r="D9" s="21"/>
      <c r="E9" s="21"/>
      <c r="F9" s="22"/>
      <c r="G9" s="22"/>
      <c r="H9" s="22"/>
    </row>
    <row r="10" spans="1:8" ht="23.25" x14ac:dyDescent="0.35">
      <c r="A10" s="21" t="s">
        <v>1229</v>
      </c>
      <c r="B10" s="21"/>
      <c r="C10" s="21"/>
      <c r="D10" s="21"/>
      <c r="E10" s="21"/>
      <c r="F10" s="22"/>
      <c r="G10" s="22"/>
      <c r="H10" s="22"/>
    </row>
  </sheetData>
  <phoneticPr fontId="0" type="noConversion"/>
  <printOptions horizontalCentered="1"/>
  <pageMargins left="0" right="0" top="1.9685039370078741" bottom="0.98425196850393704" header="0.31496062992125984" footer="0.31496062992125984"/>
  <pageSetup paperSize="9" orientation="portrait" horizontalDpi="300" verticalDpi="300" r:id="rId1"/>
  <headerFooter alignWithMargins="0">
    <oddFooter>&amp;L&amp;8&amp;F  &amp;A 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5D114-09D9-4542-AF91-DD14B517C59E}">
  <dimension ref="A1:J46"/>
  <sheetViews>
    <sheetView workbookViewId="0">
      <selection activeCell="F11" sqref="F11"/>
    </sheetView>
  </sheetViews>
  <sheetFormatPr defaultRowHeight="12.75" x14ac:dyDescent="0.2"/>
  <cols>
    <col min="1" max="1" width="30.28515625" style="41" bestFit="1" customWidth="1"/>
    <col min="2" max="2" width="42.85546875" style="41" bestFit="1" customWidth="1"/>
    <col min="3" max="3" width="9.140625" style="41"/>
    <col min="4" max="4" width="11.140625" style="41" bestFit="1" customWidth="1"/>
    <col min="5" max="6" width="9.140625" style="41"/>
    <col min="7" max="7" width="11.42578125" style="41" bestFit="1" customWidth="1"/>
    <col min="8" max="8" width="10.7109375" style="41" bestFit="1" customWidth="1"/>
    <col min="9" max="16384" width="9.140625" style="41"/>
  </cols>
  <sheetData>
    <row r="1" spans="1:10" x14ac:dyDescent="0.2">
      <c r="A1" s="41" t="s">
        <v>1094</v>
      </c>
      <c r="B1" s="41" t="s">
        <v>1095</v>
      </c>
    </row>
    <row r="2" spans="1:10" x14ac:dyDescent="0.2">
      <c r="A2" s="41" t="s">
        <v>1096</v>
      </c>
      <c r="B2" s="41" t="s">
        <v>1097</v>
      </c>
    </row>
    <row r="3" spans="1:10" x14ac:dyDescent="0.2">
      <c r="A3" s="41" t="s">
        <v>1098</v>
      </c>
      <c r="B3" s="41" t="s">
        <v>1099</v>
      </c>
    </row>
    <row r="4" spans="1:10" x14ac:dyDescent="0.2">
      <c r="A4" s="41" t="s">
        <v>1100</v>
      </c>
      <c r="B4" s="41" t="s">
        <v>1101</v>
      </c>
      <c r="C4" s="41" t="s">
        <v>1102</v>
      </c>
    </row>
    <row r="5" spans="1:10" x14ac:dyDescent="0.2">
      <c r="A5" s="41" t="s">
        <v>1103</v>
      </c>
      <c r="B5" s="42">
        <v>856601.97</v>
      </c>
    </row>
    <row r="6" spans="1:10" x14ac:dyDescent="0.2">
      <c r="A6" s="41" t="s">
        <v>1104</v>
      </c>
      <c r="B6" s="43">
        <v>44742</v>
      </c>
    </row>
    <row r="8" spans="1:10" x14ac:dyDescent="0.2">
      <c r="A8" s="41" t="s">
        <v>1105</v>
      </c>
      <c r="B8" s="41" t="s">
        <v>3</v>
      </c>
      <c r="C8" s="41" t="s">
        <v>1106</v>
      </c>
      <c r="D8" s="41" t="s">
        <v>135</v>
      </c>
      <c r="E8" s="41" t="s">
        <v>1107</v>
      </c>
      <c r="F8" s="41" t="s">
        <v>1108</v>
      </c>
      <c r="G8" s="41" t="s">
        <v>1109</v>
      </c>
      <c r="H8" s="41" t="s">
        <v>1110</v>
      </c>
      <c r="I8" s="41" t="s">
        <v>1111</v>
      </c>
      <c r="J8" s="41" t="s">
        <v>1112</v>
      </c>
    </row>
    <row r="10" spans="1:10" x14ac:dyDescent="0.2">
      <c r="A10" s="41" t="s">
        <v>1113</v>
      </c>
    </row>
    <row r="11" spans="1:10" x14ac:dyDescent="0.2">
      <c r="A11" s="41" t="s">
        <v>1114</v>
      </c>
      <c r="B11" s="41" t="s">
        <v>1115</v>
      </c>
      <c r="C11" s="44">
        <v>6800</v>
      </c>
      <c r="D11" s="45">
        <v>29264.86</v>
      </c>
      <c r="E11" s="45">
        <v>4.3</v>
      </c>
      <c r="F11" s="45">
        <v>3.8</v>
      </c>
      <c r="G11" s="45">
        <v>25840</v>
      </c>
      <c r="H11" s="45">
        <v>-3424.86</v>
      </c>
      <c r="J11" s="41">
        <v>2.9799018411520302</v>
      </c>
    </row>
    <row r="12" spans="1:10" x14ac:dyDescent="0.2">
      <c r="A12" s="41" t="s">
        <v>1116</v>
      </c>
      <c r="B12" s="41" t="s">
        <v>1117</v>
      </c>
      <c r="C12" s="41">
        <v>362</v>
      </c>
      <c r="D12" s="45">
        <v>20333.54</v>
      </c>
      <c r="E12" s="45">
        <v>56.17</v>
      </c>
      <c r="F12" s="45">
        <v>90.38</v>
      </c>
      <c r="G12" s="45">
        <v>32717.56</v>
      </c>
      <c r="H12" s="45">
        <v>12384.02</v>
      </c>
      <c r="J12" s="41">
        <v>3.77303085456664</v>
      </c>
    </row>
    <row r="13" spans="1:10" x14ac:dyDescent="0.2">
      <c r="A13" s="41" t="s">
        <v>1118</v>
      </c>
      <c r="B13" s="41" t="s">
        <v>1119</v>
      </c>
      <c r="C13" s="41">
        <v>844</v>
      </c>
      <c r="D13" s="45">
        <v>6158.67</v>
      </c>
      <c r="E13" s="45">
        <v>7.3</v>
      </c>
      <c r="F13" s="45">
        <v>17.809999999999999</v>
      </c>
      <c r="G13" s="45">
        <v>15031.64</v>
      </c>
      <c r="H13" s="45">
        <v>8872.9699999999993</v>
      </c>
      <c r="J13" s="41">
        <v>1.7334679454928199</v>
      </c>
    </row>
    <row r="14" spans="1:10" x14ac:dyDescent="0.2">
      <c r="A14" s="41" t="s">
        <v>1120</v>
      </c>
      <c r="B14" s="41" t="s">
        <v>1121</v>
      </c>
      <c r="C14" s="44">
        <v>1150</v>
      </c>
      <c r="D14" s="45">
        <v>2357.5</v>
      </c>
      <c r="E14" s="45">
        <v>2.0499999999999998</v>
      </c>
      <c r="F14" s="45">
        <v>12.92</v>
      </c>
      <c r="G14" s="45">
        <v>14858</v>
      </c>
      <c r="H14" s="45">
        <v>12500.5</v>
      </c>
      <c r="J14" s="41">
        <v>1.7134435586624099</v>
      </c>
    </row>
    <row r="15" spans="1:10" x14ac:dyDescent="0.2">
      <c r="A15" s="41" t="s">
        <v>1122</v>
      </c>
      <c r="B15" s="41" t="s">
        <v>1123</v>
      </c>
      <c r="C15" s="41">
        <v>144</v>
      </c>
      <c r="D15" s="45">
        <v>0</v>
      </c>
      <c r="E15" s="45">
        <v>0</v>
      </c>
      <c r="F15" s="45">
        <v>0.74</v>
      </c>
      <c r="G15" s="45">
        <v>105.84</v>
      </c>
      <c r="H15" s="45">
        <v>105.84</v>
      </c>
      <c r="J15" s="41">
        <v>1.2205604135740299E-2</v>
      </c>
    </row>
    <row r="16" spans="1:10" x14ac:dyDescent="0.2">
      <c r="A16" s="41" t="s">
        <v>1124</v>
      </c>
      <c r="B16" s="41" t="s">
        <v>1125</v>
      </c>
      <c r="C16" s="44">
        <v>43986</v>
      </c>
      <c r="D16" s="45">
        <v>70029.039999999994</v>
      </c>
      <c r="E16" s="45">
        <v>1.59</v>
      </c>
      <c r="F16" s="45">
        <v>1.34</v>
      </c>
      <c r="G16" s="45">
        <v>58941.24</v>
      </c>
      <c r="H16" s="45">
        <v>-11087.8</v>
      </c>
      <c r="J16" s="41">
        <v>6.79717916392352</v>
      </c>
    </row>
    <row r="17" spans="1:10" x14ac:dyDescent="0.2">
      <c r="A17" s="41" t="s">
        <v>1126</v>
      </c>
      <c r="B17" s="41" t="s">
        <v>1127</v>
      </c>
      <c r="C17" s="44">
        <v>5986</v>
      </c>
      <c r="D17" s="45">
        <v>0</v>
      </c>
      <c r="E17" s="45">
        <v>0</v>
      </c>
      <c r="F17" s="45">
        <v>0.01</v>
      </c>
      <c r="G17" s="45">
        <v>29.93</v>
      </c>
      <c r="H17" s="45">
        <v>29.93</v>
      </c>
      <c r="J17" s="41">
        <v>3.4515658709628602E-3</v>
      </c>
    </row>
    <row r="18" spans="1:10" x14ac:dyDescent="0.2">
      <c r="A18" s="41" t="s">
        <v>1128</v>
      </c>
      <c r="B18" s="41" t="s">
        <v>1129</v>
      </c>
      <c r="C18" s="41">
        <v>550</v>
      </c>
      <c r="D18" s="45">
        <v>25085.69</v>
      </c>
      <c r="E18" s="45">
        <v>45.61</v>
      </c>
      <c r="F18" s="45">
        <v>48.27</v>
      </c>
      <c r="G18" s="45">
        <v>26548.5</v>
      </c>
      <c r="H18" s="45">
        <v>1462.81</v>
      </c>
      <c r="J18" s="41">
        <v>3.06160696709847</v>
      </c>
    </row>
    <row r="19" spans="1:10" x14ac:dyDescent="0.2">
      <c r="A19" s="41" t="s">
        <v>1130</v>
      </c>
      <c r="B19" s="41" t="s">
        <v>1131</v>
      </c>
      <c r="C19" s="41">
        <v>800</v>
      </c>
      <c r="D19" s="45">
        <v>21137.63</v>
      </c>
      <c r="E19" s="45">
        <v>26.42</v>
      </c>
      <c r="F19" s="45">
        <v>20.89</v>
      </c>
      <c r="G19" s="45">
        <v>16712</v>
      </c>
      <c r="H19" s="45">
        <v>-4425.63</v>
      </c>
      <c r="J19" s="41">
        <v>1.9272492093394999</v>
      </c>
    </row>
    <row r="20" spans="1:10" x14ac:dyDescent="0.2">
      <c r="A20" s="41" t="s">
        <v>1132</v>
      </c>
      <c r="B20" s="41" t="s">
        <v>1133</v>
      </c>
      <c r="C20" s="44">
        <v>3000</v>
      </c>
      <c r="D20" s="45">
        <v>20398.91</v>
      </c>
      <c r="E20" s="45">
        <v>6.8</v>
      </c>
      <c r="F20" s="45">
        <v>4.42</v>
      </c>
      <c r="G20" s="45">
        <v>13260</v>
      </c>
      <c r="H20" s="45">
        <v>-7138.91</v>
      </c>
      <c r="J20" s="41">
        <v>1.5291601553280101</v>
      </c>
    </row>
    <row r="21" spans="1:10" x14ac:dyDescent="0.2">
      <c r="A21" s="41" t="s">
        <v>1134</v>
      </c>
      <c r="B21" s="41" t="s">
        <v>1135</v>
      </c>
      <c r="C21" s="41">
        <v>251</v>
      </c>
      <c r="D21" s="45">
        <v>19930.82</v>
      </c>
      <c r="E21" s="45">
        <v>79.41</v>
      </c>
      <c r="F21" s="45">
        <v>76</v>
      </c>
      <c r="G21" s="45">
        <v>19076</v>
      </c>
      <c r="H21" s="45">
        <v>-854.82</v>
      </c>
      <c r="J21" s="41">
        <v>2.1998687121445801</v>
      </c>
    </row>
    <row r="22" spans="1:10" x14ac:dyDescent="0.2">
      <c r="A22" s="41" t="s">
        <v>1136</v>
      </c>
      <c r="B22" s="41" t="s">
        <v>1137</v>
      </c>
      <c r="C22" s="44">
        <v>1472</v>
      </c>
      <c r="D22" s="45">
        <v>28543.66</v>
      </c>
      <c r="E22" s="45">
        <v>19.39</v>
      </c>
      <c r="F22" s="45">
        <v>31.84</v>
      </c>
      <c r="G22" s="45">
        <v>46868.480000000003</v>
      </c>
      <c r="H22" s="45">
        <v>18324.82</v>
      </c>
      <c r="J22" s="41">
        <v>5.4049330434983398</v>
      </c>
    </row>
    <row r="23" spans="1:10" x14ac:dyDescent="0.2">
      <c r="A23" s="41" t="s">
        <v>1138</v>
      </c>
      <c r="B23" s="41" t="s">
        <v>1139</v>
      </c>
      <c r="C23" s="41">
        <v>844</v>
      </c>
      <c r="D23" s="45">
        <v>13456.19</v>
      </c>
      <c r="E23" s="45">
        <v>15.94</v>
      </c>
      <c r="F23" s="45">
        <v>41.91</v>
      </c>
      <c r="G23" s="45">
        <v>35372.04</v>
      </c>
      <c r="H23" s="45">
        <v>21915.85</v>
      </c>
      <c r="J23" s="41">
        <v>4.0791488824033699</v>
      </c>
    </row>
    <row r="24" spans="1:10" x14ac:dyDescent="0.2">
      <c r="D24" s="45">
        <v>256696.51</v>
      </c>
      <c r="G24" s="45">
        <v>305361.23</v>
      </c>
      <c r="H24" s="45">
        <v>48664.72</v>
      </c>
      <c r="J24" s="41">
        <v>35.214647503616398</v>
      </c>
    </row>
    <row r="26" spans="1:10" x14ac:dyDescent="0.2">
      <c r="A26" s="41" t="s">
        <v>1140</v>
      </c>
    </row>
    <row r="27" spans="1:10" x14ac:dyDescent="0.2">
      <c r="A27" s="41" t="s">
        <v>1141</v>
      </c>
      <c r="B27" s="41" t="s">
        <v>1142</v>
      </c>
      <c r="C27" s="42">
        <v>14769.18</v>
      </c>
      <c r="D27" s="45">
        <v>35000</v>
      </c>
      <c r="E27" s="45">
        <v>2.37</v>
      </c>
      <c r="F27" s="45">
        <v>2.19</v>
      </c>
      <c r="G27" s="45">
        <v>32323.82</v>
      </c>
      <c r="H27" s="45">
        <v>-2676.18</v>
      </c>
      <c r="J27" s="41">
        <v>3.7276247988084199</v>
      </c>
    </row>
    <row r="28" spans="1:10" x14ac:dyDescent="0.2">
      <c r="A28" s="41" t="s">
        <v>1143</v>
      </c>
      <c r="B28" s="41" t="s">
        <v>1144</v>
      </c>
      <c r="C28" s="42">
        <v>30039.05</v>
      </c>
      <c r="D28" s="45">
        <v>30000</v>
      </c>
      <c r="E28" s="45">
        <v>1</v>
      </c>
      <c r="F28" s="45">
        <v>0.89</v>
      </c>
      <c r="G28" s="45">
        <v>26797.84</v>
      </c>
      <c r="H28" s="45">
        <v>-3202.16</v>
      </c>
      <c r="J28" s="41">
        <v>3.09036085397975</v>
      </c>
    </row>
    <row r="29" spans="1:10" x14ac:dyDescent="0.2">
      <c r="A29" s="41" t="s">
        <v>1145</v>
      </c>
      <c r="B29" s="41" t="s">
        <v>1146</v>
      </c>
      <c r="C29" s="42">
        <v>38980.239999999998</v>
      </c>
      <c r="D29" s="45">
        <v>40000</v>
      </c>
      <c r="E29" s="45">
        <v>1.03</v>
      </c>
      <c r="F29" s="45">
        <v>0.87</v>
      </c>
      <c r="G29" s="45">
        <v>33897.21</v>
      </c>
      <c r="H29" s="45">
        <v>-6102.79</v>
      </c>
      <c r="J29" s="41">
        <v>3.9090701735113602</v>
      </c>
    </row>
    <row r="30" spans="1:10" x14ac:dyDescent="0.2">
      <c r="A30" s="41" t="s">
        <v>1147</v>
      </c>
      <c r="B30" s="41" t="s">
        <v>1148</v>
      </c>
      <c r="C30" s="42">
        <v>24129.61</v>
      </c>
      <c r="D30" s="45">
        <v>35000</v>
      </c>
      <c r="E30" s="45">
        <v>1.45</v>
      </c>
      <c r="F30" s="45">
        <v>1.38</v>
      </c>
      <c r="G30" s="45">
        <v>33402.620000000003</v>
      </c>
      <c r="H30" s="45">
        <v>-1597.38</v>
      </c>
      <c r="J30" s="41">
        <v>3.85203282842363</v>
      </c>
    </row>
    <row r="31" spans="1:10" x14ac:dyDescent="0.2">
      <c r="A31" s="41" t="s">
        <v>1149</v>
      </c>
      <c r="B31" s="41" t="s">
        <v>1150</v>
      </c>
      <c r="C31" s="42">
        <v>32886.620000000003</v>
      </c>
      <c r="D31" s="45">
        <v>40000</v>
      </c>
      <c r="E31" s="45">
        <v>1.22</v>
      </c>
      <c r="F31" s="45">
        <v>1.1499999999999999</v>
      </c>
      <c r="G31" s="45">
        <v>37882.1</v>
      </c>
      <c r="H31" s="45">
        <v>-2117.9</v>
      </c>
      <c r="J31" s="41">
        <v>4.3686123835158401</v>
      </c>
    </row>
    <row r="32" spans="1:10" x14ac:dyDescent="0.2">
      <c r="A32" s="41" t="s">
        <v>1151</v>
      </c>
      <c r="B32" s="41" t="s">
        <v>804</v>
      </c>
      <c r="C32" s="42">
        <v>18336.759999999998</v>
      </c>
      <c r="D32" s="45">
        <v>38281.65</v>
      </c>
      <c r="E32" s="45">
        <v>2.09</v>
      </c>
      <c r="F32" s="45">
        <v>1.94</v>
      </c>
      <c r="G32" s="45">
        <v>35553.14</v>
      </c>
      <c r="H32" s="45">
        <v>-2728.51</v>
      </c>
      <c r="J32" s="41">
        <v>4.1000333523170198</v>
      </c>
    </row>
    <row r="33" spans="1:10" x14ac:dyDescent="0.2">
      <c r="A33" s="41" t="s">
        <v>1152</v>
      </c>
      <c r="B33" s="41" t="s">
        <v>1153</v>
      </c>
      <c r="C33" s="42">
        <v>23887.73</v>
      </c>
      <c r="D33" s="45">
        <v>40000</v>
      </c>
      <c r="E33" s="45">
        <v>1.67</v>
      </c>
      <c r="F33" s="45">
        <v>1.45</v>
      </c>
      <c r="G33" s="45">
        <v>34723.199999999997</v>
      </c>
      <c r="H33" s="45">
        <v>-5276.8</v>
      </c>
      <c r="J33" s="41">
        <v>4.0043239375022797</v>
      </c>
    </row>
    <row r="34" spans="1:10" x14ac:dyDescent="0.2">
      <c r="A34" s="41" t="s">
        <v>1154</v>
      </c>
      <c r="B34" s="41" t="s">
        <v>1155</v>
      </c>
      <c r="C34" s="42">
        <v>26345.25</v>
      </c>
      <c r="D34" s="45">
        <v>40000</v>
      </c>
      <c r="E34" s="45">
        <v>1.52</v>
      </c>
      <c r="F34" s="45">
        <v>1.1499999999999999</v>
      </c>
      <c r="G34" s="45">
        <v>30341.83</v>
      </c>
      <c r="H34" s="45">
        <v>-9658.17</v>
      </c>
      <c r="J34" s="41">
        <v>3.4990585879163101</v>
      </c>
    </row>
    <row r="35" spans="1:10" x14ac:dyDescent="0.2">
      <c r="D35" s="45">
        <v>298281.65000000002</v>
      </c>
      <c r="G35" s="45">
        <v>264921.77</v>
      </c>
      <c r="H35" s="45">
        <v>-33359.879999999997</v>
      </c>
      <c r="J35" s="41">
        <v>30.5511169159746</v>
      </c>
    </row>
    <row r="37" spans="1:10" x14ac:dyDescent="0.2">
      <c r="A37" s="41" t="s">
        <v>1156</v>
      </c>
    </row>
    <row r="38" spans="1:10" x14ac:dyDescent="0.2">
      <c r="A38" s="41" t="s">
        <v>1157</v>
      </c>
      <c r="B38" s="41" t="s">
        <v>1158</v>
      </c>
      <c r="D38" s="45">
        <v>100000</v>
      </c>
      <c r="G38" s="45">
        <v>100000</v>
      </c>
      <c r="J38" s="41">
        <v>11.532127868235399</v>
      </c>
    </row>
    <row r="39" spans="1:10" x14ac:dyDescent="0.2">
      <c r="D39" s="45">
        <v>100000</v>
      </c>
      <c r="G39" s="45">
        <v>100000</v>
      </c>
      <c r="H39" s="45">
        <v>0</v>
      </c>
      <c r="J39" s="41">
        <v>11.532127868235399</v>
      </c>
    </row>
    <row r="41" spans="1:10" x14ac:dyDescent="0.2">
      <c r="A41" s="41" t="s">
        <v>1159</v>
      </c>
    </row>
    <row r="42" spans="1:10" x14ac:dyDescent="0.2">
      <c r="B42" s="41" t="s">
        <v>1160</v>
      </c>
      <c r="D42" s="45">
        <v>196859.66</v>
      </c>
      <c r="G42" s="45">
        <v>196859.66</v>
      </c>
      <c r="J42" s="41">
        <v>22.702107712173401</v>
      </c>
    </row>
    <row r="43" spans="1:10" x14ac:dyDescent="0.2">
      <c r="B43" s="41" t="s">
        <v>1161</v>
      </c>
      <c r="D43" s="45">
        <v>0</v>
      </c>
      <c r="G43" s="45">
        <v>0</v>
      </c>
      <c r="J43" s="41">
        <v>0</v>
      </c>
    </row>
    <row r="44" spans="1:10" x14ac:dyDescent="0.2">
      <c r="D44" s="45">
        <v>196859.66</v>
      </c>
      <c r="G44" s="45">
        <v>196859.66</v>
      </c>
      <c r="J44" s="41">
        <v>22.702107712173401</v>
      </c>
    </row>
    <row r="46" spans="1:10" x14ac:dyDescent="0.2">
      <c r="A46" s="41" t="s">
        <v>1162</v>
      </c>
      <c r="D46" s="45">
        <v>851837.82</v>
      </c>
      <c r="G46" s="45">
        <v>867142.66</v>
      </c>
      <c r="H46" s="45">
        <v>15304.84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Ledger</vt:lpstr>
      <vt:lpstr>Trial Balance</vt:lpstr>
      <vt:lpstr>P&amp;L</vt:lpstr>
      <vt:lpstr>Balance Sheet</vt:lpstr>
      <vt:lpstr>Investment Schedule</vt:lpstr>
      <vt:lpstr>Cover</vt:lpstr>
      <vt:lpstr>MQG Rpt portfolio FY22</vt:lpstr>
      <vt:lpstr>'Investment Schedule'!Print_Area</vt:lpstr>
      <vt:lpstr>'P&amp;L'!Print_Area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Belmont Cheapfoods</dc:creator>
  <cp:lastModifiedBy>Andrew Wackett</cp:lastModifiedBy>
  <cp:lastPrinted>2023-04-24T12:42:04Z</cp:lastPrinted>
  <dcterms:created xsi:type="dcterms:W3CDTF">2004-04-26T07:58:06Z</dcterms:created>
  <dcterms:modified xsi:type="dcterms:W3CDTF">2023-04-24T12:42:05Z</dcterms:modified>
</cp:coreProperties>
</file>