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SUPER Dummy Files/2022/Workpapers/"/>
    </mc:Choice>
  </mc:AlternateContent>
  <xr:revisionPtr revIDLastSave="1740" documentId="8_{7DABB9F9-DAC7-48AF-95BF-A766060AAE59}" xr6:coauthVersionLast="47" xr6:coauthVersionMax="47" xr10:uidLastSave="{71AABE92-E275-4CC1-A68B-D8BF7361EC48}"/>
  <bookViews>
    <workbookView xWindow="28680" yWindow="-120" windowWidth="29040" windowHeight="15840" tabRatio="781" firstSheet="9" activeTab="1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state="hidden" r:id="rId5"/>
    <sheet name="Investment Recon - BT" sheetId="8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r:id="rId10"/>
    <sheet name="Creditors" sheetId="11" r:id="rId11"/>
    <sheet name="PMM CGs" sheetId="19" r:id="rId12"/>
    <sheet name="Distbn Income " sheetId="7" r:id="rId13"/>
    <sheet name="Dividend Income" sheetId="18" r:id="rId14"/>
    <sheet name="Foreign Div" sheetId="9" state="hidden" r:id="rId15"/>
    <sheet name="Rental Income" sheetId="15" state="hidden" r:id="rId16"/>
    <sheet name="Acc fees" sheetId="6" state="hidden" r:id="rId17"/>
    <sheet name="Advisor Fees" sheetId="5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9" l="1"/>
  <c r="G57" i="19"/>
  <c r="F57" i="19"/>
  <c r="H54" i="19"/>
  <c r="G54" i="19"/>
  <c r="F54" i="19"/>
  <c r="F51" i="19"/>
  <c r="G51" i="19"/>
  <c r="D23" i="18"/>
  <c r="F33" i="8"/>
  <c r="L2" i="7"/>
  <c r="F23" i="13"/>
  <c r="F22" i="13"/>
  <c r="I38" i="7"/>
  <c r="N20" i="7"/>
  <c r="E60" i="7"/>
  <c r="F61" i="7"/>
  <c r="F60" i="7"/>
  <c r="E58" i="7"/>
  <c r="J43" i="7"/>
  <c r="J40" i="7"/>
  <c r="E56" i="7"/>
  <c r="I22" i="7"/>
  <c r="K37" i="7"/>
  <c r="K38" i="7"/>
  <c r="O29" i="7"/>
  <c r="D32" i="7"/>
  <c r="K33" i="7"/>
  <c r="K32" i="7"/>
  <c r="K30" i="7"/>
  <c r="K25" i="7"/>
  <c r="K22" i="7"/>
  <c r="K21" i="7"/>
  <c r="K17" i="7"/>
  <c r="K18" i="7"/>
  <c r="F27" i="7"/>
  <c r="K27" i="7" s="1"/>
  <c r="F14" i="7"/>
  <c r="F40" i="7" s="1"/>
  <c r="G43" i="7"/>
  <c r="G40" i="7"/>
  <c r="E13" i="18"/>
  <c r="H14" i="18"/>
  <c r="D13" i="18"/>
  <c r="F21" i="8"/>
  <c r="F11" i="8"/>
  <c r="F13" i="8" s="1"/>
  <c r="F12" i="18"/>
  <c r="H12" i="18"/>
  <c r="G12" i="18" s="1"/>
  <c r="H18" i="18"/>
  <c r="G18" i="18"/>
  <c r="F18" i="18"/>
  <c r="E18" i="18"/>
  <c r="D18" i="18"/>
  <c r="G11" i="18"/>
  <c r="G14" i="18" s="1"/>
  <c r="F11" i="18"/>
  <c r="F14" i="18" s="1"/>
  <c r="E11" i="18"/>
  <c r="E14" i="18" s="1"/>
  <c r="H20" i="18"/>
  <c r="G20" i="18"/>
  <c r="F20" i="18"/>
  <c r="E20" i="18"/>
  <c r="I31" i="7"/>
  <c r="K31" i="7" s="1"/>
  <c r="I29" i="7"/>
  <c r="K29" i="7" s="1"/>
  <c r="I24" i="7"/>
  <c r="K24" i="7" s="1"/>
  <c r="I15" i="7"/>
  <c r="K15" i="7" s="1"/>
  <c r="I35" i="7"/>
  <c r="K35" i="7" s="1"/>
  <c r="E53" i="7"/>
  <c r="F58" i="7"/>
  <c r="F57" i="7"/>
  <c r="I20" i="7" s="1"/>
  <c r="K20" i="7" s="1"/>
  <c r="F59" i="7"/>
  <c r="F70" i="7"/>
  <c r="F65" i="7"/>
  <c r="F64" i="7"/>
  <c r="F56" i="7"/>
  <c r="F54" i="7"/>
  <c r="F52" i="7"/>
  <c r="D53" i="7"/>
  <c r="E55" i="7"/>
  <c r="I28" i="7" s="1"/>
  <c r="K28" i="7" s="1"/>
  <c r="H43" i="7"/>
  <c r="E40" i="7"/>
  <c r="H40" i="19"/>
  <c r="H29" i="19"/>
  <c r="H15" i="19"/>
  <c r="H48" i="19" s="1"/>
  <c r="G15" i="19"/>
  <c r="F15" i="19"/>
  <c r="E15" i="19"/>
  <c r="E22" i="19" s="1"/>
  <c r="D15" i="19"/>
  <c r="I3" i="19"/>
  <c r="H3" i="19"/>
  <c r="C3" i="19"/>
  <c r="I2" i="19"/>
  <c r="H2" i="19"/>
  <c r="C2" i="19"/>
  <c r="C1" i="19"/>
  <c r="G14" i="5"/>
  <c r="L14" i="5"/>
  <c r="L13" i="5"/>
  <c r="G19" i="5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D20" i="19" l="1"/>
  <c r="F48" i="19"/>
  <c r="D21" i="19"/>
  <c r="G21" i="19" s="1"/>
  <c r="G48" i="19"/>
  <c r="F24" i="8"/>
  <c r="F32" i="8"/>
  <c r="F35" i="8" s="1"/>
  <c r="J44" i="7"/>
  <c r="F26" i="7"/>
  <c r="F43" i="7" s="1"/>
  <c r="F44" i="7" s="1"/>
  <c r="N22" i="7"/>
  <c r="G44" i="7"/>
  <c r="D11" i="18"/>
  <c r="D14" i="18" s="1"/>
  <c r="D20" i="18" s="1"/>
  <c r="D62" i="7"/>
  <c r="I26" i="7"/>
  <c r="K26" i="7" s="1"/>
  <c r="K43" i="7" s="1"/>
  <c r="E62" i="7"/>
  <c r="F26" i="8"/>
  <c r="I43" i="7"/>
  <c r="F55" i="7"/>
  <c r="I14" i="7"/>
  <c r="F53" i="7"/>
  <c r="F62" i="7" s="1"/>
  <c r="F72" i="7"/>
  <c r="E23" i="19"/>
  <c r="L81" i="15"/>
  <c r="L87" i="15"/>
  <c r="L91" i="15"/>
  <c r="L83" i="15"/>
  <c r="L88" i="15"/>
  <c r="L84" i="15"/>
  <c r="L86" i="15"/>
  <c r="E80" i="15"/>
  <c r="H93" i="15"/>
  <c r="H97" i="15" s="1"/>
  <c r="F20" i="19" l="1"/>
  <c r="D22" i="19"/>
  <c r="I40" i="7"/>
  <c r="K14" i="7"/>
  <c r="E93" i="15"/>
  <c r="E97" i="15" s="1"/>
  <c r="L80" i="15"/>
  <c r="L93" i="15" s="1"/>
  <c r="D23" i="19" l="1"/>
  <c r="H22" i="19"/>
  <c r="I3" i="18"/>
  <c r="H3" i="18"/>
  <c r="C3" i="18"/>
  <c r="I2" i="18"/>
  <c r="H2" i="18"/>
  <c r="C2" i="18"/>
  <c r="C1" i="18"/>
  <c r="F3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L3" i="7"/>
  <c r="K3" i="7"/>
  <c r="C3" i="7"/>
  <c r="K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7" i="13"/>
  <c r="F21" i="13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D43" i="7" l="1"/>
  <c r="H40" i="7"/>
  <c r="D40" i="7"/>
  <c r="K40" i="7" s="1"/>
  <c r="E36" i="7"/>
  <c r="K36" i="7" s="1"/>
  <c r="N27" i="7"/>
  <c r="P27" i="7" s="1"/>
  <c r="N18" i="7"/>
  <c r="P18" i="7" s="1"/>
  <c r="N15" i="7"/>
  <c r="P15" i="7" s="1"/>
  <c r="P25" i="7"/>
  <c r="P24" i="7"/>
  <c r="N26" i="7" l="1"/>
  <c r="P26" i="7" s="1"/>
  <c r="N14" i="7"/>
  <c r="N21" i="7"/>
  <c r="P21" i="7" s="1"/>
  <c r="I44" i="7"/>
  <c r="N17" i="7"/>
  <c r="P17" i="7" s="1"/>
  <c r="H44" i="7"/>
  <c r="E43" i="7"/>
  <c r="E44" i="7" s="1"/>
  <c r="N23" i="7"/>
  <c r="P23" i="7" s="1"/>
  <c r="P22" i="7"/>
  <c r="N16" i="7"/>
  <c r="P16" i="7" s="1"/>
  <c r="P20" i="7"/>
  <c r="N19" i="7"/>
  <c r="P19" i="7" s="1"/>
  <c r="D44" i="7"/>
  <c r="P14" i="7" l="1"/>
  <c r="N29" i="7"/>
  <c r="P29" i="7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22" i="5" l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<sst xmlns="http://schemas.openxmlformats.org/spreadsheetml/2006/main" count="806" uniqueCount="459">
  <si>
    <t>Client</t>
  </si>
  <si>
    <t>Loney Family Super Fund</t>
  </si>
  <si>
    <t>Initials</t>
  </si>
  <si>
    <t>Date</t>
  </si>
  <si>
    <t>Client Code</t>
  </si>
  <si>
    <t>LONJ</t>
  </si>
  <si>
    <t xml:space="preserve">Prep by: </t>
  </si>
  <si>
    <t>DB</t>
  </si>
  <si>
    <t>As at:</t>
  </si>
  <si>
    <t xml:space="preserve">Rev by: </t>
  </si>
  <si>
    <t>Reviewer</t>
  </si>
  <si>
    <t>xx/xx/xx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</si>
  <si>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</si>
  <si>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</si>
  <si>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</si>
  <si>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</si>
  <si>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</si>
  <si>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</si>
  <si>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</si>
  <si>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</si>
  <si>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</si>
  <si>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</si>
  <si>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</si>
  <si>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</si>
  <si>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</si>
  <si>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</si>
  <si>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</si>
  <si>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</si>
  <si>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</si>
  <si>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</si>
  <si>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</si>
  <si>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</si>
  <si>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</si>
  <si>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</si>
  <si>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</si>
  <si>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</si>
  <si>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</si>
  <si>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</si>
  <si>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</si>
  <si>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</si>
  <si>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</si>
  <si>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</si>
  <si>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</si>
  <si>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</si>
  <si>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</si>
  <si>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</si>
  <si>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</si>
  <si>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</si>
  <si>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</si>
  <si>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</si>
  <si>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</si>
  <si>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</si>
  <si>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</si>
  <si>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</si>
  <si>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</si>
  <si>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</si>
  <si>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</si>
  <si>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</si>
  <si>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</si>
  <si>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</si>
  <si>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</si>
  <si>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</si>
  <si>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</si>
  <si>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</si>
  <si>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</si>
  <si>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</si>
  <si>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</si>
  <si>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</si>
  <si>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</si>
  <si>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</si>
  <si>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</si>
  <si>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</si>
  <si>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</si>
  <si>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</si>
  <si>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</si>
  <si>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</si>
  <si>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</si>
  <si>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</si>
  <si>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</si>
  <si>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</si>
  <si>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</si>
  <si>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</si>
  <si>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John Loney</t>
  </si>
  <si>
    <t>Lynne Loney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</si>
  <si>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</si>
  <si>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</si>
  <si>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</si>
  <si>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</si>
  <si>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</si>
  <si>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</si>
  <si>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</si>
  <si>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</si>
  <si>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</si>
  <si>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</si>
  <si>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</si>
  <si>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</si>
  <si>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</si>
  <si>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</si>
  <si>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</si>
  <si>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</si>
  <si>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</si>
  <si>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</si>
  <si>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</si>
  <si>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</si>
  <si>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</si>
  <si>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</si>
  <si>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</si>
  <si>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</si>
  <si>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</si>
  <si>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</si>
  <si>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</si>
  <si>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</si>
  <si>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</si>
  <si>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</si>
  <si>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</si>
  <si>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</si>
  <si>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</si>
  <si>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</si>
  <si>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</si>
  <si>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</si>
  <si>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</si>
  <si>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</si>
  <si>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</si>
  <si>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</si>
  <si>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</si>
  <si>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</si>
  <si>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</si>
  <si>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</si>
  <si>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</si>
  <si>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</si>
  <si>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</si>
  <si>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</si>
  <si>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</si>
  <si>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</si>
  <si>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</si>
  <si>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</si>
  <si>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</si>
  <si>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</si>
  <si>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</si>
  <si>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</si>
  <si>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</si>
  <si>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</si>
  <si>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</si>
  <si>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</si>
  <si>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</si>
  <si>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</si>
  <si>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</si>
  <si>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</si>
  <si>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</si>
  <si>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</si>
  <si>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</si>
  <si>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</si>
  <si>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</si>
  <si>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</si>
  <si>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</si>
  <si>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</si>
  <si>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</si>
  <si>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</si>
  <si>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60400/BANK 1</t>
  </si>
  <si>
    <t>Bank Account 1</t>
  </si>
  <si>
    <t>60400/BANK 2</t>
  </si>
  <si>
    <t>Bank Account 2</t>
  </si>
  <si>
    <t>*save down BGL bank statement report if client has bank feeds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</si>
  <si>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</si>
  <si>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</si>
  <si>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</si>
  <si>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</si>
  <si>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Less: accrued income</t>
  </si>
  <si>
    <t xml:space="preserve">Amounts per accounts: </t>
  </si>
  <si>
    <t>Pano</t>
  </si>
  <si>
    <t>MPCASH - WFS0552</t>
  </si>
  <si>
    <t>MPCASH1 - WFS0556</t>
  </si>
  <si>
    <t>Managed investments</t>
  </si>
  <si>
    <t>Less: Aust Unity external asset</t>
  </si>
  <si>
    <t>Shares in listed companies</t>
  </si>
  <si>
    <t>Units in listed unit trusts</t>
  </si>
  <si>
    <t>Variance - not material</t>
  </si>
  <si>
    <t>Reconciliation to accounts (including external assets, not on BT)</t>
  </si>
  <si>
    <t>Balance per above (excludes cash)</t>
  </si>
  <si>
    <t xml:space="preserve">Add: Aust Unity </t>
  </si>
  <si>
    <t>Add: Term Deposit</t>
  </si>
  <si>
    <t>Total investments per balance sheet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</si>
  <si>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</si>
  <si>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</si>
  <si>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</si>
  <si>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</si>
  <si>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</si>
  <si>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</si>
  <si>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</si>
  <si>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</si>
  <si>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</si>
  <si>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>Total Variance % =</t>
  </si>
  <si>
    <t xml:space="preserve">immaterial </t>
  </si>
  <si>
    <t xml:space="preserve">If the variance is material - please fill out below investments that have an issue </t>
  </si>
  <si>
    <t>Investment variance</t>
  </si>
  <si>
    <t>BGL - 
Market Value</t>
  </si>
  <si>
    <t>Support Doc - Market Value</t>
  </si>
  <si>
    <t>Variance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</si>
  <si>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</si>
  <si>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</si>
  <si>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</si>
  <si>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</si>
  <si>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</si>
  <si>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</si>
  <si>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</si>
  <si>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</si>
  <si>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</si>
  <si>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</si>
  <si>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</si>
  <si>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</si>
  <si>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</si>
  <si>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</si>
  <si>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</si>
  <si>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</si>
  <si>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</si>
  <si>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</si>
  <si>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</si>
  <si>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</si>
  <si>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</si>
  <si>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</si>
  <si>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</si>
  <si>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</si>
  <si>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</si>
  <si>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</si>
  <si>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</si>
  <si>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</si>
  <si>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</si>
  <si>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</si>
  <si>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</si>
  <si>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</si>
  <si>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</si>
  <si>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Australian Unity Diversified Property Fund</t>
  </si>
  <si>
    <t>External Holding 2</t>
  </si>
  <si>
    <t>Non-Cash Attribution</t>
  </si>
  <si>
    <t>BT Report</t>
  </si>
  <si>
    <t>Fund Rec</t>
  </si>
  <si>
    <t>HACK</t>
  </si>
  <si>
    <t>CLNE</t>
  </si>
  <si>
    <t>CREDITORS</t>
  </si>
  <si>
    <t>BT PRIVATE PORTFOLIO REALISED CG'S</t>
  </si>
  <si>
    <t>Consideration</t>
  </si>
  <si>
    <t>Original Cost</t>
  </si>
  <si>
    <t>Disc CG</t>
  </si>
  <si>
    <t>Other CG</t>
  </si>
  <si>
    <t>Losses</t>
  </si>
  <si>
    <t>Aust Shares</t>
  </si>
  <si>
    <t>Aust Real Estate</t>
  </si>
  <si>
    <t>Int Shares</t>
  </si>
  <si>
    <t>Aust FI</t>
  </si>
  <si>
    <t xml:space="preserve">Allocation of </t>
  </si>
  <si>
    <t xml:space="preserve">Other </t>
  </si>
  <si>
    <t>Sales income per BT cash flow summary report</t>
  </si>
  <si>
    <t>Consideration per BT realised CG report</t>
  </si>
  <si>
    <t>Variance - coded back to 74700 asset</t>
  </si>
  <si>
    <t>This amount represents:</t>
  </si>
  <si>
    <t>Per the BT portfolio transactions report</t>
  </si>
  <si>
    <t>Withdrawals from Pendal Managed Cash Account</t>
  </si>
  <si>
    <t>Corporate actions</t>
  </si>
  <si>
    <t>TCLN</t>
  </si>
  <si>
    <t>TCLR</t>
  </si>
  <si>
    <t>VEA</t>
  </si>
  <si>
    <t>Check on overall Fund CGs</t>
  </si>
  <si>
    <t>Capital Losses</t>
  </si>
  <si>
    <t>BT Private Portfolio</t>
  </si>
  <si>
    <t>Realised CGs</t>
  </si>
  <si>
    <t>Distributed CGs</t>
  </si>
  <si>
    <t>BT Pano</t>
  </si>
  <si>
    <t>Australian Unity investment - distributed CG</t>
  </si>
  <si>
    <t>Northgate Industrial Trust - realised on sale</t>
  </si>
  <si>
    <t>Amounts per BGL reports</t>
  </si>
  <si>
    <t>There are some discrepancies in the capital gain/loss outcome between BGL and the BT Pano reports</t>
  </si>
  <si>
    <t xml:space="preserve">This appears to be because the cost base on the BT CG reports vary to the transfer cost base when </t>
  </si>
  <si>
    <t>the holdings transferred from BT Private to BT Pano</t>
  </si>
  <si>
    <t>DISTRIBUTION INCOME</t>
  </si>
  <si>
    <t>BT Panorama</t>
  </si>
  <si>
    <t>Add SCG</t>
  </si>
  <si>
    <t>External Hold</t>
  </si>
  <si>
    <t>BT Private</t>
  </si>
  <si>
    <t>JBW adj</t>
  </si>
  <si>
    <t>div</t>
  </si>
  <si>
    <t>Northgate</t>
  </si>
  <si>
    <t>Aust Unity</t>
  </si>
  <si>
    <t>Portfolio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</si>
  <si>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</si>
  <si>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</si>
  <si>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</si>
  <si>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</si>
  <si>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</si>
  <si>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</si>
  <si>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</si>
  <si>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</si>
  <si>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</si>
  <si>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</si>
  <si>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</si>
  <si>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</si>
  <si>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</si>
  <si>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</si>
  <si>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CGT concession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</si>
  <si>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</si>
  <si>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</si>
  <si>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</si>
  <si>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</si>
  <si>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</si>
  <si>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</si>
  <si>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</si>
  <si>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</si>
  <si>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</si>
  <si>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</si>
  <si>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</si>
  <si>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</si>
  <si>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</si>
  <si>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</si>
  <si>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</si>
  <si>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</si>
  <si>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</si>
  <si>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</si>
  <si>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</si>
  <si>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BT Private Portfolio - income per Reconciliation of reported income to taxable income report</t>
  </si>
  <si>
    <t>dividend</t>
  </si>
  <si>
    <t>distbn</t>
  </si>
  <si>
    <t>total</t>
  </si>
  <si>
    <t>unfranked</t>
  </si>
  <si>
    <t>franked</t>
  </si>
  <si>
    <t>interest</t>
  </si>
  <si>
    <t>other</t>
  </si>
  <si>
    <t>foreign</t>
  </si>
  <si>
    <t>unknown variance amt</t>
  </si>
  <si>
    <t>coded against TD</t>
  </si>
  <si>
    <t>franking credits</t>
  </si>
  <si>
    <t>Total income per cash flow summary</t>
  </si>
  <si>
    <t>less distribution income accrued in our accounts</t>
  </si>
  <si>
    <t>(Note BT accrues div income)</t>
  </si>
  <si>
    <t>DIVIDEND RECONCILIATION</t>
  </si>
  <si>
    <t>FC</t>
  </si>
  <si>
    <t>Foreign Income</t>
  </si>
  <si>
    <t>FITO</t>
  </si>
  <si>
    <t>BT Private Portfolio - Dividend Income</t>
  </si>
  <si>
    <t>BT Panorama Portfolio - Dividend Income</t>
  </si>
  <si>
    <t>BT Panorama - less SCG income</t>
  </si>
  <si>
    <t>amt taken up as distriution income in the accounts</t>
  </si>
  <si>
    <t>BGL - BT Private (under mgd fund income)</t>
  </si>
  <si>
    <t>BGL - Dividend income</t>
  </si>
  <si>
    <t>variance is not material</t>
  </si>
  <si>
    <t>Total dividends per accounts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</si>
  <si>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</si>
  <si>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</si>
  <si>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</si>
  <si>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</si>
  <si>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</si>
  <si>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</si>
  <si>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</si>
  <si>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</si>
  <si>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</si>
  <si>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</si>
  <si>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</si>
  <si>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</si>
  <si>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</si>
  <si>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</si>
  <si>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</si>
  <si>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</si>
  <si>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</si>
  <si>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</si>
  <si>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</si>
  <si>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</si>
  <si>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</si>
  <si>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</si>
  <si>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</si>
  <si>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</si>
  <si>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</si>
  <si>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</si>
  <si>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</si>
  <si>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</si>
  <si>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</si>
  <si>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</si>
  <si>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</si>
  <si>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</si>
  <si>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</si>
  <si>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</si>
  <si>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</si>
  <si>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</si>
  <si>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</si>
  <si>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</si>
  <si>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</si>
  <si>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</si>
  <si>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</si>
  <si>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</si>
  <si>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</si>
  <si>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</si>
  <si>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</si>
  <si>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</si>
  <si>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</si>
  <si>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</si>
  <si>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</si>
  <si>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</si>
  <si>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</si>
  <si>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</si>
  <si>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</si>
  <si>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</si>
  <si>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</si>
  <si>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</si>
  <si>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</si>
  <si>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</si>
  <si>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</si>
  <si>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</si>
  <si>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</si>
  <si>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</si>
  <si>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</si>
  <si>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</si>
  <si>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</si>
  <si>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</si>
  <si>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</si>
  <si>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</si>
  <si>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</si>
  <si>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</si>
  <si>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</si>
  <si>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</si>
  <si>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</si>
  <si>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</si>
  <si>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</si>
  <si>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</si>
  <si>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</si>
  <si>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</si>
  <si>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</si>
  <si>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</si>
  <si>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</si>
  <si>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</si>
  <si>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</si>
  <si>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</si>
  <si>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ACCOUNTING FEES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</si>
  <si>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</si>
  <si>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</si>
  <si>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</si>
  <si>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</si>
  <si>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</si>
  <si>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</si>
  <si>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</si>
  <si>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</si>
  <si>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</si>
  <si>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</si>
  <si>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</si>
  <si>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</si>
  <si>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</si>
  <si>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</si>
  <si>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</si>
  <si>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</si>
  <si>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</si>
  <si>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</si>
  <si>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</si>
  <si>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BT Private Portfolio adviser and management fees</t>
  </si>
  <si>
    <t>Advice Fee</t>
  </si>
  <si>
    <t>Adviser fees per accounts</t>
  </si>
  <si>
    <t>Administration Fee</t>
  </si>
  <si>
    <t>Expense Recovery</t>
  </si>
  <si>
    <t>Investment Expenses</t>
  </si>
  <si>
    <t>BT Panorama administration fees per fee summary report</t>
  </si>
  <si>
    <t>BT Panorama expense recovery fee per fee summary report</t>
  </si>
  <si>
    <t>Less: RITC</t>
  </si>
  <si>
    <t>only for funds registered for  GST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</si>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</sst>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2" fillId="0" borderId="0" xfId="0" applyNumberFormat="1" applyFont="1"/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43" fontId="22" fillId="0" borderId="0" xfId="0" applyNumberFormat="1" applyFont="1"/>
    <xf numFmtId="43" fontId="0" fillId="0" borderId="76" xfId="0" applyNumberFormat="1" applyBorder="1"/>
    <xf numFmtId="43" fontId="0" fillId="0" borderId="0" xfId="2" applyNumberFormat="1" applyFont="1" applyBorder="1"/>
    <xf numFmtId="43" fontId="0" fillId="0" borderId="0" xfId="1" applyNumberFormat="1" applyFont="1" applyBorder="1"/>
    <xf numFmtId="43" fontId="0" fillId="0" borderId="30" xfId="1" applyNumberFormat="1" applyFont="1" applyBorder="1"/>
    <xf numFmtId="166" fontId="0" fillId="0" borderId="0" xfId="1" quotePrefix="1" applyFont="1" applyFill="1"/>
    <xf numFmtId="0" fontId="22" fillId="10" borderId="0" xfId="0" applyFont="1" applyFill="1" applyAlignment="1">
      <alignment horizontal="left" vertical="center"/>
    </xf>
    <xf numFmtId="166" fontId="0" fillId="0" borderId="31" xfId="1" applyFont="1" applyBorder="1"/>
    <xf numFmtId="166" fontId="2" fillId="0" borderId="76" xfId="1" applyFont="1" applyBorder="1"/>
    <xf numFmtId="165" fontId="0" fillId="0" borderId="31" xfId="2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0" fillId="0" borderId="0" xfId="2" applyNumberFormat="1" applyFont="1"/>
    <xf numFmtId="43" fontId="0" fillId="0" borderId="31" xfId="2" applyNumberFormat="1" applyFont="1" applyBorder="1"/>
    <xf numFmtId="43" fontId="0" fillId="0" borderId="31" xfId="0" applyNumberFormat="1" applyBorder="1"/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workbookViewId="0">
      <selection activeCell="E20" sqref="E20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6" t="s">
        <v>0</v>
      </c>
      <c r="B1" s="119"/>
      <c r="C1" s="117" t="s">
        <v>1</v>
      </c>
      <c r="F1" s="55"/>
      <c r="H1" s="57" t="s">
        <v>2</v>
      </c>
      <c r="I1" s="57" t="s">
        <v>3</v>
      </c>
    </row>
    <row r="2" spans="1:9" ht="18">
      <c r="A2" s="116" t="s">
        <v>4</v>
      </c>
      <c r="B2" s="120"/>
      <c r="C2" s="117" t="s">
        <v>5</v>
      </c>
      <c r="D2" s="54"/>
      <c r="E2" s="54"/>
      <c r="F2" s="56"/>
      <c r="G2" s="60" t="s">
        <v>6</v>
      </c>
      <c r="H2" s="61" t="s">
        <v>7</v>
      </c>
      <c r="I2" s="62">
        <v>44971</v>
      </c>
    </row>
    <row r="3" spans="1:9" ht="18">
      <c r="A3" s="116" t="s">
        <v>8</v>
      </c>
      <c r="B3" s="120"/>
      <c r="C3" s="118">
        <v>44742</v>
      </c>
      <c r="D3" s="54"/>
      <c r="E3" s="54"/>
      <c r="F3" s="56"/>
      <c r="G3" s="60" t="s">
        <v>9</v>
      </c>
      <c r="H3" s="61" t="s">
        <v>10</v>
      </c>
      <c r="I3" s="62" t="s">
        <v>11</v>
      </c>
    </row>
    <row r="4" spans="1:9" ht="18">
      <c r="A4" s="121"/>
      <c r="B4" s="54"/>
      <c r="C4" s="3"/>
      <c r="D4" s="54"/>
      <c r="E4" s="54"/>
      <c r="F4" s="56"/>
    </row>
    <row r="5" spans="1:9" ht="18">
      <c r="A5" s="54" t="s">
        <v>12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13</v>
      </c>
      <c r="B7" s="6"/>
      <c r="C7" s="7"/>
      <c r="D7" s="8" t="s">
        <v>14</v>
      </c>
      <c r="E7" s="8" t="s">
        <v>15</v>
      </c>
      <c r="F7" s="332" t="s">
        <v>16</v>
      </c>
      <c r="G7" s="333"/>
      <c r="H7" s="334"/>
    </row>
    <row r="8" spans="1:9" ht="20.100000000000001" customHeight="1">
      <c r="A8" s="335" t="s">
        <v>17</v>
      </c>
      <c r="B8" s="336"/>
      <c r="C8" s="337"/>
      <c r="D8" s="219"/>
      <c r="E8" s="10" t="s">
        <v>18</v>
      </c>
      <c r="F8" s="329"/>
      <c r="G8" s="330"/>
      <c r="H8" s="331"/>
    </row>
    <row r="9" spans="1:9" ht="20.100000000000001" customHeight="1">
      <c r="A9" s="11"/>
      <c r="B9" s="12">
        <v>1</v>
      </c>
      <c r="C9" s="13" t="s">
        <v>19</v>
      </c>
      <c r="D9" s="219"/>
      <c r="E9" s="10" t="s">
        <v>18</v>
      </c>
      <c r="F9" s="329"/>
      <c r="G9" s="330"/>
      <c r="H9" s="331"/>
    </row>
    <row r="10" spans="1:9" ht="20.100000000000001" customHeight="1">
      <c r="A10" s="11"/>
      <c r="B10" s="12">
        <v>2</v>
      </c>
      <c r="C10" s="13" t="s">
        <v>20</v>
      </c>
      <c r="D10" s="219"/>
      <c r="E10" s="10" t="s">
        <v>18</v>
      </c>
      <c r="F10" s="329"/>
      <c r="G10" s="330"/>
      <c r="H10" s="331"/>
    </row>
    <row r="11" spans="1:9" ht="20.100000000000001" customHeight="1">
      <c r="A11" s="11"/>
      <c r="B11" s="12">
        <v>3</v>
      </c>
      <c r="C11" s="13" t="s">
        <v>21</v>
      </c>
      <c r="D11" s="219"/>
      <c r="E11" s="10" t="s">
        <v>18</v>
      </c>
      <c r="F11" s="329"/>
      <c r="G11" s="330"/>
      <c r="H11" s="331"/>
    </row>
    <row r="12" spans="1:9" ht="20.100000000000001" customHeight="1">
      <c r="A12" s="11"/>
      <c r="B12" s="12">
        <v>4</v>
      </c>
      <c r="C12" s="13" t="s">
        <v>22</v>
      </c>
      <c r="D12" s="219"/>
      <c r="E12" s="10" t="s">
        <v>18</v>
      </c>
      <c r="F12" s="329"/>
      <c r="G12" s="330"/>
      <c r="H12" s="331"/>
    </row>
    <row r="13" spans="1:9" ht="20.100000000000001" customHeight="1">
      <c r="A13" s="11"/>
      <c r="B13" s="12">
        <v>5</v>
      </c>
      <c r="C13" s="12" t="s">
        <v>23</v>
      </c>
      <c r="D13" s="219"/>
      <c r="E13" s="10" t="s">
        <v>18</v>
      </c>
      <c r="F13" s="329"/>
      <c r="G13" s="330"/>
      <c r="H13" s="331"/>
    </row>
    <row r="14" spans="1:9" ht="20.100000000000001" customHeight="1">
      <c r="A14" s="11"/>
      <c r="B14" s="12">
        <v>6</v>
      </c>
      <c r="C14" s="14" t="s">
        <v>24</v>
      </c>
      <c r="D14" s="219"/>
      <c r="E14" s="10" t="s">
        <v>18</v>
      </c>
      <c r="F14" s="329"/>
      <c r="G14" s="330"/>
      <c r="H14" s="331"/>
    </row>
    <row r="15" spans="1:9" ht="20.100000000000001" customHeight="1">
      <c r="A15" s="15"/>
      <c r="B15" s="16">
        <v>7</v>
      </c>
      <c r="C15" s="12" t="s">
        <v>25</v>
      </c>
      <c r="D15" s="219"/>
      <c r="E15" s="10" t="s">
        <v>18</v>
      </c>
      <c r="F15" s="329"/>
      <c r="G15" s="330"/>
      <c r="H15" s="331"/>
    </row>
    <row r="16" spans="1:9" ht="20.100000000000001" customHeight="1">
      <c r="A16" s="15"/>
      <c r="B16" s="16">
        <v>8</v>
      </c>
      <c r="C16" s="12" t="s">
        <v>26</v>
      </c>
      <c r="D16" s="219"/>
      <c r="E16" s="10"/>
      <c r="F16" s="329" t="s">
        <v>27</v>
      </c>
      <c r="G16" s="330"/>
      <c r="H16" s="331"/>
    </row>
    <row r="17" spans="1:10" ht="20.100000000000001" customHeight="1">
      <c r="A17" s="326" t="s">
        <v>28</v>
      </c>
      <c r="B17" s="327"/>
      <c r="C17" s="328"/>
      <c r="D17" s="219"/>
      <c r="E17" s="17"/>
      <c r="F17" s="329"/>
      <c r="G17" s="330"/>
      <c r="H17" s="331"/>
      <c r="J17" s="18"/>
    </row>
    <row r="18" spans="1:10" ht="20.100000000000001" customHeight="1">
      <c r="A18" s="19">
        <v>2</v>
      </c>
      <c r="B18" s="20" t="s">
        <v>29</v>
      </c>
      <c r="C18" s="21"/>
      <c r="D18" s="219"/>
      <c r="E18" s="17"/>
      <c r="F18" s="329"/>
      <c r="G18" s="330"/>
      <c r="H18" s="331"/>
    </row>
    <row r="19" spans="1:10" ht="20.100000000000001" customHeight="1">
      <c r="A19" s="22"/>
      <c r="B19" s="23"/>
      <c r="C19" s="24" t="s">
        <v>30</v>
      </c>
      <c r="D19" s="219"/>
      <c r="E19" s="10" t="s">
        <v>18</v>
      </c>
      <c r="F19" s="329"/>
      <c r="G19" s="330"/>
      <c r="H19" s="331"/>
    </row>
    <row r="20" spans="1:10" ht="20.100000000000001" customHeight="1">
      <c r="A20" s="22"/>
      <c r="B20" s="23"/>
      <c r="C20" s="24" t="s">
        <v>31</v>
      </c>
      <c r="D20" s="219"/>
      <c r="E20" s="10" t="s">
        <v>18</v>
      </c>
      <c r="F20" s="329"/>
      <c r="G20" s="330"/>
      <c r="H20" s="331"/>
    </row>
    <row r="21" spans="1:10" ht="20.100000000000001" customHeight="1">
      <c r="A21" s="11"/>
      <c r="B21" s="25"/>
      <c r="C21" s="14" t="s">
        <v>32</v>
      </c>
      <c r="D21" s="219"/>
      <c r="E21" s="10" t="s">
        <v>18</v>
      </c>
      <c r="F21" s="329"/>
      <c r="G21" s="330"/>
      <c r="H21" s="331"/>
    </row>
    <row r="22" spans="1:10" ht="20.100000000000001" customHeight="1">
      <c r="A22" s="11"/>
      <c r="B22" s="26"/>
      <c r="C22" s="14" t="s">
        <v>33</v>
      </c>
      <c r="D22" s="220" t="s">
        <v>34</v>
      </c>
      <c r="E22" s="10"/>
      <c r="F22" s="329"/>
      <c r="G22" s="330"/>
      <c r="H22" s="331"/>
    </row>
    <row r="23" spans="1:10" ht="20.100000000000001" customHeight="1">
      <c r="A23" s="19">
        <v>3</v>
      </c>
      <c r="B23" s="27" t="s">
        <v>35</v>
      </c>
      <c r="C23" s="21"/>
      <c r="D23" s="219"/>
      <c r="E23" s="17"/>
      <c r="F23" s="329"/>
      <c r="G23" s="330"/>
      <c r="H23" s="331"/>
    </row>
    <row r="24" spans="1:10" ht="20.100000000000001" customHeight="1">
      <c r="A24" s="11"/>
      <c r="B24" s="28"/>
      <c r="C24" s="14" t="s">
        <v>36</v>
      </c>
      <c r="D24" s="270" t="s">
        <v>34</v>
      </c>
      <c r="E24" s="10" t="s">
        <v>18</v>
      </c>
      <c r="F24" s="329"/>
      <c r="G24" s="330"/>
      <c r="H24" s="331"/>
    </row>
    <row r="25" spans="1:10" ht="20.100000000000001" customHeight="1">
      <c r="A25" s="19">
        <v>4</v>
      </c>
      <c r="B25" s="27" t="s">
        <v>37</v>
      </c>
      <c r="C25" s="27"/>
      <c r="D25" s="219"/>
      <c r="E25" s="10"/>
      <c r="F25" s="329"/>
      <c r="G25" s="330"/>
      <c r="H25" s="331"/>
    </row>
    <row r="26" spans="1:10" ht="20.100000000000001" customHeight="1">
      <c r="A26" s="22"/>
      <c r="B26" s="23"/>
      <c r="C26" s="24" t="s">
        <v>38</v>
      </c>
      <c r="D26" s="220" t="s">
        <v>34</v>
      </c>
      <c r="E26" s="10"/>
      <c r="F26" s="329"/>
      <c r="G26" s="330"/>
      <c r="H26" s="331"/>
    </row>
    <row r="27" spans="1:10" ht="20.100000000000001" customHeight="1">
      <c r="A27" s="11"/>
      <c r="B27" s="25"/>
      <c r="C27" s="14" t="s">
        <v>39</v>
      </c>
      <c r="D27" s="220" t="s">
        <v>34</v>
      </c>
      <c r="E27" s="10" t="s">
        <v>18</v>
      </c>
      <c r="F27" s="329"/>
      <c r="G27" s="330"/>
      <c r="H27" s="331"/>
    </row>
    <row r="28" spans="1:10" ht="20.100000000000001" customHeight="1">
      <c r="A28" s="11"/>
      <c r="B28" s="26"/>
      <c r="C28" s="14" t="s">
        <v>40</v>
      </c>
      <c r="D28" s="220" t="s">
        <v>34</v>
      </c>
      <c r="E28" s="10"/>
      <c r="F28" s="329"/>
      <c r="G28" s="330"/>
      <c r="H28" s="331"/>
    </row>
    <row r="29" spans="1:10" ht="20.100000000000001" customHeight="1">
      <c r="A29" s="11"/>
      <c r="B29" s="26"/>
      <c r="C29" s="14" t="s">
        <v>41</v>
      </c>
      <c r="D29" s="220" t="s">
        <v>34</v>
      </c>
      <c r="E29" s="10"/>
      <c r="F29" s="329"/>
      <c r="G29" s="330"/>
      <c r="H29" s="331"/>
    </row>
    <row r="30" spans="1:10" ht="20.100000000000001" customHeight="1">
      <c r="A30" s="11"/>
      <c r="B30" s="26"/>
      <c r="C30" s="14" t="s">
        <v>42</v>
      </c>
      <c r="D30" s="220" t="s">
        <v>34</v>
      </c>
      <c r="E30" s="10"/>
      <c r="F30" s="329"/>
      <c r="G30" s="330"/>
      <c r="H30" s="331"/>
    </row>
    <row r="31" spans="1:10" ht="20.100000000000001" customHeight="1">
      <c r="A31" s="19">
        <v>5</v>
      </c>
      <c r="B31" s="27" t="s">
        <v>43</v>
      </c>
      <c r="C31" s="27"/>
      <c r="D31" s="219"/>
      <c r="E31" s="10"/>
      <c r="F31" s="329"/>
      <c r="G31" s="330"/>
      <c r="H31" s="331"/>
    </row>
    <row r="32" spans="1:10" ht="20.100000000000001" customHeight="1">
      <c r="A32" s="22"/>
      <c r="B32" s="28"/>
      <c r="C32" s="14" t="s">
        <v>44</v>
      </c>
      <c r="D32" s="219"/>
      <c r="E32" s="10" t="s">
        <v>18</v>
      </c>
      <c r="F32" s="329"/>
      <c r="G32" s="330"/>
      <c r="H32" s="331"/>
    </row>
    <row r="33" spans="1:8" ht="20.100000000000001" customHeight="1">
      <c r="A33" s="11"/>
      <c r="B33" s="28"/>
      <c r="C33" s="14" t="s">
        <v>45</v>
      </c>
      <c r="D33" s="220" t="s">
        <v>34</v>
      </c>
      <c r="E33" s="10" t="s">
        <v>18</v>
      </c>
      <c r="F33" s="329"/>
      <c r="G33" s="330"/>
      <c r="H33" s="331"/>
    </row>
    <row r="34" spans="1:8" ht="20.100000000000001" customHeight="1">
      <c r="A34" s="11"/>
      <c r="B34" s="28"/>
      <c r="C34" s="14" t="s">
        <v>46</v>
      </c>
      <c r="D34" s="219"/>
      <c r="E34" s="17"/>
      <c r="F34" s="329"/>
      <c r="G34" s="330"/>
      <c r="H34" s="331"/>
    </row>
    <row r="35" spans="1:8" ht="20.100000000000001" customHeight="1">
      <c r="A35" s="11"/>
      <c r="B35" s="28"/>
      <c r="C35" s="14" t="s">
        <v>47</v>
      </c>
      <c r="D35" s="220" t="s">
        <v>34</v>
      </c>
      <c r="E35" s="10" t="s">
        <v>18</v>
      </c>
      <c r="F35" s="329"/>
      <c r="G35" s="330"/>
      <c r="H35" s="331"/>
    </row>
    <row r="36" spans="1:8" ht="20.100000000000001" customHeight="1">
      <c r="A36" s="11"/>
      <c r="B36" s="28"/>
      <c r="C36" s="14" t="s">
        <v>48</v>
      </c>
      <c r="D36" s="219"/>
      <c r="E36" s="10"/>
      <c r="F36" s="329"/>
      <c r="G36" s="330"/>
      <c r="H36" s="331"/>
    </row>
    <row r="37" spans="1:8" ht="20.100000000000001" customHeight="1">
      <c r="A37" s="11"/>
      <c r="B37" s="28"/>
      <c r="C37" s="14" t="s">
        <v>49</v>
      </c>
      <c r="D37" s="219"/>
      <c r="E37" s="17"/>
      <c r="F37" s="329"/>
      <c r="G37" s="330"/>
      <c r="H37" s="331"/>
    </row>
    <row r="38" spans="1:8" ht="20.100000000000001" customHeight="1">
      <c r="A38" s="11"/>
      <c r="B38" s="28"/>
      <c r="C38" s="14" t="s">
        <v>50</v>
      </c>
      <c r="D38" s="220" t="s">
        <v>34</v>
      </c>
      <c r="E38" s="10"/>
      <c r="F38" s="329"/>
      <c r="G38" s="330"/>
      <c r="H38" s="331"/>
    </row>
    <row r="39" spans="1:8" ht="20.100000000000001" customHeight="1">
      <c r="A39" s="19">
        <v>6</v>
      </c>
      <c r="B39" s="27" t="s">
        <v>51</v>
      </c>
      <c r="C39" s="27"/>
      <c r="D39" s="219"/>
      <c r="E39" s="10"/>
      <c r="F39" s="329"/>
      <c r="G39" s="330"/>
      <c r="H39" s="331"/>
    </row>
    <row r="40" spans="1:8" ht="20.100000000000001" customHeight="1">
      <c r="A40" s="11"/>
      <c r="B40" s="28"/>
      <c r="C40" s="14" t="s">
        <v>52</v>
      </c>
      <c r="D40" s="219"/>
      <c r="E40" s="17"/>
      <c r="F40" s="329"/>
      <c r="G40" s="330"/>
      <c r="H40" s="331"/>
    </row>
    <row r="41" spans="1:8" ht="20.100000000000001" customHeight="1">
      <c r="A41" s="11"/>
      <c r="B41" s="28"/>
      <c r="C41" s="14" t="s">
        <v>53</v>
      </c>
      <c r="D41" s="219"/>
      <c r="E41" s="17"/>
      <c r="F41" s="329"/>
      <c r="G41" s="330"/>
      <c r="H41" s="331"/>
    </row>
    <row r="42" spans="1:8" ht="20.100000000000001" customHeight="1">
      <c r="A42" s="11"/>
      <c r="B42" s="28"/>
      <c r="C42" s="14" t="s">
        <v>54</v>
      </c>
      <c r="D42" s="219"/>
      <c r="E42" s="17"/>
      <c r="F42" s="329"/>
      <c r="G42" s="330"/>
      <c r="H42" s="331"/>
    </row>
    <row r="43" spans="1:8" ht="20.100000000000001" customHeight="1">
      <c r="A43" s="11"/>
      <c r="B43" s="28"/>
      <c r="C43" s="14" t="s">
        <v>55</v>
      </c>
      <c r="D43" s="219"/>
      <c r="E43" s="10" t="s">
        <v>18</v>
      </c>
      <c r="F43" s="329"/>
      <c r="G43" s="330"/>
      <c r="H43" s="331"/>
    </row>
    <row r="44" spans="1:8" ht="20.100000000000001" customHeight="1">
      <c r="A44" s="11"/>
      <c r="B44" s="28"/>
      <c r="C44" s="14" t="s">
        <v>56</v>
      </c>
      <c r="D44" s="219"/>
      <c r="E44" s="17"/>
      <c r="F44" s="329"/>
      <c r="G44" s="330"/>
      <c r="H44" s="331"/>
    </row>
    <row r="45" spans="1:8" ht="20.100000000000001" customHeight="1">
      <c r="A45" s="11"/>
      <c r="B45" s="28"/>
      <c r="C45" s="14" t="s">
        <v>57</v>
      </c>
      <c r="D45" s="219"/>
      <c r="E45" s="10" t="s">
        <v>18</v>
      </c>
      <c r="F45" s="329"/>
      <c r="G45" s="330"/>
      <c r="H45" s="331"/>
    </row>
    <row r="46" spans="1:8" ht="20.100000000000001" customHeight="1">
      <c r="A46" s="19">
        <v>7</v>
      </c>
      <c r="B46" s="27" t="s">
        <v>58</v>
      </c>
      <c r="C46" s="27"/>
      <c r="D46" s="219"/>
      <c r="E46" s="17"/>
      <c r="F46" s="329"/>
      <c r="G46" s="330"/>
      <c r="H46" s="331"/>
    </row>
    <row r="47" spans="1:8" ht="20.100000000000001" customHeight="1">
      <c r="A47" s="11"/>
      <c r="B47" s="28"/>
      <c r="C47" s="14" t="s">
        <v>59</v>
      </c>
      <c r="D47" s="220" t="s">
        <v>34</v>
      </c>
      <c r="E47" s="29"/>
      <c r="F47" s="329"/>
      <c r="G47" s="330"/>
      <c r="H47" s="331"/>
    </row>
    <row r="48" spans="1:8" ht="20.100000000000001" customHeight="1">
      <c r="A48" s="11"/>
      <c r="B48" s="30"/>
      <c r="C48" s="14" t="s">
        <v>60</v>
      </c>
      <c r="D48" s="219"/>
      <c r="E48" s="17"/>
      <c r="F48" s="329"/>
      <c r="G48" s="330"/>
      <c r="H48" s="331"/>
    </row>
    <row r="49" spans="1:8" ht="20.100000000000001" customHeight="1">
      <c r="A49" s="19">
        <v>8</v>
      </c>
      <c r="B49" s="27" t="s">
        <v>61</v>
      </c>
      <c r="C49" s="27"/>
      <c r="D49" s="219"/>
      <c r="E49" s="17"/>
      <c r="F49" s="329"/>
      <c r="G49" s="330"/>
      <c r="H49" s="331"/>
    </row>
    <row r="50" spans="1:8" ht="20.100000000000001" customHeight="1">
      <c r="A50" s="11"/>
      <c r="B50" s="28"/>
      <c r="C50" s="24" t="s">
        <v>62</v>
      </c>
      <c r="D50" s="219"/>
      <c r="E50" s="10" t="s">
        <v>18</v>
      </c>
      <c r="F50" s="329"/>
      <c r="G50" s="330"/>
      <c r="H50" s="331"/>
    </row>
    <row r="51" spans="1:8" ht="20.100000000000001" customHeight="1">
      <c r="A51" s="11"/>
      <c r="B51" s="31"/>
      <c r="C51" s="14" t="s">
        <v>63</v>
      </c>
      <c r="D51" s="220" t="s">
        <v>34</v>
      </c>
      <c r="E51" s="10" t="s">
        <v>18</v>
      </c>
      <c r="F51" s="329"/>
      <c r="G51" s="330"/>
      <c r="H51" s="331"/>
    </row>
    <row r="52" spans="1:8" ht="20.100000000000001" customHeight="1">
      <c r="A52" s="11"/>
      <c r="B52" s="31"/>
      <c r="C52" s="24" t="s">
        <v>64</v>
      </c>
      <c r="D52" s="219"/>
      <c r="E52" s="10" t="s">
        <v>18</v>
      </c>
      <c r="F52" s="329"/>
      <c r="G52" s="330"/>
      <c r="H52" s="331"/>
    </row>
    <row r="53" spans="1:8" ht="20.100000000000001" customHeight="1">
      <c r="A53" s="11"/>
      <c r="B53" s="31"/>
      <c r="C53" s="24" t="s">
        <v>65</v>
      </c>
      <c r="D53" s="220" t="s">
        <v>34</v>
      </c>
      <c r="E53" s="10" t="s">
        <v>18</v>
      </c>
      <c r="F53" s="329"/>
      <c r="G53" s="330"/>
      <c r="H53" s="331"/>
    </row>
    <row r="54" spans="1:8" ht="20.100000000000001" customHeight="1">
      <c r="A54" s="11"/>
      <c r="B54" s="31"/>
      <c r="C54" s="24" t="s">
        <v>66</v>
      </c>
      <c r="D54" s="220" t="s">
        <v>34</v>
      </c>
      <c r="E54" s="10"/>
      <c r="F54" s="329"/>
      <c r="G54" s="330"/>
      <c r="H54" s="331"/>
    </row>
    <row r="55" spans="1:8" ht="20.100000000000001" customHeight="1">
      <c r="A55" s="11"/>
      <c r="B55" s="31"/>
      <c r="C55" s="24" t="s">
        <v>67</v>
      </c>
      <c r="D55" s="219"/>
      <c r="E55" s="10" t="s">
        <v>18</v>
      </c>
      <c r="F55" s="329"/>
      <c r="G55" s="330"/>
      <c r="H55" s="331"/>
    </row>
    <row r="56" spans="1:8" ht="20.100000000000001" customHeight="1">
      <c r="A56" s="11"/>
      <c r="B56" s="31"/>
      <c r="C56" s="24" t="s">
        <v>68</v>
      </c>
      <c r="D56" s="219"/>
      <c r="E56" s="10"/>
      <c r="F56" s="329"/>
      <c r="G56" s="330"/>
      <c r="H56" s="331"/>
    </row>
    <row r="57" spans="1:8" ht="20.100000000000001" customHeight="1">
      <c r="A57" s="11"/>
      <c r="B57" s="31"/>
      <c r="C57" s="24" t="s">
        <v>69</v>
      </c>
      <c r="D57" s="219"/>
      <c r="E57" s="10" t="s">
        <v>18</v>
      </c>
      <c r="F57" s="329"/>
      <c r="G57" s="330"/>
      <c r="H57" s="331"/>
    </row>
    <row r="58" spans="1:8" ht="20.100000000000001" customHeight="1">
      <c r="A58" s="19">
        <v>9</v>
      </c>
      <c r="B58" s="27" t="s">
        <v>70</v>
      </c>
      <c r="C58" s="27"/>
      <c r="D58" s="219"/>
      <c r="E58" s="17"/>
      <c r="F58" s="329"/>
      <c r="G58" s="330"/>
      <c r="H58" s="331"/>
    </row>
    <row r="59" spans="1:8" ht="20.100000000000001" customHeight="1">
      <c r="A59" s="32"/>
      <c r="B59" s="26"/>
      <c r="C59" s="14" t="s">
        <v>71</v>
      </c>
      <c r="D59" s="220" t="s">
        <v>34</v>
      </c>
      <c r="E59" s="10" t="s">
        <v>18</v>
      </c>
      <c r="F59" s="329"/>
      <c r="G59" s="330"/>
      <c r="H59" s="331"/>
    </row>
    <row r="60" spans="1:8" ht="20.100000000000001" customHeight="1">
      <c r="A60" s="11"/>
      <c r="B60" s="26"/>
      <c r="C60" s="14" t="s">
        <v>72</v>
      </c>
      <c r="D60" s="219"/>
      <c r="E60" s="10"/>
      <c r="F60" s="329"/>
      <c r="G60" s="330"/>
      <c r="H60" s="331"/>
    </row>
    <row r="61" spans="1:8" ht="20.100000000000001" customHeight="1">
      <c r="A61" s="11"/>
      <c r="B61" s="26"/>
      <c r="C61" s="14" t="s">
        <v>73</v>
      </c>
      <c r="D61" s="220" t="s">
        <v>34</v>
      </c>
      <c r="E61" s="10" t="s">
        <v>18</v>
      </c>
      <c r="F61" s="329"/>
      <c r="G61" s="330"/>
      <c r="H61" s="331"/>
    </row>
    <row r="62" spans="1:8" ht="20.100000000000001" customHeight="1">
      <c r="A62" s="11"/>
      <c r="B62" s="31"/>
      <c r="C62" s="24" t="s">
        <v>50</v>
      </c>
      <c r="D62" s="219"/>
      <c r="E62" s="10"/>
      <c r="F62" s="329"/>
      <c r="G62" s="330"/>
      <c r="H62" s="331"/>
    </row>
    <row r="63" spans="1:8" ht="20.100000000000001" customHeight="1">
      <c r="A63" s="19">
        <v>10</v>
      </c>
      <c r="B63" s="27" t="s">
        <v>74</v>
      </c>
      <c r="C63" s="27"/>
      <c r="D63" s="219"/>
      <c r="E63" s="17"/>
      <c r="F63" s="341"/>
      <c r="G63" s="342"/>
      <c r="H63" s="343"/>
    </row>
    <row r="64" spans="1:8" ht="20.100000000000001" customHeight="1">
      <c r="A64" s="11"/>
      <c r="B64" s="31"/>
      <c r="C64" s="24" t="s">
        <v>75</v>
      </c>
      <c r="D64" s="219"/>
      <c r="E64" s="10" t="s">
        <v>18</v>
      </c>
      <c r="F64" s="329" t="s">
        <v>76</v>
      </c>
      <c r="G64" s="330"/>
      <c r="H64" s="331"/>
    </row>
    <row r="65" spans="1:8" ht="20.100000000000001" customHeight="1">
      <c r="A65" s="19">
        <v>11</v>
      </c>
      <c r="B65" s="27" t="s">
        <v>77</v>
      </c>
      <c r="C65" s="27"/>
      <c r="D65" s="219"/>
      <c r="E65" s="17"/>
      <c r="F65" s="329"/>
      <c r="G65" s="330"/>
      <c r="H65" s="331"/>
    </row>
    <row r="66" spans="1:8" ht="20.100000000000001" customHeight="1">
      <c r="A66" s="32"/>
      <c r="B66" s="26"/>
      <c r="C66" s="14" t="s">
        <v>78</v>
      </c>
      <c r="D66" s="220" t="s">
        <v>34</v>
      </c>
      <c r="E66" s="10" t="s">
        <v>18</v>
      </c>
      <c r="F66" s="329"/>
      <c r="G66" s="330"/>
      <c r="H66" s="331"/>
    </row>
    <row r="67" spans="1:8" ht="20.100000000000001" customHeight="1">
      <c r="A67" s="251"/>
      <c r="B67" s="252"/>
      <c r="C67" s="253" t="s">
        <v>79</v>
      </c>
      <c r="D67" s="254" t="s">
        <v>34</v>
      </c>
      <c r="E67" s="255"/>
      <c r="F67" s="338"/>
      <c r="G67" s="339"/>
      <c r="H67" s="340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2"/>
  <sheetViews>
    <sheetView topLeftCell="A10" workbookViewId="0">
      <selection activeCell="G17" sqref="G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56"/>
      <c r="F4"/>
      <c r="G4" s="122"/>
      <c r="H4" s="66"/>
      <c r="I4" s="67"/>
    </row>
    <row r="5" spans="1:10" ht="18">
      <c r="A5" s="54" t="s">
        <v>228</v>
      </c>
      <c r="C5" s="58"/>
      <c r="G5" s="59"/>
      <c r="H5" s="66"/>
      <c r="J5" s="67"/>
    </row>
    <row r="6" spans="1:10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8" spans="1:10" s="70" customFormat="1" ht="30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348" t="s">
        <v>153</v>
      </c>
      <c r="H8" s="357"/>
      <c r="I8" s="358"/>
    </row>
    <row r="10" spans="1:10">
      <c r="F10" s="71"/>
    </row>
    <row r="11" spans="1:10">
      <c r="A11" s="72">
        <v>61800</v>
      </c>
      <c r="B11" s="72"/>
      <c r="C11" s="72" t="s">
        <v>39</v>
      </c>
    </row>
    <row r="12" spans="1:10">
      <c r="A12" s="72"/>
      <c r="B12" s="72"/>
      <c r="C12" s="113" t="s">
        <v>229</v>
      </c>
      <c r="E12" s="262">
        <v>94139.86</v>
      </c>
    </row>
    <row r="13" spans="1:10">
      <c r="A13" s="72"/>
      <c r="B13" s="72"/>
      <c r="C13" s="113" t="s">
        <v>230</v>
      </c>
      <c r="E13" s="114">
        <f>F23</f>
        <v>5684.909999999998</v>
      </c>
      <c r="F13" s="59">
        <f>+E12-E13</f>
        <v>88454.95</v>
      </c>
    </row>
    <row r="14" spans="1:10">
      <c r="A14" s="72"/>
      <c r="B14" s="72"/>
      <c r="C14" s="113" t="s">
        <v>231</v>
      </c>
      <c r="F14" s="59">
        <v>2720</v>
      </c>
    </row>
    <row r="15" spans="1:10">
      <c r="A15" s="72"/>
      <c r="B15" s="72"/>
      <c r="C15" s="113" t="s">
        <v>232</v>
      </c>
      <c r="F15" s="59">
        <v>0</v>
      </c>
    </row>
    <row r="17" spans="1:6" ht="15.75" thickBot="1">
      <c r="F17" s="110">
        <f>SUM(F12:F16)</f>
        <v>91174.95</v>
      </c>
    </row>
    <row r="19" spans="1:6">
      <c r="A19" s="72"/>
      <c r="B19" s="72"/>
      <c r="C19" s="78" t="s">
        <v>233</v>
      </c>
    </row>
    <row r="20" spans="1:6">
      <c r="A20" s="72"/>
      <c r="B20" s="72"/>
      <c r="C20" s="78"/>
      <c r="D20" s="48" t="s">
        <v>234</v>
      </c>
      <c r="E20" s="48" t="s">
        <v>235</v>
      </c>
      <c r="F20" s="86" t="s">
        <v>197</v>
      </c>
    </row>
    <row r="21" spans="1:6">
      <c r="A21" s="72"/>
      <c r="B21" s="72"/>
      <c r="C21" t="s">
        <v>236</v>
      </c>
      <c r="D21" s="262">
        <v>24289.67</v>
      </c>
      <c r="E21" s="262">
        <v>19061</v>
      </c>
      <c r="F21" s="71">
        <f>+D21-E21</f>
        <v>5228.6699999999983</v>
      </c>
    </row>
    <row r="22" spans="1:6">
      <c r="A22" s="72"/>
      <c r="B22" s="72"/>
      <c r="C22" t="s">
        <v>237</v>
      </c>
      <c r="D22" s="262">
        <v>1136.69</v>
      </c>
      <c r="E22" s="262">
        <v>680.45</v>
      </c>
      <c r="F22" s="71">
        <f>+D22-E22</f>
        <v>456.24</v>
      </c>
    </row>
    <row r="23" spans="1:6" ht="15.75" thickBot="1">
      <c r="A23" s="72"/>
      <c r="B23" s="72"/>
      <c r="F23" s="115">
        <f>+SUM(F21:F22)</f>
        <v>5684.909999999998</v>
      </c>
    </row>
    <row r="24" spans="1:6" ht="15.75" thickTop="1">
      <c r="A24" s="72"/>
      <c r="B24" s="72"/>
      <c r="F24" s="71"/>
    </row>
    <row r="25" spans="1:6">
      <c r="A25" s="72"/>
      <c r="B25" s="72"/>
      <c r="F25" s="71"/>
    </row>
    <row r="26" spans="1:6">
      <c r="A26" s="78">
        <v>64500</v>
      </c>
      <c r="B26" s="78"/>
      <c r="C26" s="72" t="s">
        <v>41</v>
      </c>
    </row>
    <row r="27" spans="1:6">
      <c r="F27" s="59">
        <v>0</v>
      </c>
    </row>
    <row r="28" spans="1:6">
      <c r="F28" s="59">
        <v>0</v>
      </c>
    </row>
    <row r="30" spans="1:6" ht="15.75" thickBot="1">
      <c r="F30" s="110">
        <f>SUM(F27:F29)</f>
        <v>0</v>
      </c>
    </row>
    <row r="31" spans="1:6">
      <c r="F31" s="71"/>
    </row>
    <row r="32" spans="1:6">
      <c r="A32" s="72"/>
      <c r="B32" s="72"/>
      <c r="F32" s="71"/>
    </row>
    <row r="33" spans="1:6">
      <c r="A33" s="78">
        <v>68000</v>
      </c>
      <c r="B33" s="78"/>
      <c r="C33" s="72" t="s">
        <v>42</v>
      </c>
    </row>
    <row r="34" spans="1:6">
      <c r="F34" s="59">
        <v>0</v>
      </c>
    </row>
    <row r="35" spans="1:6">
      <c r="F35" s="59">
        <v>0</v>
      </c>
    </row>
    <row r="37" spans="1:6" ht="15.75" thickBot="1">
      <c r="F37" s="110">
        <f>SUM(F34:F36)</f>
        <v>0</v>
      </c>
    </row>
    <row r="40" spans="1:6">
      <c r="F40" s="81"/>
    </row>
    <row r="42" spans="1:6">
      <c r="C42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sqref="A1:XFD104857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54"/>
      <c r="E4" s="54"/>
      <c r="F4" s="56"/>
      <c r="G4" s="122"/>
      <c r="H4" s="66"/>
      <c r="I4" s="67"/>
    </row>
    <row r="5" spans="1:10" ht="18">
      <c r="A5" s="54" t="s">
        <v>238</v>
      </c>
      <c r="C5" s="58"/>
      <c r="G5" s="59"/>
      <c r="H5" s="66"/>
      <c r="J5" s="67"/>
    </row>
    <row r="6" spans="1:10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8" spans="1:10" s="70" customFormat="1" ht="30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348" t="s">
        <v>153</v>
      </c>
      <c r="H8" s="357"/>
      <c r="I8" s="358"/>
    </row>
    <row r="10" spans="1:10">
      <c r="F10" s="71"/>
    </row>
    <row r="11" spans="1:10">
      <c r="A11" s="72">
        <v>88000</v>
      </c>
      <c r="B11" s="72"/>
      <c r="C11" s="72" t="s">
        <v>59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0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3AA9E-C977-4D7C-BC1D-F008108CF868}">
  <dimension ref="A1:J63"/>
  <sheetViews>
    <sheetView topLeftCell="A10" workbookViewId="0">
      <selection activeCell="C65" sqref="C6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style="138" customWidth="1"/>
    <col min="5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316"/>
      <c r="E4" s="54"/>
      <c r="F4" s="56"/>
      <c r="G4" s="122"/>
      <c r="H4" s="66"/>
      <c r="I4" s="67"/>
    </row>
    <row r="5" spans="1:10" ht="18">
      <c r="A5" s="54" t="s">
        <v>239</v>
      </c>
      <c r="C5" s="58"/>
      <c r="G5" s="59"/>
      <c r="H5" s="66"/>
      <c r="J5" s="67"/>
    </row>
    <row r="6" spans="1:10" s="105" customFormat="1" ht="18">
      <c r="A6" s="63"/>
      <c r="B6" s="64"/>
      <c r="C6" s="106"/>
      <c r="D6" s="316"/>
      <c r="E6" s="54"/>
      <c r="F6" s="66"/>
      <c r="G6" s="66"/>
      <c r="H6" s="66"/>
      <c r="I6" s="107"/>
    </row>
    <row r="8" spans="1:10" s="70" customFormat="1" ht="30.75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348" t="s">
        <v>153</v>
      </c>
      <c r="H8" s="357"/>
      <c r="I8" s="358"/>
    </row>
    <row r="10" spans="1:10">
      <c r="D10" s="48" t="s">
        <v>240</v>
      </c>
      <c r="E10" s="48" t="s">
        <v>241</v>
      </c>
      <c r="F10" s="86" t="s">
        <v>242</v>
      </c>
      <c r="G10" s="48" t="s">
        <v>243</v>
      </c>
      <c r="H10" s="48" t="s">
        <v>244</v>
      </c>
    </row>
    <row r="11" spans="1:10">
      <c r="C11" t="s">
        <v>245</v>
      </c>
      <c r="D11" s="138">
        <v>3212755.7</v>
      </c>
      <c r="E11" s="138">
        <v>2486275.7999999998</v>
      </c>
      <c r="F11" s="138">
        <v>775834.8</v>
      </c>
      <c r="G11" s="138">
        <v>48327.19</v>
      </c>
      <c r="H11" s="138">
        <v>-95225.67</v>
      </c>
    </row>
    <row r="12" spans="1:10">
      <c r="C12" t="s">
        <v>246</v>
      </c>
      <c r="D12" s="138">
        <v>98003.22</v>
      </c>
      <c r="E12" s="138">
        <v>70498.98</v>
      </c>
      <c r="F12" s="138">
        <v>27842.44</v>
      </c>
      <c r="G12" s="138">
        <v>337.05</v>
      </c>
      <c r="H12" s="138">
        <v>0</v>
      </c>
    </row>
    <row r="13" spans="1:10">
      <c r="C13" t="s">
        <v>247</v>
      </c>
      <c r="D13" s="138">
        <v>401195.77</v>
      </c>
      <c r="E13" s="138">
        <v>420571.67</v>
      </c>
      <c r="F13" s="138">
        <v>0</v>
      </c>
      <c r="G13" s="138">
        <v>995.93</v>
      </c>
      <c r="H13" s="138">
        <v>-21324.01</v>
      </c>
    </row>
    <row r="14" spans="1:10">
      <c r="C14" t="s">
        <v>248</v>
      </c>
      <c r="D14" s="138">
        <v>227086.72</v>
      </c>
      <c r="E14" s="138">
        <v>244309.35</v>
      </c>
      <c r="F14" s="138">
        <v>0</v>
      </c>
      <c r="G14" s="138"/>
      <c r="H14" s="138">
        <v>-17222.63</v>
      </c>
    </row>
    <row r="15" spans="1:10">
      <c r="D15" s="317">
        <f>SUM(D11:D14)</f>
        <v>3939041.4100000006</v>
      </c>
      <c r="E15" s="317">
        <f>SUM(E11:E14)</f>
        <v>3221655.8</v>
      </c>
      <c r="F15" s="317">
        <f>SUM(F11:F14)</f>
        <v>803677.24</v>
      </c>
      <c r="G15" s="317">
        <f>SUM(G11:G14)</f>
        <v>49660.170000000006</v>
      </c>
      <c r="H15" s="317">
        <f>SUM(H11:H14)</f>
        <v>-133772.31</v>
      </c>
    </row>
    <row r="18" spans="3:8">
      <c r="D18" s="386" t="s">
        <v>249</v>
      </c>
      <c r="E18" s="386"/>
      <c r="F18" s="71"/>
    </row>
    <row r="19" spans="3:8">
      <c r="D19" s="48" t="s">
        <v>240</v>
      </c>
      <c r="E19" s="48" t="s">
        <v>241</v>
      </c>
      <c r="F19" s="71"/>
    </row>
    <row r="20" spans="3:8">
      <c r="C20" t="s">
        <v>242</v>
      </c>
      <c r="D20" s="319">
        <f>+F15</f>
        <v>803677.24</v>
      </c>
      <c r="E20" s="319">
        <v>0</v>
      </c>
      <c r="F20" s="318">
        <f>+D20-E20</f>
        <v>803677.24</v>
      </c>
      <c r="G20" s="138"/>
      <c r="H20" s="138"/>
    </row>
    <row r="21" spans="3:8">
      <c r="C21" t="s">
        <v>250</v>
      </c>
      <c r="D21" s="319">
        <f>+G15</f>
        <v>49660.170000000006</v>
      </c>
      <c r="E21" s="319">
        <v>0</v>
      </c>
      <c r="F21" s="318"/>
      <c r="G21" s="138">
        <f>+D21-E21</f>
        <v>49660.170000000006</v>
      </c>
      <c r="H21" s="138"/>
    </row>
    <row r="22" spans="3:8">
      <c r="C22" t="s">
        <v>244</v>
      </c>
      <c r="D22" s="319">
        <f>+D15-SUM(D20:D21)</f>
        <v>3085704.0000000005</v>
      </c>
      <c r="E22" s="319">
        <f>+E15-2179.49</f>
        <v>3219476.3099999996</v>
      </c>
      <c r="F22" s="318"/>
      <c r="G22" s="138"/>
      <c r="H22" s="138">
        <f>+E22-D22</f>
        <v>133772.30999999912</v>
      </c>
    </row>
    <row r="23" spans="3:8">
      <c r="D23" s="320">
        <f>SUM(D20:D22)</f>
        <v>3939041.4100000006</v>
      </c>
      <c r="E23" s="320">
        <f>SUM(E20:E22)</f>
        <v>3219476.3099999996</v>
      </c>
      <c r="F23" s="318"/>
      <c r="G23" s="138"/>
      <c r="H23" s="138"/>
    </row>
    <row r="27" spans="3:8">
      <c r="C27" t="s">
        <v>251</v>
      </c>
      <c r="H27" s="138">
        <v>4349180.99</v>
      </c>
    </row>
    <row r="28" spans="3:8">
      <c r="C28" t="s">
        <v>252</v>
      </c>
      <c r="H28" s="138">
        <v>3939041.41</v>
      </c>
    </row>
    <row r="29" spans="3:8">
      <c r="C29" t="s">
        <v>253</v>
      </c>
      <c r="H29" s="317">
        <f>+H27-H28</f>
        <v>410139.58000000007</v>
      </c>
    </row>
    <row r="32" spans="3:8">
      <c r="C32" t="s">
        <v>254</v>
      </c>
    </row>
    <row r="33" spans="3:8">
      <c r="C33" t="s">
        <v>255</v>
      </c>
    </row>
    <row r="34" spans="3:8">
      <c r="C34" t="s">
        <v>256</v>
      </c>
      <c r="H34" s="138">
        <v>329000</v>
      </c>
    </row>
    <row r="35" spans="3:8">
      <c r="C35" t="s">
        <v>257</v>
      </c>
      <c r="D35" s="138" t="s">
        <v>258</v>
      </c>
      <c r="H35" s="138">
        <v>1586</v>
      </c>
    </row>
    <row r="36" spans="3:8">
      <c r="D36" s="138" t="s">
        <v>259</v>
      </c>
      <c r="H36" s="138">
        <v>1586</v>
      </c>
    </row>
    <row r="37" spans="3:8">
      <c r="D37" s="138" t="s">
        <v>260</v>
      </c>
      <c r="H37" s="138">
        <v>1197.8399999999999</v>
      </c>
    </row>
    <row r="38" spans="3:8">
      <c r="D38" s="138" t="s">
        <v>260</v>
      </c>
      <c r="H38" s="138">
        <v>38384.870000000003</v>
      </c>
    </row>
    <row r="39" spans="3:8">
      <c r="D39" s="138" t="s">
        <v>260</v>
      </c>
      <c r="H39" s="138">
        <v>38384.870000000003</v>
      </c>
    </row>
    <row r="40" spans="3:8">
      <c r="H40" s="317">
        <f>SUM(H34:H39)</f>
        <v>410139.58</v>
      </c>
    </row>
    <row r="46" spans="3:8">
      <c r="C46" t="s">
        <v>261</v>
      </c>
      <c r="F46" s="59" t="s">
        <v>242</v>
      </c>
      <c r="G46" t="s">
        <v>243</v>
      </c>
      <c r="H46" t="s">
        <v>262</v>
      </c>
    </row>
    <row r="48" spans="3:8">
      <c r="C48" t="s">
        <v>263</v>
      </c>
      <c r="D48" s="138" t="s">
        <v>264</v>
      </c>
      <c r="F48" s="398">
        <f>+F15</f>
        <v>803677.24</v>
      </c>
      <c r="G48" s="398">
        <f>+G15</f>
        <v>49660.170000000006</v>
      </c>
      <c r="H48" s="398">
        <f>+H15</f>
        <v>-133772.31</v>
      </c>
    </row>
    <row r="49" spans="3:8">
      <c r="D49" s="138" t="s">
        <v>265</v>
      </c>
      <c r="F49" s="398">
        <v>587.48</v>
      </c>
      <c r="G49" s="138">
        <v>0</v>
      </c>
      <c r="H49" s="138">
        <v>0</v>
      </c>
    </row>
    <row r="50" spans="3:8">
      <c r="C50" t="s">
        <v>266</v>
      </c>
      <c r="D50" s="138" t="s">
        <v>264</v>
      </c>
      <c r="F50" s="398">
        <v>463.14</v>
      </c>
      <c r="G50" s="138">
        <v>7436.44</v>
      </c>
      <c r="H50" s="138">
        <v>-97823.35</v>
      </c>
    </row>
    <row r="51" spans="3:8">
      <c r="D51" s="138" t="s">
        <v>265</v>
      </c>
      <c r="F51" s="398">
        <f>5887.34+85015.24</f>
        <v>90902.58</v>
      </c>
      <c r="G51" s="138">
        <f>135.91+10620.23</f>
        <v>10756.14</v>
      </c>
      <c r="H51" s="138">
        <v>0</v>
      </c>
    </row>
    <row r="52" spans="3:8">
      <c r="C52" t="s">
        <v>267</v>
      </c>
      <c r="F52" s="398">
        <v>24174.6</v>
      </c>
      <c r="G52" s="138"/>
      <c r="H52" s="138"/>
    </row>
    <row r="53" spans="3:8">
      <c r="C53" t="s">
        <v>268</v>
      </c>
      <c r="F53" s="399"/>
      <c r="G53" s="400"/>
      <c r="H53" s="400">
        <v>-2623.95</v>
      </c>
    </row>
    <row r="54" spans="3:8">
      <c r="F54" s="398">
        <f>SUM(F48:F53)</f>
        <v>919805.03999999992</v>
      </c>
      <c r="G54" s="398">
        <f>SUM(G48:G53)</f>
        <v>67852.75</v>
      </c>
      <c r="H54" s="398">
        <f>SUM(H48:H53)</f>
        <v>-234219.61000000002</v>
      </c>
    </row>
    <row r="56" spans="3:8">
      <c r="C56" t="s">
        <v>269</v>
      </c>
      <c r="F56" s="398">
        <v>919341.9</v>
      </c>
      <c r="G56" s="138">
        <v>67792.259999999995</v>
      </c>
      <c r="H56" s="138">
        <v>-205154.05</v>
      </c>
    </row>
    <row r="57" spans="3:8">
      <c r="C57" t="s">
        <v>197</v>
      </c>
      <c r="F57" s="398">
        <f>+F56-F54</f>
        <v>-463.13999999989755</v>
      </c>
      <c r="G57" s="398">
        <f>+G56-G54</f>
        <v>-60.490000000005239</v>
      </c>
      <c r="H57" s="398">
        <f>+H56-H54</f>
        <v>29065.560000000027</v>
      </c>
    </row>
    <row r="61" spans="3:8">
      <c r="C61" t="s">
        <v>270</v>
      </c>
    </row>
    <row r="62" spans="3:8">
      <c r="C62" t="s">
        <v>271</v>
      </c>
    </row>
    <row r="63" spans="3:8">
      <c r="C63" t="s">
        <v>272</v>
      </c>
    </row>
  </sheetData>
  <mergeCells count="6">
    <mergeCell ref="G8:I8"/>
    <mergeCell ref="D18:E18"/>
    <mergeCell ref="C1:E1"/>
    <mergeCell ref="C2:E2"/>
    <mergeCell ref="C3:E3"/>
    <mergeCell ref="B8:E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S72"/>
  <sheetViews>
    <sheetView topLeftCell="C7" workbookViewId="0">
      <selection activeCell="L3" sqref="L3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11" width="12.5703125" customWidth="1"/>
    <col min="12" max="12" width="9.42578125" customWidth="1"/>
    <col min="13" max="13" width="18.7109375" customWidth="1"/>
    <col min="14" max="16" width="15.140625" customWidth="1"/>
  </cols>
  <sheetData>
    <row r="1" spans="1:19" ht="18">
      <c r="A1" s="121" t="s">
        <v>0</v>
      </c>
      <c r="B1" s="54"/>
      <c r="C1" s="346" t="str">
        <f>Index!$C$1</f>
        <v>Loney Family Super Fund</v>
      </c>
      <c r="D1" s="346"/>
      <c r="E1" s="346"/>
      <c r="F1" s="322"/>
      <c r="G1" s="322"/>
      <c r="H1" s="55"/>
      <c r="K1" s="57" t="s">
        <v>2</v>
      </c>
      <c r="L1" s="57" t="s">
        <v>3</v>
      </c>
    </row>
    <row r="2" spans="1:19" ht="18">
      <c r="A2" s="121" t="s">
        <v>4</v>
      </c>
      <c r="B2" s="54"/>
      <c r="C2" s="346" t="str">
        <f>Index!$C$2</f>
        <v>LONJ</v>
      </c>
      <c r="D2" s="346"/>
      <c r="E2" s="346"/>
      <c r="F2" s="322"/>
      <c r="G2" s="322"/>
      <c r="H2" s="56"/>
      <c r="J2" s="60" t="s">
        <v>6</v>
      </c>
      <c r="K2" s="61" t="str">
        <f>Index!$H$2</f>
        <v>DB</v>
      </c>
      <c r="L2" s="62">
        <f>Index!$I$2</f>
        <v>44971</v>
      </c>
    </row>
    <row r="3" spans="1:19" ht="18">
      <c r="A3" s="121" t="s">
        <v>8</v>
      </c>
      <c r="B3" s="54"/>
      <c r="C3" s="347">
        <f>Index!$C$3</f>
        <v>44742</v>
      </c>
      <c r="D3" s="346"/>
      <c r="E3" s="346"/>
      <c r="F3" s="322"/>
      <c r="G3" s="322"/>
      <c r="H3" s="56"/>
      <c r="J3" s="60" t="s">
        <v>9</v>
      </c>
      <c r="K3" s="61" t="str">
        <f>Index!$H$3</f>
        <v>Reviewer</v>
      </c>
      <c r="L3" s="62" t="str">
        <f>Index!$I$3</f>
        <v>xx/xx/xx</v>
      </c>
    </row>
    <row r="4" spans="1:19" ht="18">
      <c r="D4" s="54"/>
      <c r="E4" s="54"/>
      <c r="F4" s="54"/>
      <c r="G4" s="54"/>
      <c r="H4" s="65"/>
      <c r="I4" s="66"/>
      <c r="J4" s="66"/>
      <c r="L4" s="67"/>
    </row>
    <row r="5" spans="1:19" ht="18">
      <c r="A5" s="123" t="s">
        <v>273</v>
      </c>
      <c r="D5" s="54"/>
      <c r="E5" s="54"/>
      <c r="F5" s="54"/>
      <c r="G5" s="54"/>
      <c r="H5" s="65"/>
      <c r="I5" s="66"/>
      <c r="J5" s="66"/>
      <c r="L5" s="67"/>
    </row>
    <row r="6" spans="1:19" ht="18">
      <c r="D6" s="54"/>
      <c r="E6" s="54"/>
      <c r="F6" s="54"/>
      <c r="G6" s="54"/>
      <c r="H6" s="54"/>
      <c r="I6" s="54"/>
      <c r="J6" s="54"/>
      <c r="K6" s="65"/>
      <c r="L6" s="66"/>
      <c r="N6" s="67"/>
    </row>
    <row r="7" spans="1:19">
      <c r="K7" s="59"/>
    </row>
    <row r="8" spans="1:19" ht="30.75">
      <c r="A8" s="135" t="s">
        <v>103</v>
      </c>
      <c r="B8" s="348" t="s">
        <v>104</v>
      </c>
      <c r="C8" s="350"/>
      <c r="D8" s="136" t="s">
        <v>105</v>
      </c>
      <c r="E8" s="136"/>
      <c r="F8" s="136"/>
      <c r="G8" s="136"/>
      <c r="H8" s="136"/>
      <c r="I8" s="136"/>
      <c r="J8" s="136"/>
      <c r="K8" s="136" t="s">
        <v>105</v>
      </c>
      <c r="L8" s="348" t="s">
        <v>153</v>
      </c>
      <c r="M8" s="357"/>
      <c r="N8" s="358"/>
      <c r="O8" s="70"/>
      <c r="P8" s="70"/>
      <c r="Q8" s="70"/>
      <c r="R8" s="70"/>
      <c r="S8" s="70"/>
    </row>
    <row r="9" spans="1:19">
      <c r="K9" s="59"/>
    </row>
    <row r="10" spans="1:19">
      <c r="K10" s="71"/>
    </row>
    <row r="11" spans="1:19">
      <c r="D11" s="48" t="s">
        <v>274</v>
      </c>
      <c r="E11" s="48" t="s">
        <v>274</v>
      </c>
      <c r="F11" s="48" t="s">
        <v>275</v>
      </c>
      <c r="G11" s="48" t="s">
        <v>276</v>
      </c>
      <c r="H11" s="48" t="s">
        <v>276</v>
      </c>
      <c r="I11" s="48" t="s">
        <v>277</v>
      </c>
      <c r="J11" s="48"/>
      <c r="K11" s="73" t="s">
        <v>86</v>
      </c>
      <c r="M11" s="78"/>
    </row>
    <row r="12" spans="1:19">
      <c r="D12" s="48" t="s">
        <v>137</v>
      </c>
      <c r="E12" s="78" t="s">
        <v>278</v>
      </c>
      <c r="F12" s="48" t="s">
        <v>279</v>
      </c>
      <c r="G12" s="78" t="s">
        <v>280</v>
      </c>
      <c r="H12" s="48" t="s">
        <v>281</v>
      </c>
      <c r="I12" s="48" t="s">
        <v>282</v>
      </c>
      <c r="J12" s="48"/>
      <c r="K12" s="59"/>
    </row>
    <row r="13" spans="1:19">
      <c r="K13" s="59"/>
      <c r="N13" s="48" t="s">
        <v>283</v>
      </c>
      <c r="O13" s="48" t="s">
        <v>284</v>
      </c>
      <c r="P13" s="48" t="s">
        <v>285</v>
      </c>
    </row>
    <row r="14" spans="1:19">
      <c r="C14" s="78" t="s">
        <v>286</v>
      </c>
      <c r="D14" s="94">
        <v>139272.72</v>
      </c>
      <c r="E14" s="321">
        <v>0</v>
      </c>
      <c r="F14" s="94">
        <f>-'Dividend Income'!D13</f>
        <v>285.46999999999997</v>
      </c>
      <c r="G14" s="321">
        <v>663.62</v>
      </c>
      <c r="H14" s="94">
        <v>8099.88</v>
      </c>
      <c r="I14" s="94">
        <f>+E62</f>
        <v>8420.26</v>
      </c>
      <c r="K14" s="94">
        <f>SUM(D14:I14)</f>
        <v>156741.95000000001</v>
      </c>
      <c r="M14" t="s">
        <v>287</v>
      </c>
      <c r="N14" s="94">
        <f>+K40</f>
        <v>151057.09000000003</v>
      </c>
      <c r="O14" s="94">
        <v>151057.10999999999</v>
      </c>
      <c r="P14" s="94">
        <f>+N14-O14</f>
        <v>-1.9999999960418791E-2</v>
      </c>
    </row>
    <row r="15" spans="1:19">
      <c r="C15" t="s">
        <v>288</v>
      </c>
      <c r="D15" s="94">
        <v>3186.37</v>
      </c>
      <c r="E15" s="94"/>
      <c r="F15" s="94"/>
      <c r="G15" s="94"/>
      <c r="H15" s="94">
        <v>1.58</v>
      </c>
      <c r="I15" s="94">
        <f>+E54</f>
        <v>959.31</v>
      </c>
      <c r="J15" s="94"/>
      <c r="K15" s="94">
        <f>SUM(D15:J15)</f>
        <v>4147.26</v>
      </c>
      <c r="M15" t="s">
        <v>289</v>
      </c>
      <c r="N15" s="94">
        <f>+K26</f>
        <v>11888.599999999999</v>
      </c>
      <c r="O15" s="94">
        <v>11888.99</v>
      </c>
      <c r="P15" s="94">
        <f t="shared" ref="P15:P27" si="0">+N15-O15</f>
        <v>-0.39000000000123691</v>
      </c>
    </row>
    <row r="16" spans="1:19">
      <c r="C16" t="s">
        <v>290</v>
      </c>
      <c r="D16" s="94"/>
      <c r="E16" s="94"/>
      <c r="F16" s="94"/>
      <c r="G16" s="94"/>
      <c r="H16" s="94"/>
      <c r="I16" s="94"/>
      <c r="J16" s="94"/>
      <c r="K16" s="94"/>
      <c r="M16" t="s">
        <v>291</v>
      </c>
      <c r="N16" s="94">
        <f>+K24+K25</f>
        <v>1111.97</v>
      </c>
      <c r="O16" s="94">
        <v>1111.58</v>
      </c>
      <c r="P16" s="94">
        <f t="shared" si="0"/>
        <v>0.39000000000010004</v>
      </c>
    </row>
    <row r="17" spans="3:16">
      <c r="C17" s="137" t="s">
        <v>292</v>
      </c>
      <c r="D17" s="94">
        <v>135.91</v>
      </c>
      <c r="E17" s="94"/>
      <c r="F17" s="94"/>
      <c r="G17" s="94"/>
      <c r="H17" s="94"/>
      <c r="I17" s="94"/>
      <c r="J17" s="94"/>
      <c r="K17" s="94">
        <f>SUM(D17:J17)</f>
        <v>135.91</v>
      </c>
      <c r="M17" t="s">
        <v>293</v>
      </c>
      <c r="N17" s="94">
        <f>+K15+K28</f>
        <v>17242.48</v>
      </c>
      <c r="O17" s="94">
        <v>17242.48</v>
      </c>
      <c r="P17" s="94">
        <f t="shared" si="0"/>
        <v>0</v>
      </c>
    </row>
    <row r="18" spans="3:16">
      <c r="C18" s="137" t="s">
        <v>294</v>
      </c>
      <c r="D18" s="94">
        <v>10620.23</v>
      </c>
      <c r="E18" s="94"/>
      <c r="F18" s="94"/>
      <c r="G18" s="94"/>
      <c r="H18" s="94"/>
      <c r="I18" s="94"/>
      <c r="J18" s="94"/>
      <c r="K18" s="94">
        <f>SUM(D18:J18)</f>
        <v>10620.23</v>
      </c>
      <c r="M18" t="s">
        <v>295</v>
      </c>
      <c r="N18" s="94">
        <f>+K27</f>
        <v>6346.05</v>
      </c>
      <c r="O18" s="94">
        <v>6346.05</v>
      </c>
      <c r="P18" s="94">
        <f t="shared" si="0"/>
        <v>0</v>
      </c>
    </row>
    <row r="19" spans="3:16">
      <c r="C19" t="s">
        <v>296</v>
      </c>
      <c r="D19" s="94"/>
      <c r="E19" s="94"/>
      <c r="F19" s="94"/>
      <c r="G19" s="94"/>
      <c r="H19" s="94"/>
      <c r="I19" s="94"/>
      <c r="J19" s="94"/>
      <c r="K19" s="94"/>
      <c r="M19" t="s">
        <v>242</v>
      </c>
      <c r="N19" s="94">
        <f>+K20+K21-K36</f>
        <v>57832.33</v>
      </c>
      <c r="O19" s="94">
        <v>57832.33</v>
      </c>
      <c r="P19" s="94">
        <f t="shared" si="0"/>
        <v>0</v>
      </c>
    </row>
    <row r="20" spans="3:16">
      <c r="C20" s="137" t="s">
        <v>292</v>
      </c>
      <c r="D20" s="94">
        <v>2943.67</v>
      </c>
      <c r="E20" s="94"/>
      <c r="F20" s="94"/>
      <c r="G20" s="94"/>
      <c r="H20" s="94">
        <v>12087.3</v>
      </c>
      <c r="I20" s="94">
        <f>+F57</f>
        <v>293.74</v>
      </c>
      <c r="J20" s="94"/>
      <c r="K20" s="94">
        <f>SUM(D20:J20)</f>
        <v>15324.71</v>
      </c>
      <c r="M20" t="s">
        <v>297</v>
      </c>
      <c r="N20" s="94">
        <f>+K20+K21</f>
        <v>57832.33</v>
      </c>
      <c r="O20" s="94">
        <v>57832.33</v>
      </c>
      <c r="P20" s="94">
        <f t="shared" si="0"/>
        <v>0</v>
      </c>
    </row>
    <row r="21" spans="3:16">
      <c r="C21" s="137" t="s">
        <v>294</v>
      </c>
      <c r="D21" s="94">
        <v>42507.62</v>
      </c>
      <c r="E21" s="94"/>
      <c r="F21" s="94"/>
      <c r="G21" s="94"/>
      <c r="H21" s="94"/>
      <c r="I21" s="94"/>
      <c r="J21" s="94"/>
      <c r="K21" s="94">
        <f>SUM(D21:J21)</f>
        <v>42507.62</v>
      </c>
      <c r="M21" t="s">
        <v>243</v>
      </c>
      <c r="N21" s="94">
        <f>+K17+K18</f>
        <v>10756.14</v>
      </c>
      <c r="O21" s="94">
        <v>10756.14</v>
      </c>
      <c r="P21" s="94">
        <f t="shared" si="0"/>
        <v>0</v>
      </c>
    </row>
    <row r="22" spans="3:16">
      <c r="C22" t="s">
        <v>298</v>
      </c>
      <c r="D22" s="94">
        <v>9085.2900000000009</v>
      </c>
      <c r="E22" s="94"/>
      <c r="F22" s="94"/>
      <c r="G22" s="94"/>
      <c r="H22" s="94"/>
      <c r="I22" s="94">
        <f>+E56+E65</f>
        <v>4024.15</v>
      </c>
      <c r="J22" s="94"/>
      <c r="K22" s="94">
        <f>SUM(D22:J22)</f>
        <v>13109.44</v>
      </c>
      <c r="M22" t="s">
        <v>299</v>
      </c>
      <c r="N22" s="94">
        <f>+K22-K35</f>
        <v>11385.460000000001</v>
      </c>
      <c r="O22" s="94">
        <v>11385.46</v>
      </c>
      <c r="P22" s="94">
        <f t="shared" si="0"/>
        <v>0</v>
      </c>
    </row>
    <row r="23" spans="3:16">
      <c r="C23" t="s">
        <v>300</v>
      </c>
      <c r="D23" s="94"/>
      <c r="E23" s="94"/>
      <c r="F23" s="94"/>
      <c r="G23" s="94"/>
      <c r="H23" s="94"/>
      <c r="I23" s="94"/>
      <c r="J23" s="94"/>
      <c r="K23" s="94"/>
      <c r="M23" t="s">
        <v>301</v>
      </c>
      <c r="N23" s="94">
        <f>+K35+K36</f>
        <v>1723.98</v>
      </c>
      <c r="O23" s="94">
        <v>1723.98</v>
      </c>
      <c r="P23" s="94">
        <f t="shared" si="0"/>
        <v>0</v>
      </c>
    </row>
    <row r="24" spans="3:16">
      <c r="C24" s="137" t="s">
        <v>302</v>
      </c>
      <c r="D24" s="94">
        <v>270.91000000000003</v>
      </c>
      <c r="E24" s="103">
        <v>-2.4300000000000002</v>
      </c>
      <c r="F24" s="94"/>
      <c r="G24" s="103"/>
      <c r="H24" s="94"/>
      <c r="I24" s="94">
        <f>+E52</f>
        <v>62.59</v>
      </c>
      <c r="J24" s="94"/>
      <c r="K24" s="94">
        <f>SUM(D24:J24)</f>
        <v>331.07000000000005</v>
      </c>
      <c r="M24" t="s">
        <v>303</v>
      </c>
      <c r="N24" s="94"/>
      <c r="O24" s="94">
        <v>0</v>
      </c>
      <c r="P24" s="94">
        <f t="shared" si="0"/>
        <v>0</v>
      </c>
    </row>
    <row r="25" spans="3:16">
      <c r="C25" s="137" t="s">
        <v>304</v>
      </c>
      <c r="D25" s="94">
        <v>780.9</v>
      </c>
      <c r="E25" s="103"/>
      <c r="F25" s="94"/>
      <c r="G25" s="103"/>
      <c r="H25" s="94"/>
      <c r="I25" s="94"/>
      <c r="J25" s="94"/>
      <c r="K25" s="94">
        <f>SUM(D25:J25)</f>
        <v>780.9</v>
      </c>
      <c r="M25" t="s">
        <v>305</v>
      </c>
      <c r="N25" s="94">
        <v>0</v>
      </c>
      <c r="O25" s="94"/>
      <c r="P25" s="94">
        <f t="shared" si="0"/>
        <v>0</v>
      </c>
    </row>
    <row r="26" spans="3:16">
      <c r="C26" s="137" t="s">
        <v>306</v>
      </c>
      <c r="D26" s="94">
        <v>9808.0499999999993</v>
      </c>
      <c r="E26" s="321">
        <v>2.4300000000000002</v>
      </c>
      <c r="F26" s="94">
        <f>+F14</f>
        <v>285.46999999999997</v>
      </c>
      <c r="G26" s="321"/>
      <c r="H26" s="94"/>
      <c r="I26" s="94">
        <f>+E53</f>
        <v>1792.6499999999999</v>
      </c>
      <c r="K26" s="94">
        <f>SUM(D26:I26)</f>
        <v>11888.599999999999</v>
      </c>
      <c r="M26" t="s">
        <v>307</v>
      </c>
      <c r="N26" s="94">
        <f>K31-K38</f>
        <v>-16992.29</v>
      </c>
      <c r="O26" s="94">
        <v>-16992.29</v>
      </c>
      <c r="P26" s="94">
        <f t="shared" si="0"/>
        <v>0</v>
      </c>
    </row>
    <row r="27" spans="3:16">
      <c r="C27" s="137" t="s">
        <v>308</v>
      </c>
      <c r="D27" s="94">
        <v>5215.3999999999996</v>
      </c>
      <c r="E27" s="103"/>
      <c r="F27" s="94">
        <f>-'Dividend Income'!E13</f>
        <v>122.35</v>
      </c>
      <c r="G27" s="103"/>
      <c r="H27" s="94"/>
      <c r="I27" s="94">
        <v>1008.3</v>
      </c>
      <c r="K27" s="94">
        <f>SUM(D27:I27)</f>
        <v>6346.05</v>
      </c>
      <c r="M27" t="s">
        <v>70</v>
      </c>
      <c r="N27" s="94">
        <f>+K33</f>
        <v>0</v>
      </c>
      <c r="O27" s="94"/>
      <c r="P27" s="94">
        <f t="shared" si="0"/>
        <v>0</v>
      </c>
    </row>
    <row r="28" spans="3:16">
      <c r="C28" t="s">
        <v>309</v>
      </c>
      <c r="D28" s="94">
        <v>12353.96</v>
      </c>
      <c r="E28" s="103"/>
      <c r="F28" s="94"/>
      <c r="G28" s="103"/>
      <c r="H28" s="94">
        <v>706.77</v>
      </c>
      <c r="I28" s="94">
        <f>+E55</f>
        <v>34.489999999999995</v>
      </c>
      <c r="J28" s="94"/>
      <c r="K28" s="94">
        <f>SUM(D28:J28)</f>
        <v>13095.22</v>
      </c>
    </row>
    <row r="29" spans="3:16">
      <c r="C29" t="s">
        <v>297</v>
      </c>
      <c r="D29" s="94">
        <v>20619.32</v>
      </c>
      <c r="E29" s="103"/>
      <c r="F29" s="94"/>
      <c r="G29" s="103"/>
      <c r="H29" s="94">
        <v>12087.3</v>
      </c>
      <c r="I29" s="94">
        <f>+E58</f>
        <v>293.74</v>
      </c>
      <c r="J29" s="94"/>
      <c r="K29" s="94">
        <f>SUM(D29:J29)</f>
        <v>33000.36</v>
      </c>
      <c r="M29" t="s">
        <v>310</v>
      </c>
      <c r="N29" s="80">
        <f>+N15+N16+N17+N19+N20+N21+N22+N26-N14+N27</f>
        <v>-7.0000000006984919E-2</v>
      </c>
      <c r="O29" s="94">
        <f>+O15+O16+O17+O19+O20+O21+O22+O26-O14+O27</f>
        <v>-8.999999996740371E-2</v>
      </c>
      <c r="P29" s="94">
        <f>+N29-O29</f>
        <v>1.9999999960418791E-2</v>
      </c>
    </row>
    <row r="30" spans="3:16">
      <c r="C30" t="s">
        <v>305</v>
      </c>
      <c r="D30" s="94"/>
      <c r="E30" s="103"/>
      <c r="F30" s="94"/>
      <c r="G30" s="103"/>
      <c r="H30" s="94"/>
      <c r="I30" s="94"/>
      <c r="J30" s="94"/>
      <c r="K30" s="94">
        <f>SUM(D30:J30)</f>
        <v>0</v>
      </c>
    </row>
    <row r="31" spans="3:16">
      <c r="C31" t="s">
        <v>311</v>
      </c>
      <c r="D31" s="94">
        <v>13.17</v>
      </c>
      <c r="E31" s="103"/>
      <c r="F31" s="94"/>
      <c r="G31" s="103"/>
      <c r="H31" s="94"/>
      <c r="I31" s="94">
        <f>+E59+E61</f>
        <v>1394.68</v>
      </c>
      <c r="J31" s="94"/>
      <c r="K31" s="94">
        <f>SUM(D31:J31)</f>
        <v>1407.8500000000001</v>
      </c>
    </row>
    <row r="32" spans="3:16">
      <c r="C32" t="s">
        <v>303</v>
      </c>
      <c r="D32" s="94">
        <f>28467.1+D38</f>
        <v>30516.899999999998</v>
      </c>
      <c r="E32" s="103"/>
      <c r="F32" s="94"/>
      <c r="G32" s="103"/>
      <c r="H32" s="94"/>
      <c r="I32" s="94"/>
      <c r="J32" s="94"/>
      <c r="K32" s="94">
        <f>SUM(D32:J32)</f>
        <v>30516.899999999998</v>
      </c>
      <c r="M32" s="138"/>
    </row>
    <row r="33" spans="3:13">
      <c r="C33" t="s">
        <v>70</v>
      </c>
      <c r="D33" s="94"/>
      <c r="E33" s="103"/>
      <c r="F33" s="94"/>
      <c r="G33" s="103"/>
      <c r="H33" s="94"/>
      <c r="I33" s="94"/>
      <c r="J33" s="94"/>
      <c r="K33" s="94">
        <f>SUM(D33:J33)</f>
        <v>0</v>
      </c>
    </row>
    <row r="34" spans="3:13">
      <c r="D34" s="94"/>
      <c r="E34" s="103"/>
      <c r="F34" s="94"/>
      <c r="G34" s="103"/>
      <c r="H34" s="94"/>
      <c r="I34" s="94"/>
      <c r="J34" s="94"/>
      <c r="K34" s="94"/>
    </row>
    <row r="35" spans="3:13">
      <c r="C35" t="s">
        <v>301</v>
      </c>
      <c r="D35" s="94">
        <v>1519.78</v>
      </c>
      <c r="E35" s="321"/>
      <c r="F35" s="94"/>
      <c r="G35" s="321"/>
      <c r="H35" s="94"/>
      <c r="I35" s="94">
        <f>+E65</f>
        <v>204.2</v>
      </c>
      <c r="J35" s="94"/>
      <c r="K35" s="94">
        <f>SUM(D35:J35)</f>
        <v>1723.98</v>
      </c>
      <c r="M35" s="138"/>
    </row>
    <row r="36" spans="3:13">
      <c r="C36" t="s">
        <v>312</v>
      </c>
      <c r="D36" s="94">
        <v>0</v>
      </c>
      <c r="E36" s="94">
        <f>-E35</f>
        <v>0</v>
      </c>
      <c r="F36" s="94"/>
      <c r="G36" s="94"/>
      <c r="H36" s="94"/>
      <c r="I36" s="94"/>
      <c r="J36" s="94"/>
      <c r="K36" s="94">
        <f>SUM(D36:J36)</f>
        <v>0</v>
      </c>
    </row>
    <row r="37" spans="3:13">
      <c r="C37" t="s">
        <v>313</v>
      </c>
      <c r="D37" s="94">
        <v>5684.86</v>
      </c>
      <c r="E37" s="94"/>
      <c r="F37" s="94"/>
      <c r="G37" s="94"/>
      <c r="H37" s="94"/>
      <c r="I37" s="94"/>
      <c r="J37" s="94"/>
      <c r="K37" s="94">
        <f>SUM(D37:J37)</f>
        <v>5684.86</v>
      </c>
    </row>
    <row r="38" spans="3:13">
      <c r="C38" t="s">
        <v>314</v>
      </c>
      <c r="D38" s="94">
        <v>2049.8000000000002</v>
      </c>
      <c r="E38" s="94"/>
      <c r="F38" s="94"/>
      <c r="G38" s="94">
        <v>-663.62</v>
      </c>
      <c r="H38" s="94">
        <v>16783.07</v>
      </c>
      <c r="I38" s="94">
        <f>-E60</f>
        <v>230.89000000000001</v>
      </c>
      <c r="J38" s="94"/>
      <c r="K38" s="94">
        <f>SUM(D38:J38)</f>
        <v>18400.14</v>
      </c>
    </row>
    <row r="39" spans="3:13">
      <c r="D39" s="94"/>
      <c r="E39" s="94"/>
      <c r="F39" s="94"/>
      <c r="G39" s="94"/>
      <c r="H39" s="94"/>
      <c r="I39" s="94"/>
      <c r="J39" s="94"/>
      <c r="K39" s="94"/>
    </row>
    <row r="40" spans="3:13">
      <c r="C40" s="78" t="s">
        <v>315</v>
      </c>
      <c r="D40" s="80">
        <f>+D14-D37</f>
        <v>133587.86000000002</v>
      </c>
      <c r="E40" s="80">
        <f>+E14-E37</f>
        <v>0</v>
      </c>
      <c r="F40" s="80">
        <f>+F14-F37</f>
        <v>285.46999999999997</v>
      </c>
      <c r="G40" s="80">
        <f>+G14-G37</f>
        <v>663.62</v>
      </c>
      <c r="H40" s="80">
        <f>+H14-H37</f>
        <v>8099.88</v>
      </c>
      <c r="I40" s="80">
        <f>+I14-I37</f>
        <v>8420.26</v>
      </c>
      <c r="J40" s="80">
        <f>+J14-J37</f>
        <v>0</v>
      </c>
      <c r="K40" s="94">
        <f>SUM(D40:J40)</f>
        <v>151057.09000000003</v>
      </c>
    </row>
    <row r="41" spans="3:13">
      <c r="D41" s="80"/>
      <c r="E41" s="80"/>
      <c r="F41" s="80"/>
      <c r="G41" s="80"/>
      <c r="H41" s="80"/>
      <c r="I41" s="80"/>
      <c r="J41" s="80"/>
      <c r="K41" s="94"/>
    </row>
    <row r="42" spans="3:13">
      <c r="D42" s="80"/>
      <c r="E42" s="80"/>
      <c r="F42" s="80"/>
      <c r="G42" s="80"/>
      <c r="H42" s="80"/>
      <c r="I42" s="80"/>
      <c r="J42" s="80"/>
      <c r="K42" s="94"/>
    </row>
    <row r="43" spans="3:13">
      <c r="C43" s="78" t="s">
        <v>316</v>
      </c>
      <c r="D43" s="80">
        <f>SUM(D15:D33)-D27-D35-D37-D38-D36</f>
        <v>133587.86000000004</v>
      </c>
      <c r="E43" s="80">
        <f>SUM(E15:E33)-E27-E35-E37-E38-E36</f>
        <v>0</v>
      </c>
      <c r="F43" s="80">
        <f>SUM(F15:F32)-F27-F35-F37-F38</f>
        <v>285.46999999999991</v>
      </c>
      <c r="G43" s="80">
        <f>SUM(G15:G33)-G27-G35-G37-G38-G36</f>
        <v>663.62</v>
      </c>
      <c r="H43" s="80">
        <f>SUM(H15:H32)-H27-H35-H37-H38</f>
        <v>8099.8799999999974</v>
      </c>
      <c r="I43" s="80">
        <f>SUM(I15:I32)-I27-I35-I37-I38</f>
        <v>8420.26</v>
      </c>
      <c r="J43" s="80">
        <f>SUM(J15:J32)-J27-J35-J37-J38</f>
        <v>0</v>
      </c>
      <c r="K43" s="80">
        <f>SUM(K15:K32)-K27-K35-K37-K38</f>
        <v>151057.09000000003</v>
      </c>
    </row>
    <row r="44" spans="3:13">
      <c r="C44" s="43" t="s">
        <v>197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5">
        <f>+H43-H40</f>
        <v>0</v>
      </c>
      <c r="I44" s="95">
        <f>+I43-I40</f>
        <v>0</v>
      </c>
      <c r="J44" s="95">
        <f>+J43-J40</f>
        <v>0</v>
      </c>
      <c r="K44" s="96"/>
    </row>
    <row r="45" spans="3:13">
      <c r="D45" s="80"/>
      <c r="E45" s="80"/>
      <c r="F45" s="80"/>
      <c r="G45" s="80"/>
      <c r="K45" s="59"/>
    </row>
    <row r="46" spans="3:13" ht="12" customHeight="1">
      <c r="D46" s="80"/>
      <c r="E46" s="80"/>
      <c r="F46" s="80"/>
      <c r="G46" s="80"/>
      <c r="K46" s="59"/>
    </row>
    <row r="47" spans="3:13">
      <c r="K47" s="59"/>
    </row>
    <row r="48" spans="3:13">
      <c r="K48" s="59"/>
    </row>
    <row r="50" spans="3:8">
      <c r="C50" t="s">
        <v>317</v>
      </c>
    </row>
    <row r="51" spans="3:8">
      <c r="D51" t="s">
        <v>318</v>
      </c>
      <c r="E51" t="s">
        <v>319</v>
      </c>
      <c r="F51" t="s">
        <v>320</v>
      </c>
    </row>
    <row r="52" spans="3:8">
      <c r="C52" t="s">
        <v>321</v>
      </c>
      <c r="D52" s="138">
        <v>4956.5</v>
      </c>
      <c r="E52" s="138">
        <v>62.59</v>
      </c>
      <c r="F52" s="138">
        <f>SUM(D52:E52)</f>
        <v>5019.09</v>
      </c>
      <c r="G52" s="138"/>
    </row>
    <row r="53" spans="3:8">
      <c r="C53" t="s">
        <v>322</v>
      </c>
      <c r="D53" s="138">
        <f>101999.29-D64</f>
        <v>71399.539999999994</v>
      </c>
      <c r="E53" s="138">
        <f>2800.95-E64</f>
        <v>1792.6499999999999</v>
      </c>
      <c r="F53" s="138">
        <f>SUM(D53:E53)</f>
        <v>73192.189999999988</v>
      </c>
      <c r="G53" s="138"/>
    </row>
    <row r="54" spans="3:8">
      <c r="C54" t="s">
        <v>323</v>
      </c>
      <c r="D54" s="138"/>
      <c r="E54" s="138">
        <v>959.31</v>
      </c>
      <c r="F54" s="138">
        <f>SUM(D54:E54)</f>
        <v>959.31</v>
      </c>
      <c r="G54" s="138"/>
    </row>
    <row r="55" spans="3:8">
      <c r="C55" t="s">
        <v>324</v>
      </c>
      <c r="D55" s="138"/>
      <c r="E55" s="138">
        <f>33.73+0.76</f>
        <v>34.489999999999995</v>
      </c>
      <c r="F55" s="138">
        <f>SUM(D55:E55)</f>
        <v>34.489999999999995</v>
      </c>
      <c r="G55" s="138"/>
    </row>
    <row r="56" spans="3:8">
      <c r="C56" t="s">
        <v>325</v>
      </c>
      <c r="D56" s="138">
        <v>539.17999999999995</v>
      </c>
      <c r="E56" s="138">
        <f>4024.15-E65</f>
        <v>3819.9500000000003</v>
      </c>
      <c r="F56" s="138">
        <f>SUM(D56:E56)</f>
        <v>4359.13</v>
      </c>
      <c r="G56" s="138"/>
    </row>
    <row r="57" spans="3:8">
      <c r="C57" t="s">
        <v>296</v>
      </c>
      <c r="D57" s="138"/>
      <c r="E57" s="138">
        <v>293.74</v>
      </c>
      <c r="F57" s="138">
        <f>SUM(D57:E57)</f>
        <v>293.74</v>
      </c>
      <c r="G57" s="138"/>
    </row>
    <row r="58" spans="3:8">
      <c r="C58" t="s">
        <v>297</v>
      </c>
      <c r="D58" s="138"/>
      <c r="E58" s="138">
        <f>+E57</f>
        <v>293.74</v>
      </c>
      <c r="F58" s="138">
        <f>SUM(D58:E58)</f>
        <v>293.74</v>
      </c>
      <c r="G58" s="138"/>
    </row>
    <row r="59" spans="3:8">
      <c r="C59" t="s">
        <v>311</v>
      </c>
      <c r="D59" s="138"/>
      <c r="E59" s="138">
        <v>1557.52</v>
      </c>
      <c r="F59" s="138">
        <f>SUM(D59:E59)</f>
        <v>1557.52</v>
      </c>
      <c r="G59" s="138"/>
    </row>
    <row r="60" spans="3:8">
      <c r="C60" t="s">
        <v>314</v>
      </c>
      <c r="D60" s="138"/>
      <c r="E60" s="138">
        <f>-E57+62.85</f>
        <v>-230.89000000000001</v>
      </c>
      <c r="F60" s="138">
        <f>SUM(D60:E60)</f>
        <v>-230.89000000000001</v>
      </c>
      <c r="G60" s="138"/>
    </row>
    <row r="61" spans="3:8">
      <c r="C61" t="s">
        <v>326</v>
      </c>
      <c r="D61" s="138"/>
      <c r="E61" s="138">
        <v>-162.84</v>
      </c>
      <c r="F61" s="138">
        <f>SUM(D61:E61)</f>
        <v>-162.84</v>
      </c>
      <c r="G61" s="138"/>
      <c r="H61" t="s">
        <v>327</v>
      </c>
    </row>
    <row r="62" spans="3:8">
      <c r="C62" t="s">
        <v>320</v>
      </c>
      <c r="D62" s="317">
        <f>SUM(D52:D61)</f>
        <v>76895.219999999987</v>
      </c>
      <c r="E62" s="317">
        <f>SUM(E52:E61)</f>
        <v>8420.26</v>
      </c>
      <c r="F62" s="317">
        <f>SUM(F52:F61)</f>
        <v>85315.48000000001</v>
      </c>
      <c r="G62" s="138"/>
    </row>
    <row r="63" spans="3:8">
      <c r="D63" s="138"/>
      <c r="E63" s="138"/>
      <c r="F63" s="138"/>
      <c r="G63" s="138"/>
    </row>
    <row r="64" spans="3:8">
      <c r="C64" t="s">
        <v>328</v>
      </c>
      <c r="D64" s="138">
        <v>30599.75</v>
      </c>
      <c r="E64" s="138">
        <v>1008.3</v>
      </c>
      <c r="F64" s="138">
        <f>SUM(D64:E64)</f>
        <v>31608.05</v>
      </c>
      <c r="G64" s="138"/>
    </row>
    <row r="65" spans="3:7">
      <c r="C65" t="s">
        <v>301</v>
      </c>
      <c r="D65" s="138"/>
      <c r="E65" s="138">
        <v>204.2</v>
      </c>
      <c r="F65" s="138">
        <f>SUM(D65:E65)</f>
        <v>204.2</v>
      </c>
      <c r="G65" s="138"/>
    </row>
    <row r="66" spans="3:7">
      <c r="D66" s="138"/>
      <c r="E66" s="138"/>
      <c r="F66" s="138"/>
      <c r="G66" s="138"/>
    </row>
    <row r="67" spans="3:7">
      <c r="D67" s="138"/>
      <c r="E67" s="138"/>
      <c r="F67" s="138"/>
      <c r="G67" s="138"/>
    </row>
    <row r="68" spans="3:7">
      <c r="C68" t="s">
        <v>329</v>
      </c>
      <c r="D68" s="138"/>
      <c r="E68" s="138"/>
      <c r="F68" s="138">
        <v>140439.10999999999</v>
      </c>
      <c r="G68" s="138"/>
    </row>
    <row r="69" spans="3:7">
      <c r="C69" t="s">
        <v>330</v>
      </c>
      <c r="F69" s="138">
        <v>55123.63</v>
      </c>
    </row>
    <row r="70" spans="3:7">
      <c r="C70" t="s">
        <v>331</v>
      </c>
      <c r="F70" s="317">
        <f>+F68-F69</f>
        <v>85315.479999999981</v>
      </c>
    </row>
    <row r="72" spans="3:7">
      <c r="F72" s="138">
        <f>+F62-F70</f>
        <v>0</v>
      </c>
    </row>
  </sheetData>
  <mergeCells count="5">
    <mergeCell ref="B8:C8"/>
    <mergeCell ref="L8:N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J26"/>
  <sheetViews>
    <sheetView topLeftCell="A7" workbookViewId="0">
      <selection activeCell="D23" sqref="D23"/>
    </sheetView>
  </sheetViews>
  <sheetFormatPr defaultColWidth="13.140625" defaultRowHeight="15"/>
  <cols>
    <col min="3" max="3" width="16.140625" customWidth="1"/>
    <col min="4" max="6" width="13.140625" style="94"/>
    <col min="7" max="7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D4" s="54"/>
      <c r="E4" s="54"/>
      <c r="F4" s="65"/>
      <c r="G4" s="66"/>
      <c r="I4" s="67"/>
    </row>
    <row r="5" spans="1:10" ht="18">
      <c r="A5" s="123" t="s">
        <v>332</v>
      </c>
      <c r="D5" s="272"/>
      <c r="E5" s="272"/>
      <c r="F5" s="273"/>
      <c r="G5" s="274"/>
      <c r="I5" s="67"/>
    </row>
    <row r="6" spans="1:10" ht="18.75">
      <c r="D6" s="275"/>
      <c r="E6" s="275"/>
      <c r="F6" s="276"/>
      <c r="G6" s="277"/>
      <c r="I6" s="67"/>
    </row>
    <row r="7" spans="1:10">
      <c r="G7" s="94"/>
    </row>
    <row r="8" spans="1:10" s="70" customFormat="1" ht="25.5">
      <c r="A8" s="128" t="s">
        <v>103</v>
      </c>
      <c r="B8" s="387" t="s">
        <v>104</v>
      </c>
      <c r="C8" s="388"/>
      <c r="D8" s="278" t="s">
        <v>105</v>
      </c>
      <c r="E8" s="278" t="s">
        <v>105</v>
      </c>
      <c r="F8" s="278" t="s">
        <v>105</v>
      </c>
      <c r="G8" s="387" t="s">
        <v>153</v>
      </c>
      <c r="H8" s="357"/>
      <c r="I8" s="358"/>
    </row>
    <row r="10" spans="1:10">
      <c r="D10" s="279" t="s">
        <v>289</v>
      </c>
      <c r="E10" s="279" t="s">
        <v>333</v>
      </c>
      <c r="F10" s="279" t="s">
        <v>291</v>
      </c>
      <c r="G10" s="279" t="s">
        <v>334</v>
      </c>
      <c r="H10" s="279" t="s">
        <v>335</v>
      </c>
    </row>
    <row r="11" spans="1:10">
      <c r="A11" t="s">
        <v>336</v>
      </c>
      <c r="D11" s="94">
        <f>+'Distbn Income '!D53</f>
        <v>71399.539999999994</v>
      </c>
      <c r="E11" s="94">
        <f>+'Distbn Income '!D64</f>
        <v>30599.75</v>
      </c>
      <c r="F11" s="94">
        <f>+'Distbn Income '!D52</f>
        <v>4956.5</v>
      </c>
      <c r="G11" s="94">
        <f>+'Distbn Income '!D56</f>
        <v>539.17999999999995</v>
      </c>
      <c r="H11" s="94">
        <v>0</v>
      </c>
    </row>
    <row r="12" spans="1:10">
      <c r="A12" t="s">
        <v>337</v>
      </c>
      <c r="D12" s="81">
        <v>40463.96</v>
      </c>
      <c r="E12" s="81">
        <v>17341.669999999998</v>
      </c>
      <c r="F12" s="81">
        <f>359.37+2479.2</f>
        <v>2838.5699999999997</v>
      </c>
      <c r="G12" s="81">
        <f>1422.85-H12</f>
        <v>1107.3</v>
      </c>
      <c r="H12" s="81">
        <f>51.69+263.86</f>
        <v>315.55</v>
      </c>
    </row>
    <row r="13" spans="1:10">
      <c r="A13" t="s">
        <v>338</v>
      </c>
      <c r="D13" s="323">
        <f>-277.78-7.69</f>
        <v>-285.46999999999997</v>
      </c>
      <c r="E13" s="323">
        <f>-119.05-3.3</f>
        <v>-122.35</v>
      </c>
      <c r="F13" s="323"/>
      <c r="G13" s="323"/>
      <c r="H13" s="323"/>
      <c r="J13" t="s">
        <v>339</v>
      </c>
    </row>
    <row r="14" spans="1:10">
      <c r="D14" s="94">
        <f>SUM(D11:D13)</f>
        <v>111578.03</v>
      </c>
      <c r="E14" s="94">
        <f>SUM(E11:E13)</f>
        <v>47819.07</v>
      </c>
      <c r="F14" s="94">
        <f>SUM(F11:F13)</f>
        <v>7795.07</v>
      </c>
      <c r="G14" s="94">
        <f>SUM(G11:G13)</f>
        <v>1646.48</v>
      </c>
      <c r="H14" s="94">
        <f>SUM(H11:H13)</f>
        <v>315.55</v>
      </c>
    </row>
    <row r="15" spans="1:10">
      <c r="G15" s="94"/>
      <c r="H15" s="94"/>
    </row>
    <row r="16" spans="1:10">
      <c r="A16" t="s">
        <v>340</v>
      </c>
      <c r="D16" s="94">
        <v>71399.539999999994</v>
      </c>
      <c r="E16" s="94">
        <v>30599.75</v>
      </c>
      <c r="F16" s="94">
        <v>4956.5</v>
      </c>
      <c r="G16" s="94">
        <v>539.17999999999995</v>
      </c>
      <c r="H16" s="94">
        <v>0</v>
      </c>
    </row>
    <row r="17" spans="1:10">
      <c r="A17" t="s">
        <v>341</v>
      </c>
      <c r="D17" s="323">
        <v>40181.49</v>
      </c>
      <c r="E17" s="323">
        <v>17220.63</v>
      </c>
      <c r="F17" s="323">
        <v>2838.56</v>
      </c>
      <c r="G17" s="323">
        <v>1107.3</v>
      </c>
      <c r="H17" s="323">
        <v>315.55</v>
      </c>
    </row>
    <row r="18" spans="1:10">
      <c r="D18" s="94">
        <f>SUM(D16:D17)</f>
        <v>111581.03</v>
      </c>
      <c r="E18" s="94">
        <f>SUM(E16:E17)</f>
        <v>47820.380000000005</v>
      </c>
      <c r="F18" s="94">
        <f>SUM(F16:F17)</f>
        <v>7795.0599999999995</v>
      </c>
      <c r="G18" s="94">
        <f>SUM(G16:G17)</f>
        <v>1646.48</v>
      </c>
      <c r="H18" s="94">
        <f>SUM(H16:H17)</f>
        <v>315.55</v>
      </c>
    </row>
    <row r="19" spans="1:10">
      <c r="G19" s="94"/>
      <c r="H19" s="94"/>
    </row>
    <row r="20" spans="1:10" s="43" customFormat="1">
      <c r="A20" s="43" t="s">
        <v>197</v>
      </c>
      <c r="D20" s="324">
        <f>D14-D18</f>
        <v>-3</v>
      </c>
      <c r="E20" s="324">
        <f>E14-E18</f>
        <v>-1.3100000000049477</v>
      </c>
      <c r="F20" s="324">
        <f>F14-F18</f>
        <v>1.0000000000218279E-2</v>
      </c>
      <c r="G20" s="324">
        <f>G14-G18</f>
        <v>0</v>
      </c>
      <c r="H20" s="324">
        <f>H14-H18</f>
        <v>0</v>
      </c>
      <c r="J20" s="43" t="s">
        <v>342</v>
      </c>
    </row>
    <row r="22" spans="1:10">
      <c r="A22" s="43"/>
    </row>
    <row r="23" spans="1:10">
      <c r="A23" t="s">
        <v>343</v>
      </c>
      <c r="D23" s="94">
        <f>+D18+F18+G18</f>
        <v>121022.56999999999</v>
      </c>
    </row>
    <row r="26" spans="1:10">
      <c r="G26" s="94"/>
      <c r="H26" s="94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G1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54"/>
      <c r="E4" s="54"/>
      <c r="F4" s="56"/>
      <c r="G4" s="122"/>
      <c r="H4" s="66"/>
      <c r="I4" s="67"/>
    </row>
    <row r="5" spans="1:10" ht="18">
      <c r="A5" s="54" t="s">
        <v>344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140"/>
      <c r="H8" s="348" t="s">
        <v>153</v>
      </c>
      <c r="I8" s="357"/>
      <c r="J8" s="358"/>
    </row>
    <row r="10" spans="1:10">
      <c r="A10" s="78" t="s">
        <v>345</v>
      </c>
      <c r="C10" s="48" t="s">
        <v>346</v>
      </c>
      <c r="D10" s="389" t="s">
        <v>347</v>
      </c>
      <c r="E10" s="389"/>
      <c r="F10" s="389"/>
      <c r="G10" s="99" t="s">
        <v>348</v>
      </c>
      <c r="H10" s="390" t="s">
        <v>349</v>
      </c>
      <c r="I10" s="390"/>
      <c r="J10" s="390"/>
    </row>
    <row r="11" spans="1:10">
      <c r="A11" s="72"/>
      <c r="B11" s="72"/>
      <c r="D11" s="48" t="s">
        <v>350</v>
      </c>
      <c r="E11" s="86" t="s">
        <v>351</v>
      </c>
      <c r="F11" s="73" t="s">
        <v>352</v>
      </c>
      <c r="G11" s="73"/>
      <c r="H11" s="48" t="s">
        <v>350</v>
      </c>
      <c r="I11" s="100" t="s">
        <v>351</v>
      </c>
      <c r="J11" s="101" t="s">
        <v>352</v>
      </c>
    </row>
    <row r="12" spans="1:10">
      <c r="A12" s="72"/>
      <c r="B12" s="72"/>
      <c r="D12" s="48"/>
      <c r="E12" s="86"/>
      <c r="F12" s="73"/>
      <c r="G12" s="73"/>
      <c r="H12" s="48"/>
      <c r="I12" s="100"/>
      <c r="J12" s="101"/>
    </row>
    <row r="13" spans="1:10">
      <c r="A13" s="72"/>
      <c r="C13" s="139"/>
      <c r="D13" s="81"/>
      <c r="E13" s="81"/>
      <c r="F13" s="81">
        <f>D13-E13</f>
        <v>0</v>
      </c>
      <c r="G13" s="102"/>
      <c r="H13" s="103">
        <f>D13*$G$13</f>
        <v>0</v>
      </c>
      <c r="I13" s="103">
        <f>E13*$G$13</f>
        <v>0</v>
      </c>
      <c r="J13" s="103">
        <f>F13*$G$13</f>
        <v>0</v>
      </c>
    </row>
    <row r="14" spans="1:10">
      <c r="C14" s="139"/>
      <c r="D14" s="81"/>
      <c r="E14" s="81"/>
      <c r="F14" s="81">
        <f>D14-E14</f>
        <v>0</v>
      </c>
      <c r="G14" s="102"/>
      <c r="H14" s="103">
        <f>D14*$G$14</f>
        <v>0</v>
      </c>
      <c r="I14" s="103">
        <f>E14*$G$14</f>
        <v>0</v>
      </c>
      <c r="J14" s="103">
        <f>F14*$G$14</f>
        <v>0</v>
      </c>
    </row>
    <row r="15" spans="1:10" ht="15.75" thickBot="1">
      <c r="D15" s="81"/>
      <c r="E15" s="81"/>
      <c r="F15" s="81"/>
      <c r="G15" s="71"/>
      <c r="H15" s="104">
        <f>SUM(H13:H14)</f>
        <v>0</v>
      </c>
      <c r="I15" s="104">
        <f>SUM(I13:I14)</f>
        <v>0</v>
      </c>
      <c r="J15" s="104">
        <f>SUM(J13:J14)</f>
        <v>0</v>
      </c>
    </row>
    <row r="16" spans="1:10">
      <c r="D16" s="81"/>
      <c r="E16" s="81"/>
      <c r="F16" s="81"/>
      <c r="G16" s="71"/>
      <c r="H16" s="103"/>
      <c r="I16" s="103"/>
      <c r="J16" s="103"/>
    </row>
    <row r="17" spans="1:10">
      <c r="D17" s="81"/>
      <c r="E17" s="81"/>
      <c r="F17" s="81"/>
      <c r="G17" s="71"/>
      <c r="H17" s="103"/>
      <c r="I17" s="103"/>
      <c r="J17" s="103"/>
    </row>
    <row r="18" spans="1:10">
      <c r="A18" s="78"/>
      <c r="C18" s="139"/>
      <c r="D18" s="81"/>
      <c r="E18" s="81"/>
      <c r="F18" s="81">
        <f>D18-E18</f>
        <v>0</v>
      </c>
      <c r="G18" s="102"/>
      <c r="H18" s="103">
        <f t="shared" ref="H18:J21" si="0">D18*$G$13</f>
        <v>0</v>
      </c>
      <c r="I18" s="103">
        <f t="shared" si="0"/>
        <v>0</v>
      </c>
      <c r="J18" s="103">
        <f t="shared" si="0"/>
        <v>0</v>
      </c>
    </row>
    <row r="19" spans="1:10">
      <c r="C19" s="139"/>
      <c r="D19" s="81"/>
      <c r="E19" s="81"/>
      <c r="F19" s="81">
        <f>D19-E19</f>
        <v>0</v>
      </c>
      <c r="G19" s="102"/>
      <c r="H19" s="103">
        <f t="shared" si="0"/>
        <v>0</v>
      </c>
      <c r="I19" s="103">
        <f t="shared" si="0"/>
        <v>0</v>
      </c>
      <c r="J19" s="103">
        <f t="shared" si="0"/>
        <v>0</v>
      </c>
    </row>
    <row r="20" spans="1:10">
      <c r="C20" s="139"/>
      <c r="D20" s="81"/>
      <c r="E20" s="81"/>
      <c r="F20" s="81">
        <f>D20-E20</f>
        <v>0</v>
      </c>
      <c r="G20" s="102"/>
      <c r="H20" s="103">
        <f t="shared" si="0"/>
        <v>0</v>
      </c>
      <c r="I20" s="103">
        <f t="shared" si="0"/>
        <v>0</v>
      </c>
      <c r="J20" s="103">
        <f t="shared" si="0"/>
        <v>0</v>
      </c>
    </row>
    <row r="21" spans="1:10">
      <c r="C21" s="139"/>
      <c r="D21" s="81"/>
      <c r="E21" s="81"/>
      <c r="F21" s="81">
        <f>D21-E21</f>
        <v>0</v>
      </c>
      <c r="G21" s="102"/>
      <c r="H21" s="103">
        <f t="shared" si="0"/>
        <v>0</v>
      </c>
      <c r="I21" s="103">
        <f t="shared" si="0"/>
        <v>0</v>
      </c>
      <c r="J21" s="103">
        <f t="shared" si="0"/>
        <v>0</v>
      </c>
    </row>
    <row r="22" spans="1:10" ht="15.75" thickBot="1">
      <c r="D22" s="81"/>
      <c r="E22" s="81"/>
      <c r="F22" s="81"/>
      <c r="G22" s="80"/>
      <c r="H22" s="104">
        <f t="shared" ref="H22:J22" si="1">SUM(H18:H21)</f>
        <v>0</v>
      </c>
      <c r="I22" s="104">
        <f t="shared" si="1"/>
        <v>0</v>
      </c>
      <c r="J22" s="104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6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6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6" ht="18">
      <c r="D4" s="54"/>
      <c r="E4" s="54"/>
      <c r="F4" s="65"/>
      <c r="G4" s="66"/>
      <c r="I4" s="67"/>
    </row>
    <row r="5" spans="1:16" ht="18">
      <c r="A5" s="123" t="s">
        <v>353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3" t="s">
        <v>354</v>
      </c>
    </row>
    <row r="8" spans="1:16" ht="30.75" thickBot="1">
      <c r="A8" s="181" t="s">
        <v>103</v>
      </c>
      <c r="B8" s="363" t="s">
        <v>104</v>
      </c>
      <c r="C8" s="365"/>
      <c r="D8" s="182" t="s">
        <v>355</v>
      </c>
      <c r="E8" s="183" t="s">
        <v>107</v>
      </c>
      <c r="F8" s="183" t="s">
        <v>132</v>
      </c>
      <c r="G8" s="363" t="s">
        <v>153</v>
      </c>
      <c r="H8" s="391"/>
      <c r="I8" s="392"/>
    </row>
    <row r="9" spans="1:16">
      <c r="A9" s="223"/>
      <c r="B9" s="402"/>
      <c r="C9" s="403"/>
      <c r="D9" s="224"/>
      <c r="E9" s="225"/>
      <c r="F9" s="225"/>
      <c r="G9" s="402"/>
      <c r="H9" s="404"/>
      <c r="I9" s="403"/>
    </row>
    <row r="10" spans="1:16">
      <c r="A10" s="187"/>
      <c r="B10" s="405" t="s">
        <v>356</v>
      </c>
      <c r="C10" s="406"/>
      <c r="D10" s="406"/>
      <c r="E10" s="406"/>
      <c r="F10" s="406"/>
      <c r="G10" s="406"/>
      <c r="H10" s="406"/>
      <c r="I10" s="407"/>
    </row>
    <row r="11" spans="1:16">
      <c r="A11" s="187"/>
      <c r="B11" s="408"/>
      <c r="C11" s="409"/>
      <c r="D11" s="227"/>
      <c r="E11" s="228"/>
      <c r="F11" s="228"/>
      <c r="G11" s="408"/>
      <c r="H11" s="410"/>
      <c r="I11" s="411"/>
    </row>
    <row r="12" spans="1:16">
      <c r="A12" s="187"/>
      <c r="B12" s="412" t="s">
        <v>357</v>
      </c>
      <c r="C12" s="413"/>
      <c r="D12" s="227"/>
      <c r="E12" s="228"/>
      <c r="F12" s="228"/>
      <c r="G12" s="408"/>
      <c r="H12" s="410"/>
      <c r="I12" s="411"/>
      <c r="N12" t="s">
        <v>358</v>
      </c>
      <c r="O12" t="s">
        <v>359</v>
      </c>
      <c r="P12" t="s">
        <v>360</v>
      </c>
    </row>
    <row r="13" spans="1:16">
      <c r="A13" s="187"/>
      <c r="B13" s="408" t="s">
        <v>361</v>
      </c>
      <c r="C13" s="409"/>
      <c r="D13" s="227">
        <f>+SUM(E13:F13)</f>
        <v>0</v>
      </c>
      <c r="E13" s="228">
        <f>+F13*0.1</f>
        <v>0</v>
      </c>
      <c r="F13" s="228"/>
      <c r="G13" s="408" t="s">
        <v>362</v>
      </c>
      <c r="H13" s="410"/>
      <c r="I13" s="411"/>
      <c r="K13" t="s">
        <v>363</v>
      </c>
      <c r="N13" s="59"/>
      <c r="O13" s="59">
        <f>+N13/12</f>
        <v>0</v>
      </c>
    </row>
    <row r="14" spans="1:16">
      <c r="A14" s="187"/>
      <c r="B14" s="414" t="s">
        <v>364</v>
      </c>
      <c r="C14" s="409"/>
      <c r="D14" s="227">
        <f>+SUM(E14:F14)</f>
        <v>0</v>
      </c>
      <c r="E14" s="228">
        <f>+F14*0.1</f>
        <v>0</v>
      </c>
      <c r="F14" s="228"/>
      <c r="G14" s="408" t="s">
        <v>362</v>
      </c>
      <c r="H14" s="410"/>
      <c r="I14" s="411"/>
      <c r="K14" t="s">
        <v>365</v>
      </c>
      <c r="N14" s="59"/>
      <c r="O14" s="59">
        <f>+N14/12</f>
        <v>0</v>
      </c>
    </row>
    <row r="15" spans="1:16">
      <c r="A15" s="187"/>
      <c r="B15" s="408"/>
      <c r="C15" s="409"/>
      <c r="D15" s="227"/>
      <c r="E15" s="228"/>
      <c r="F15" s="227"/>
      <c r="G15" s="408"/>
      <c r="H15" s="410"/>
      <c r="I15" s="411"/>
      <c r="K15" t="s">
        <v>366</v>
      </c>
      <c r="N15" s="59"/>
      <c r="O15" s="59">
        <f>+N15/12</f>
        <v>0</v>
      </c>
    </row>
    <row r="16" spans="1:16">
      <c r="A16" s="187"/>
      <c r="B16" s="408"/>
      <c r="C16" s="409"/>
      <c r="D16" s="227"/>
      <c r="E16" s="228"/>
      <c r="F16" s="227"/>
      <c r="G16" s="408"/>
      <c r="H16" s="410"/>
      <c r="I16" s="411"/>
      <c r="K16" s="222" t="s">
        <v>367</v>
      </c>
      <c r="L16" s="222"/>
      <c r="M16" s="222"/>
      <c r="N16" s="221"/>
      <c r="O16" s="221"/>
      <c r="P16" s="221">
        <f>+O16*1.1</f>
        <v>0</v>
      </c>
    </row>
    <row r="17" spans="1:13">
      <c r="A17" s="187"/>
      <c r="B17" s="412" t="s">
        <v>86</v>
      </c>
      <c r="C17" s="413"/>
      <c r="D17" s="230">
        <f>SUM(D13:D16)</f>
        <v>0</v>
      </c>
      <c r="E17" s="230">
        <f>SUM(E13:E16)</f>
        <v>0</v>
      </c>
      <c r="F17" s="230">
        <f>SUM(F13:F16)</f>
        <v>0</v>
      </c>
      <c r="G17" s="408"/>
      <c r="H17" s="410"/>
      <c r="I17" s="411"/>
    </row>
    <row r="18" spans="1:13">
      <c r="A18" s="187"/>
      <c r="B18" s="408"/>
      <c r="C18" s="409"/>
      <c r="D18" s="227"/>
      <c r="E18" s="228"/>
      <c r="F18" s="227"/>
      <c r="G18" s="408"/>
      <c r="H18" s="410"/>
      <c r="I18" s="411"/>
    </row>
    <row r="19" spans="1:13">
      <c r="A19" s="187"/>
      <c r="B19" s="412" t="s">
        <v>368</v>
      </c>
      <c r="C19" s="413"/>
      <c r="D19" s="227"/>
      <c r="E19" s="228"/>
      <c r="F19" s="227"/>
      <c r="G19" s="408"/>
      <c r="H19" s="410"/>
      <c r="I19" s="411"/>
    </row>
    <row r="20" spans="1:13">
      <c r="A20" s="187"/>
      <c r="B20" s="408" t="s">
        <v>369</v>
      </c>
      <c r="C20" s="409"/>
      <c r="D20" s="231">
        <f>+F20+E20</f>
        <v>0</v>
      </c>
      <c r="E20" s="232">
        <f>+F20*0.1</f>
        <v>0</v>
      </c>
      <c r="F20" s="227"/>
      <c r="G20" s="408"/>
      <c r="H20" s="410"/>
      <c r="I20" s="411"/>
    </row>
    <row r="21" spans="1:13">
      <c r="A21" s="187"/>
      <c r="B21" s="408" t="s">
        <v>369</v>
      </c>
      <c r="C21" s="409"/>
      <c r="D21" s="231">
        <f>+F21+E21</f>
        <v>0</v>
      </c>
      <c r="E21" s="232">
        <f>+F21*0.1</f>
        <v>0</v>
      </c>
      <c r="F21" s="231"/>
      <c r="G21" s="408"/>
      <c r="H21" s="410"/>
      <c r="I21" s="411"/>
    </row>
    <row r="22" spans="1:13">
      <c r="A22" s="187"/>
      <c r="B22" s="229" t="s">
        <v>370</v>
      </c>
      <c r="C22" s="226"/>
      <c r="D22" s="233">
        <f>SUM(D20:D21)</f>
        <v>0</v>
      </c>
      <c r="E22" s="233">
        <f>SUM(E20:E21)</f>
        <v>0</v>
      </c>
      <c r="F22" s="233">
        <f>SUM(F20:F21)</f>
        <v>0</v>
      </c>
      <c r="G22" s="408"/>
      <c r="H22" s="410"/>
      <c r="I22" s="411"/>
    </row>
    <row r="23" spans="1:13">
      <c r="A23" s="187"/>
      <c r="B23" s="408" t="s">
        <v>371</v>
      </c>
      <c r="C23" s="409"/>
      <c r="D23" s="231">
        <f>+F23+E23</f>
        <v>0</v>
      </c>
      <c r="E23" s="232">
        <f>+F23*0.1</f>
        <v>0</v>
      </c>
      <c r="F23" s="227"/>
      <c r="G23" s="408"/>
      <c r="H23" s="415"/>
      <c r="I23" s="409"/>
    </row>
    <row r="24" spans="1:13">
      <c r="A24" s="187"/>
      <c r="B24" s="408" t="s">
        <v>371</v>
      </c>
      <c r="C24" s="409"/>
      <c r="D24" s="231">
        <f>+F24+E24</f>
        <v>0</v>
      </c>
      <c r="E24" s="232">
        <f>+F24*0.1</f>
        <v>0</v>
      </c>
      <c r="F24" s="227"/>
      <c r="G24" s="408"/>
      <c r="H24" s="415"/>
      <c r="I24" s="409"/>
      <c r="L24" s="92"/>
      <c r="M24" s="92"/>
    </row>
    <row r="25" spans="1:13">
      <c r="A25" s="187"/>
      <c r="B25" s="408" t="s">
        <v>371</v>
      </c>
      <c r="C25" s="409"/>
      <c r="D25" s="231">
        <f>+F25+E25</f>
        <v>0</v>
      </c>
      <c r="E25" s="232">
        <f>+F25*0.1</f>
        <v>0</v>
      </c>
      <c r="F25" s="227"/>
      <c r="G25" s="408"/>
      <c r="H25" s="415"/>
      <c r="I25" s="409"/>
    </row>
    <row r="26" spans="1:13">
      <c r="A26" s="187"/>
      <c r="B26" s="229" t="s">
        <v>372</v>
      </c>
      <c r="C26" s="226"/>
      <c r="D26" s="233">
        <f>SUM(D23:D25)</f>
        <v>0</v>
      </c>
      <c r="E26" s="233">
        <f>SUM(E23:E25)</f>
        <v>0</v>
      </c>
      <c r="F26" s="233">
        <f>SUM(F23:F25)</f>
        <v>0</v>
      </c>
      <c r="G26" s="408"/>
      <c r="H26" s="410"/>
      <c r="I26" s="411"/>
    </row>
    <row r="27" spans="1:13">
      <c r="A27" s="187"/>
      <c r="B27" s="408" t="s">
        <v>373</v>
      </c>
      <c r="C27" s="409"/>
      <c r="D27" s="231">
        <f>+F27+E27</f>
        <v>0</v>
      </c>
      <c r="E27" s="232">
        <f>+F27*0.1</f>
        <v>0</v>
      </c>
      <c r="F27" s="227"/>
      <c r="G27" s="408"/>
      <c r="H27" s="410"/>
      <c r="I27" s="411"/>
    </row>
    <row r="28" spans="1:13">
      <c r="A28" s="187"/>
      <c r="B28" s="408" t="s">
        <v>373</v>
      </c>
      <c r="C28" s="409"/>
      <c r="D28" s="231">
        <f>+F28+E28</f>
        <v>0</v>
      </c>
      <c r="E28" s="232">
        <f>+F28*0.1</f>
        <v>0</v>
      </c>
      <c r="F28" s="231"/>
      <c r="G28" s="408"/>
      <c r="H28" s="410"/>
      <c r="I28" s="411"/>
    </row>
    <row r="29" spans="1:13">
      <c r="A29" s="187"/>
      <c r="B29" s="408" t="s">
        <v>373</v>
      </c>
      <c r="C29" s="409"/>
      <c r="D29" s="231">
        <f>+F29+E29</f>
        <v>0</v>
      </c>
      <c r="E29" s="232">
        <f>+F29*0.1</f>
        <v>0</v>
      </c>
      <c r="F29" s="227"/>
      <c r="G29" s="408"/>
      <c r="H29" s="415"/>
      <c r="I29" s="409"/>
    </row>
    <row r="30" spans="1:13">
      <c r="A30" s="187"/>
      <c r="B30" s="408" t="s">
        <v>373</v>
      </c>
      <c r="C30" s="409"/>
      <c r="D30" s="231">
        <f>+F30+E30</f>
        <v>0</v>
      </c>
      <c r="E30" s="232">
        <f>+F30*0.1</f>
        <v>0</v>
      </c>
      <c r="F30" s="231"/>
      <c r="G30" s="408"/>
      <c r="H30" s="415"/>
      <c r="I30" s="409"/>
    </row>
    <row r="31" spans="1:13">
      <c r="A31" s="187"/>
      <c r="B31" s="412" t="s">
        <v>374</v>
      </c>
      <c r="C31" s="413"/>
      <c r="D31" s="233">
        <f>SUM(D27:D30)</f>
        <v>0</v>
      </c>
      <c r="E31" s="233">
        <f>SUM(E27:E30)</f>
        <v>0</v>
      </c>
      <c r="F31" s="233">
        <f>SUM(F27:F30)</f>
        <v>0</v>
      </c>
      <c r="G31" s="408"/>
      <c r="H31" s="415"/>
      <c r="I31" s="409"/>
    </row>
    <row r="32" spans="1:13">
      <c r="A32" s="187"/>
      <c r="B32" s="412" t="s">
        <v>375</v>
      </c>
      <c r="C32" s="413"/>
      <c r="D32" s="233">
        <f>+D22+D26+D31</f>
        <v>0</v>
      </c>
      <c r="E32" s="233">
        <f>+E22+E26+E31</f>
        <v>0</v>
      </c>
      <c r="F32" s="233">
        <f>+F22+F26+F31</f>
        <v>0</v>
      </c>
      <c r="G32" s="408"/>
      <c r="H32" s="415"/>
      <c r="I32" s="409"/>
    </row>
    <row r="33" spans="1:18">
      <c r="A33" s="187"/>
      <c r="B33" s="408"/>
      <c r="C33" s="409"/>
      <c r="D33" s="231"/>
      <c r="E33" s="232"/>
      <c r="F33" s="226"/>
      <c r="G33" s="408"/>
      <c r="H33" s="415"/>
      <c r="I33" s="409"/>
    </row>
    <row r="34" spans="1:18">
      <c r="A34" s="187"/>
      <c r="B34" s="199" t="s">
        <v>376</v>
      </c>
      <c r="C34" s="200"/>
      <c r="D34" s="234"/>
      <c r="E34" s="235"/>
      <c r="F34" s="236">
        <f>+F32-F21-F28</f>
        <v>0</v>
      </c>
      <c r="G34" s="408"/>
      <c r="H34" s="415"/>
      <c r="I34" s="409"/>
    </row>
    <row r="35" spans="1:18">
      <c r="A35" s="187"/>
      <c r="B35" s="412"/>
      <c r="C35" s="413"/>
      <c r="D35" s="233"/>
      <c r="E35" s="233"/>
      <c r="F35" s="233"/>
      <c r="G35" s="408"/>
      <c r="H35" s="415"/>
      <c r="I35" s="409"/>
    </row>
    <row r="36" spans="1:18">
      <c r="A36" s="237" t="s">
        <v>377</v>
      </c>
      <c r="B36" s="371"/>
      <c r="C36" s="372"/>
      <c r="D36" s="372"/>
      <c r="E36" s="372"/>
      <c r="F36" s="372"/>
      <c r="G36" s="372"/>
      <c r="H36" s="372"/>
      <c r="I36" s="373"/>
    </row>
    <row r="37" spans="1:18">
      <c r="A37" s="237"/>
      <c r="B37" s="371"/>
      <c r="C37" s="372"/>
      <c r="D37" s="372"/>
      <c r="E37" s="372"/>
      <c r="F37" s="372"/>
      <c r="G37" s="372"/>
      <c r="H37" s="372"/>
      <c r="I37" s="373"/>
    </row>
    <row r="38" spans="1:18">
      <c r="A38" s="237"/>
      <c r="B38" s="371"/>
      <c r="C38" s="372"/>
      <c r="D38" s="372"/>
      <c r="E38" s="372"/>
      <c r="F38" s="372"/>
      <c r="G38" s="372"/>
      <c r="H38" s="372"/>
      <c r="I38" s="373"/>
    </row>
    <row r="39" spans="1:18" ht="15.75" thickBot="1">
      <c r="A39" s="208"/>
      <c r="B39" s="416"/>
      <c r="C39" s="417"/>
      <c r="D39" s="238"/>
      <c r="E39" s="238"/>
      <c r="F39" s="238"/>
      <c r="G39" s="416"/>
      <c r="H39" s="418"/>
      <c r="I39" s="417"/>
    </row>
    <row r="40" spans="1:18">
      <c r="E40" s="113"/>
      <c r="F40" s="113"/>
    </row>
    <row r="41" spans="1:18">
      <c r="E41" s="113"/>
      <c r="F41" s="113"/>
    </row>
    <row r="42" spans="1:18">
      <c r="E42" s="113"/>
      <c r="F42" s="113"/>
    </row>
    <row r="43" spans="1:18">
      <c r="D43" s="92"/>
      <c r="E43" s="113"/>
      <c r="F43" s="113"/>
    </row>
    <row r="44" spans="1:18" ht="18">
      <c r="A44" s="123" t="s">
        <v>378</v>
      </c>
      <c r="E44" s="113"/>
      <c r="F44" s="113"/>
    </row>
    <row r="45" spans="1:18">
      <c r="A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</row>
    <row r="46" spans="1:18">
      <c r="A46" s="239" t="s">
        <v>379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</row>
    <row r="47" spans="1:18" ht="45">
      <c r="A47" s="239"/>
      <c r="B47" s="240"/>
      <c r="C47" s="240" t="s">
        <v>380</v>
      </c>
      <c r="D47" s="246" t="s">
        <v>381</v>
      </c>
      <c r="E47" s="246" t="s">
        <v>382</v>
      </c>
      <c r="F47" s="246" t="s">
        <v>383</v>
      </c>
      <c r="G47" s="246" t="s">
        <v>384</v>
      </c>
      <c r="H47" s="246" t="s">
        <v>385</v>
      </c>
      <c r="I47" s="246" t="s">
        <v>386</v>
      </c>
      <c r="J47" s="246" t="s">
        <v>387</v>
      </c>
      <c r="K47" s="246" t="s">
        <v>388</v>
      </c>
      <c r="L47" s="246" t="s">
        <v>389</v>
      </c>
      <c r="M47" s="246" t="s">
        <v>390</v>
      </c>
      <c r="N47" s="246" t="s">
        <v>391</v>
      </c>
      <c r="O47" s="246" t="s">
        <v>392</v>
      </c>
      <c r="P47" s="246" t="s">
        <v>393</v>
      </c>
      <c r="Q47" s="239"/>
      <c r="R47" s="239"/>
    </row>
    <row r="48" spans="1:18">
      <c r="A48" s="239" t="s">
        <v>394</v>
      </c>
      <c r="B48" s="239"/>
      <c r="C48" s="242" t="s">
        <v>395</v>
      </c>
      <c r="D48" s="243"/>
      <c r="E48" s="243"/>
      <c r="F48" s="243"/>
      <c r="G48" s="243"/>
      <c r="H48" s="243"/>
      <c r="I48" s="239"/>
      <c r="J48" s="243"/>
      <c r="K48" s="243"/>
      <c r="L48" s="243"/>
      <c r="M48" s="243"/>
      <c r="N48" s="243"/>
      <c r="O48" s="239"/>
      <c r="P48" s="243"/>
      <c r="Q48" s="239"/>
      <c r="R48" s="239"/>
    </row>
    <row r="49" spans="1:18">
      <c r="A49" s="239" t="s">
        <v>396</v>
      </c>
      <c r="B49" s="239"/>
      <c r="C49" s="242" t="s">
        <v>395</v>
      </c>
      <c r="D49" s="239"/>
      <c r="E49" s="239"/>
      <c r="F49" s="239"/>
      <c r="G49" s="239"/>
      <c r="H49" s="239"/>
      <c r="I49" s="239"/>
      <c r="J49" s="239"/>
      <c r="K49" s="239"/>
      <c r="L49" s="243"/>
      <c r="M49" s="239"/>
      <c r="N49" s="243"/>
      <c r="O49" s="239"/>
      <c r="P49" s="239"/>
      <c r="Q49" s="239"/>
      <c r="R49" s="239"/>
    </row>
    <row r="50" spans="1:18" ht="15.75" thickBot="1">
      <c r="A50" s="239"/>
      <c r="B50" s="239"/>
      <c r="C50" s="239"/>
      <c r="D50" s="244"/>
      <c r="E50" s="244"/>
      <c r="F50" s="244"/>
      <c r="G50" s="244"/>
      <c r="H50" s="244"/>
      <c r="I50" s="245"/>
      <c r="J50" s="244"/>
      <c r="K50" s="244"/>
      <c r="L50" s="244"/>
      <c r="M50" s="244"/>
      <c r="N50" s="244"/>
      <c r="O50" s="245"/>
      <c r="P50" s="244"/>
      <c r="Q50" s="239"/>
      <c r="R50" s="239"/>
    </row>
    <row r="51" spans="1:18" ht="15.75" thickTop="1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</row>
    <row r="52" spans="1:18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</row>
    <row r="53" spans="1:18">
      <c r="A53" s="239"/>
      <c r="B53" s="239"/>
      <c r="C53" s="239"/>
      <c r="D53" s="393" t="s">
        <v>66</v>
      </c>
      <c r="E53" s="393"/>
      <c r="F53" s="393"/>
      <c r="G53" s="393" t="s">
        <v>368</v>
      </c>
      <c r="H53" s="393"/>
      <c r="I53" s="393"/>
      <c r="J53" s="393"/>
      <c r="K53" s="393"/>
      <c r="L53" s="393"/>
      <c r="M53" s="393"/>
      <c r="N53" s="393"/>
      <c r="O53" s="239"/>
      <c r="P53" s="239"/>
      <c r="Q53" s="239"/>
      <c r="R53" s="239"/>
    </row>
    <row r="54" spans="1:18" ht="54">
      <c r="A54" s="239" t="s">
        <v>397</v>
      </c>
      <c r="B54" s="250" t="s">
        <v>398</v>
      </c>
      <c r="C54" s="240" t="s">
        <v>380</v>
      </c>
      <c r="D54" s="246" t="s">
        <v>399</v>
      </c>
      <c r="E54" s="246" t="s">
        <v>400</v>
      </c>
      <c r="F54" s="246" t="s">
        <v>401</v>
      </c>
      <c r="G54" s="246" t="s">
        <v>402</v>
      </c>
      <c r="H54" s="246" t="s">
        <v>403</v>
      </c>
      <c r="I54" s="246" t="s">
        <v>386</v>
      </c>
      <c r="J54" s="246" t="s">
        <v>387</v>
      </c>
      <c r="K54" s="246" t="s">
        <v>404</v>
      </c>
      <c r="L54" s="246" t="s">
        <v>389</v>
      </c>
      <c r="M54" s="246" t="s">
        <v>390</v>
      </c>
      <c r="N54" s="246" t="s">
        <v>391</v>
      </c>
      <c r="O54" s="241" t="s">
        <v>392</v>
      </c>
      <c r="P54" s="241" t="s">
        <v>393</v>
      </c>
      <c r="Q54" s="239"/>
      <c r="R54" s="239"/>
    </row>
    <row r="55" spans="1:18">
      <c r="A55" s="239"/>
      <c r="B55" s="239">
        <v>1</v>
      </c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</row>
    <row r="56" spans="1:18">
      <c r="A56" s="239"/>
      <c r="B56" s="239">
        <v>2</v>
      </c>
      <c r="C56" s="239"/>
      <c r="D56" s="243"/>
      <c r="E56" s="239"/>
      <c r="F56" s="243"/>
      <c r="G56" s="243"/>
      <c r="H56" s="243"/>
      <c r="I56" s="239"/>
      <c r="J56" s="239"/>
      <c r="K56" s="243"/>
      <c r="L56" s="243"/>
      <c r="M56" s="239"/>
      <c r="N56" s="239"/>
      <c r="O56" s="239"/>
      <c r="P56" s="243"/>
      <c r="Q56" s="239"/>
      <c r="R56" s="239"/>
    </row>
    <row r="57" spans="1:18">
      <c r="A57" s="239"/>
      <c r="B57" s="239">
        <v>3</v>
      </c>
      <c r="C57" s="239"/>
      <c r="D57" s="243"/>
      <c r="E57" s="239"/>
      <c r="F57" s="239"/>
      <c r="G57" s="243"/>
      <c r="H57" s="243"/>
      <c r="I57" s="239"/>
      <c r="J57" s="239"/>
      <c r="K57" s="239"/>
      <c r="L57" s="239"/>
      <c r="M57" s="239"/>
      <c r="N57" s="239"/>
      <c r="O57" s="239"/>
      <c r="P57" s="243"/>
      <c r="Q57" s="239"/>
      <c r="R57" s="239"/>
    </row>
    <row r="58" spans="1:18">
      <c r="A58" s="239"/>
      <c r="B58" s="239">
        <v>4</v>
      </c>
      <c r="C58" s="239"/>
      <c r="D58" s="243"/>
      <c r="E58" s="243"/>
      <c r="F58" s="239"/>
      <c r="G58" s="239"/>
      <c r="H58" s="243"/>
      <c r="I58" s="239"/>
      <c r="J58" s="243"/>
      <c r="K58" s="239"/>
      <c r="L58" s="243"/>
      <c r="M58" s="239"/>
      <c r="N58" s="239"/>
      <c r="O58" s="239"/>
      <c r="P58" s="243"/>
      <c r="Q58" s="239"/>
      <c r="R58" s="239"/>
    </row>
    <row r="59" spans="1:18">
      <c r="A59" s="43"/>
      <c r="B59" s="239">
        <v>5</v>
      </c>
      <c r="C59" s="239"/>
      <c r="D59" s="243"/>
      <c r="E59" s="239"/>
      <c r="F59" s="239"/>
      <c r="G59" s="243"/>
      <c r="H59" s="243"/>
      <c r="I59" s="239"/>
      <c r="J59" s="239"/>
      <c r="K59" s="239"/>
      <c r="L59" s="239"/>
      <c r="M59" s="243"/>
      <c r="N59" s="239"/>
      <c r="O59" s="239"/>
      <c r="P59" s="243"/>
      <c r="Q59" s="239"/>
      <c r="R59" s="239"/>
    </row>
    <row r="60" spans="1:18">
      <c r="A60" s="43"/>
      <c r="B60" s="239">
        <v>6</v>
      </c>
      <c r="C60" s="239"/>
      <c r="D60" s="243"/>
      <c r="E60" s="239"/>
      <c r="F60" s="239"/>
      <c r="G60" s="243"/>
      <c r="H60" s="243"/>
      <c r="I60" s="239"/>
      <c r="J60" s="243"/>
      <c r="K60" s="239"/>
      <c r="L60" s="239"/>
      <c r="M60" s="239"/>
      <c r="N60" s="239"/>
      <c r="O60" s="239"/>
      <c r="P60" s="243"/>
      <c r="Q60" s="239"/>
      <c r="R60" s="239"/>
    </row>
    <row r="61" spans="1:18">
      <c r="A61" s="43"/>
      <c r="B61" s="239">
        <v>7</v>
      </c>
      <c r="C61" s="239"/>
      <c r="D61" s="239"/>
      <c r="E61" s="243"/>
      <c r="F61" s="239"/>
      <c r="G61" s="243"/>
      <c r="H61" s="243"/>
      <c r="I61" s="239"/>
      <c r="J61" s="239"/>
      <c r="K61" s="239"/>
      <c r="L61" s="243"/>
      <c r="M61" s="239"/>
      <c r="N61" s="243"/>
      <c r="O61" s="243"/>
      <c r="P61" s="239"/>
      <c r="Q61" s="239"/>
      <c r="R61" s="239"/>
    </row>
    <row r="62" spans="1:18">
      <c r="A62" s="43"/>
      <c r="B62" s="239">
        <v>8</v>
      </c>
      <c r="C62" s="239"/>
      <c r="D62" s="243"/>
      <c r="E62" s="239"/>
      <c r="F62" s="239"/>
      <c r="G62" s="243"/>
      <c r="H62" s="243"/>
      <c r="I62" s="239"/>
      <c r="J62" s="243"/>
      <c r="K62" s="239"/>
      <c r="L62" s="243"/>
      <c r="M62" s="243"/>
      <c r="N62" s="239"/>
      <c r="O62" s="243"/>
      <c r="P62" s="243"/>
      <c r="Q62" s="239"/>
      <c r="R62" s="239"/>
    </row>
    <row r="63" spans="1:18">
      <c r="A63" s="43"/>
      <c r="B63" s="239">
        <v>9</v>
      </c>
      <c r="C63" s="239"/>
      <c r="D63" s="239"/>
      <c r="E63" s="239"/>
      <c r="F63" s="239"/>
      <c r="G63" s="239"/>
      <c r="H63" s="239"/>
      <c r="I63" s="239"/>
      <c r="J63" s="239"/>
      <c r="K63" s="239"/>
      <c r="L63" s="239"/>
      <c r="M63" s="239"/>
      <c r="N63" s="239"/>
      <c r="O63" s="239"/>
      <c r="P63" s="239"/>
      <c r="Q63" s="239"/>
      <c r="R63" s="239"/>
    </row>
    <row r="64" spans="1:18">
      <c r="A64" s="43"/>
      <c r="B64" s="239">
        <v>10</v>
      </c>
      <c r="C64" s="239"/>
      <c r="D64" s="243"/>
      <c r="E64" s="243"/>
      <c r="F64" s="239"/>
      <c r="G64" s="243"/>
      <c r="H64" s="243"/>
      <c r="I64" s="239"/>
      <c r="J64" s="239"/>
      <c r="K64" s="239"/>
      <c r="L64" s="243"/>
      <c r="M64" s="243"/>
      <c r="N64" s="243"/>
      <c r="O64" s="243"/>
      <c r="P64" s="243"/>
      <c r="Q64" s="239"/>
      <c r="R64" s="239"/>
    </row>
    <row r="65" spans="1:18">
      <c r="A65" s="43"/>
      <c r="B65" s="239">
        <v>11</v>
      </c>
      <c r="C65" s="239"/>
      <c r="D65" s="243"/>
      <c r="E65" s="239"/>
      <c r="F65" s="239"/>
      <c r="G65" s="239"/>
      <c r="H65" s="243"/>
      <c r="I65" s="239"/>
      <c r="J65" s="243"/>
      <c r="K65" s="239"/>
      <c r="L65" s="239"/>
      <c r="M65" s="243"/>
      <c r="N65" s="243"/>
      <c r="O65" s="243"/>
      <c r="P65" s="243"/>
      <c r="Q65" s="239"/>
      <c r="R65" s="239"/>
    </row>
    <row r="66" spans="1:18">
      <c r="A66" s="43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239"/>
      <c r="P66" s="239"/>
      <c r="Q66" s="239"/>
      <c r="R66" s="239"/>
    </row>
    <row r="67" spans="1:18">
      <c r="A67" s="43"/>
      <c r="B67" s="239"/>
      <c r="C67" s="239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39"/>
      <c r="Q67" s="239"/>
      <c r="R67" s="239"/>
    </row>
    <row r="68" spans="1:18" ht="15.75" thickBot="1">
      <c r="A68" s="239"/>
      <c r="B68" s="239"/>
      <c r="C68" s="239"/>
      <c r="D68" s="248"/>
      <c r="E68" s="248"/>
      <c r="F68" s="248"/>
      <c r="G68" s="248"/>
      <c r="H68" s="248"/>
      <c r="I68" s="249"/>
      <c r="J68" s="248"/>
      <c r="K68" s="248"/>
      <c r="L68" s="248"/>
      <c r="M68" s="248"/>
      <c r="N68" s="248"/>
      <c r="O68" s="249"/>
      <c r="P68" s="248"/>
      <c r="Q68" s="239"/>
      <c r="R68" s="239"/>
    </row>
    <row r="69" spans="1:18" ht="15.75" thickTop="1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  <c r="M69" s="239"/>
      <c r="N69" s="239"/>
      <c r="O69" s="239"/>
      <c r="P69" s="239"/>
      <c r="Q69" s="239"/>
      <c r="R69" s="239"/>
    </row>
    <row r="70" spans="1:18">
      <c r="A70" s="239"/>
      <c r="B70" s="239" t="s">
        <v>197</v>
      </c>
      <c r="C70" s="239"/>
      <c r="D70" s="239" t="s">
        <v>405</v>
      </c>
      <c r="E70" s="239" t="s">
        <v>406</v>
      </c>
      <c r="F70" s="239" t="s">
        <v>406</v>
      </c>
      <c r="G70" s="239" t="s">
        <v>406</v>
      </c>
      <c r="H70" s="239" t="s">
        <v>406</v>
      </c>
      <c r="I70" s="239" t="s">
        <v>406</v>
      </c>
      <c r="J70" s="239" t="s">
        <v>406</v>
      </c>
      <c r="K70" s="239" t="s">
        <v>406</v>
      </c>
      <c r="L70" s="239" t="s">
        <v>406</v>
      </c>
      <c r="M70" s="239" t="s">
        <v>406</v>
      </c>
      <c r="N70" s="239" t="s">
        <v>406</v>
      </c>
      <c r="O70" s="239" t="s">
        <v>406</v>
      </c>
      <c r="P70" s="239" t="s">
        <v>406</v>
      </c>
      <c r="Q70" s="239"/>
      <c r="R70" s="239"/>
    </row>
    <row r="71" spans="1:18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  <c r="M71" s="239"/>
      <c r="N71" s="239"/>
      <c r="O71" s="239"/>
      <c r="P71" s="239"/>
      <c r="Q71" s="239"/>
      <c r="R71" s="239"/>
    </row>
    <row r="72" spans="1:18">
      <c r="A72" s="43"/>
      <c r="B72" s="43" t="s">
        <v>397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39"/>
      <c r="O72" s="239"/>
      <c r="P72" s="239"/>
      <c r="Q72" s="239"/>
      <c r="R72" s="239"/>
    </row>
    <row r="73" spans="1:18">
      <c r="E73" s="113"/>
      <c r="F73" s="113"/>
    </row>
    <row r="74" spans="1:18">
      <c r="E74" s="113"/>
      <c r="F74" s="113"/>
    </row>
    <row r="75" spans="1:18">
      <c r="E75" s="113"/>
      <c r="F75" s="113"/>
    </row>
    <row r="76" spans="1:18">
      <c r="E76" s="113"/>
      <c r="F76" s="113"/>
    </row>
    <row r="77" spans="1:18" ht="18">
      <c r="A77" s="123" t="s">
        <v>407</v>
      </c>
      <c r="E77" s="113"/>
      <c r="F77" s="113"/>
    </row>
    <row r="78" spans="1:18">
      <c r="C78" s="280"/>
      <c r="D78" s="302" t="s">
        <v>408</v>
      </c>
      <c r="E78" s="302"/>
      <c r="F78" s="303"/>
      <c r="G78" s="303"/>
      <c r="H78" s="303"/>
      <c r="I78" s="303"/>
      <c r="J78" s="303"/>
      <c r="K78" s="281"/>
      <c r="L78" s="281"/>
    </row>
    <row r="79" spans="1:18" s="304" customFormat="1" ht="30">
      <c r="C79" s="282"/>
      <c r="D79" s="283" t="s">
        <v>409</v>
      </c>
      <c r="E79" s="282" t="s">
        <v>381</v>
      </c>
      <c r="F79" s="283" t="s">
        <v>410</v>
      </c>
      <c r="G79" s="283" t="s">
        <v>411</v>
      </c>
      <c r="H79" s="283" t="s">
        <v>412</v>
      </c>
      <c r="I79" s="283" t="s">
        <v>391</v>
      </c>
      <c r="J79" s="283" t="s">
        <v>413</v>
      </c>
      <c r="K79" s="283" t="s">
        <v>414</v>
      </c>
      <c r="L79" s="283" t="s">
        <v>393</v>
      </c>
    </row>
    <row r="80" spans="1:18">
      <c r="C80" s="292" t="s">
        <v>415</v>
      </c>
      <c r="D80" s="305"/>
      <c r="E80" s="284">
        <f t="shared" ref="E80:E91" si="0">SUM(D80:D80)</f>
        <v>0</v>
      </c>
      <c r="F80" s="306"/>
      <c r="G80" s="306"/>
      <c r="H80" s="306"/>
      <c r="I80" s="306"/>
      <c r="J80" s="306"/>
      <c r="K80" s="285">
        <f t="shared" ref="K80:K91" si="1">SUM(F80:J80)</f>
        <v>0</v>
      </c>
      <c r="L80" s="286">
        <f t="shared" ref="L80:L91" si="2">E80-K80</f>
        <v>0</v>
      </c>
    </row>
    <row r="81" spans="3:12">
      <c r="C81" s="290" t="s">
        <v>416</v>
      </c>
      <c r="D81" s="305"/>
      <c r="E81" s="284">
        <f t="shared" si="0"/>
        <v>0</v>
      </c>
      <c r="F81" s="306"/>
      <c r="G81" s="306"/>
      <c r="H81" s="306"/>
      <c r="I81" s="306"/>
      <c r="J81" s="306"/>
      <c r="K81" s="285">
        <f t="shared" si="1"/>
        <v>0</v>
      </c>
      <c r="L81" s="286">
        <f t="shared" si="2"/>
        <v>0</v>
      </c>
    </row>
    <row r="82" spans="3:12">
      <c r="C82" s="290" t="s">
        <v>417</v>
      </c>
      <c r="D82" s="307"/>
      <c r="E82" s="287">
        <f t="shared" si="0"/>
        <v>0</v>
      </c>
      <c r="F82" s="308"/>
      <c r="G82" s="308"/>
      <c r="H82" s="308"/>
      <c r="I82" s="308"/>
      <c r="J82" s="308"/>
      <c r="K82" s="288">
        <f t="shared" si="1"/>
        <v>0</v>
      </c>
      <c r="L82" s="289">
        <f t="shared" si="2"/>
        <v>0</v>
      </c>
    </row>
    <row r="83" spans="3:12">
      <c r="C83" s="290" t="s">
        <v>418</v>
      </c>
      <c r="D83" s="307"/>
      <c r="E83" s="287">
        <f t="shared" si="0"/>
        <v>0</v>
      </c>
      <c r="F83" s="308"/>
      <c r="G83" s="308"/>
      <c r="H83" s="308"/>
      <c r="I83" s="308"/>
      <c r="J83" s="308"/>
      <c r="K83" s="288">
        <f t="shared" si="1"/>
        <v>0</v>
      </c>
      <c r="L83" s="289">
        <f t="shared" si="2"/>
        <v>0</v>
      </c>
    </row>
    <row r="84" spans="3:12">
      <c r="C84" s="290" t="s">
        <v>419</v>
      </c>
      <c r="D84" s="307"/>
      <c r="E84" s="287">
        <f t="shared" si="0"/>
        <v>0</v>
      </c>
      <c r="F84" s="308"/>
      <c r="G84" s="308"/>
      <c r="H84" s="308"/>
      <c r="I84" s="308"/>
      <c r="J84" s="308"/>
      <c r="K84" s="288">
        <f t="shared" si="1"/>
        <v>0</v>
      </c>
      <c r="L84" s="289">
        <f t="shared" si="2"/>
        <v>0</v>
      </c>
    </row>
    <row r="85" spans="3:12">
      <c r="C85" s="290" t="s">
        <v>420</v>
      </c>
      <c r="D85" s="307"/>
      <c r="E85" s="287">
        <f t="shared" si="0"/>
        <v>0</v>
      </c>
      <c r="F85" s="308"/>
      <c r="G85" s="308"/>
      <c r="H85" s="308"/>
      <c r="I85" s="308"/>
      <c r="J85" s="308"/>
      <c r="K85" s="288">
        <f t="shared" si="1"/>
        <v>0</v>
      </c>
      <c r="L85" s="289">
        <f t="shared" si="2"/>
        <v>0</v>
      </c>
    </row>
    <row r="86" spans="3:12" ht="15" customHeight="1">
      <c r="C86" s="290" t="s">
        <v>421</v>
      </c>
      <c r="D86" s="307"/>
      <c r="E86" s="287">
        <f t="shared" si="0"/>
        <v>0</v>
      </c>
      <c r="F86" s="308"/>
      <c r="G86" s="308"/>
      <c r="H86" s="308"/>
      <c r="I86" s="308"/>
      <c r="J86" s="308"/>
      <c r="K86" s="288">
        <f t="shared" si="1"/>
        <v>0</v>
      </c>
      <c r="L86" s="289">
        <f t="shared" si="2"/>
        <v>0</v>
      </c>
    </row>
    <row r="87" spans="3:12" ht="15" customHeight="1">
      <c r="C87" s="290" t="s">
        <v>422</v>
      </c>
      <c r="D87" s="307"/>
      <c r="E87" s="287">
        <f t="shared" si="0"/>
        <v>0</v>
      </c>
      <c r="F87" s="308"/>
      <c r="G87" s="308"/>
      <c r="H87" s="308"/>
      <c r="I87" s="308"/>
      <c r="J87" s="308"/>
      <c r="K87" s="288">
        <f t="shared" si="1"/>
        <v>0</v>
      </c>
      <c r="L87" s="289">
        <f t="shared" si="2"/>
        <v>0</v>
      </c>
    </row>
    <row r="88" spans="3:12" ht="15" customHeight="1">
      <c r="C88" s="291" t="s">
        <v>423</v>
      </c>
      <c r="D88" s="307"/>
      <c r="E88" s="287">
        <f t="shared" si="0"/>
        <v>0</v>
      </c>
      <c r="F88" s="308"/>
      <c r="G88" s="308"/>
      <c r="H88" s="308"/>
      <c r="I88" s="308"/>
      <c r="J88" s="308"/>
      <c r="K88" s="288">
        <f t="shared" si="1"/>
        <v>0</v>
      </c>
      <c r="L88" s="289">
        <f t="shared" si="2"/>
        <v>0</v>
      </c>
    </row>
    <row r="89" spans="3:12" ht="15" customHeight="1">
      <c r="C89" s="292" t="s">
        <v>424</v>
      </c>
      <c r="D89" s="307"/>
      <c r="E89" s="287">
        <f t="shared" si="0"/>
        <v>0</v>
      </c>
      <c r="F89" s="308"/>
      <c r="G89" s="308"/>
      <c r="H89" s="308"/>
      <c r="I89" s="308"/>
      <c r="J89" s="308"/>
      <c r="K89" s="288">
        <f t="shared" si="1"/>
        <v>0</v>
      </c>
      <c r="L89" s="289">
        <f t="shared" si="2"/>
        <v>0</v>
      </c>
    </row>
    <row r="90" spans="3:12" ht="15" customHeight="1">
      <c r="C90" s="291" t="s">
        <v>425</v>
      </c>
      <c r="D90" s="307"/>
      <c r="E90" s="287">
        <f t="shared" si="0"/>
        <v>0</v>
      </c>
      <c r="F90" s="308"/>
      <c r="G90" s="308"/>
      <c r="H90" s="308"/>
      <c r="I90" s="308"/>
      <c r="J90" s="308"/>
      <c r="K90" s="288">
        <f t="shared" si="1"/>
        <v>0</v>
      </c>
      <c r="L90" s="289">
        <f t="shared" si="2"/>
        <v>0</v>
      </c>
    </row>
    <row r="91" spans="3:12" ht="15" customHeight="1">
      <c r="C91" s="293" t="s">
        <v>426</v>
      </c>
      <c r="D91" s="309"/>
      <c r="E91" s="294">
        <f t="shared" si="0"/>
        <v>0</v>
      </c>
      <c r="F91" s="103"/>
      <c r="G91" s="103"/>
      <c r="H91" s="103"/>
      <c r="I91" s="103"/>
      <c r="J91" s="103"/>
      <c r="K91" s="295">
        <f t="shared" si="1"/>
        <v>0</v>
      </c>
      <c r="L91" s="296">
        <f t="shared" si="2"/>
        <v>0</v>
      </c>
    </row>
    <row r="92" spans="3:12">
      <c r="C92" s="310"/>
      <c r="D92" s="311"/>
      <c r="E92" s="297"/>
      <c r="F92" s="312"/>
      <c r="G92" s="312"/>
      <c r="H92" s="312"/>
      <c r="I92" s="312"/>
      <c r="J92" s="312"/>
      <c r="K92" s="298"/>
      <c r="L92" s="299"/>
    </row>
    <row r="93" spans="3:12" ht="15.75" thickBot="1">
      <c r="D93" s="313">
        <f>SUM(D80:D92)</f>
        <v>0</v>
      </c>
      <c r="E93" s="300">
        <f t="shared" ref="E93:L93" si="3">SUM(E80:E92)</f>
        <v>0</v>
      </c>
      <c r="F93" s="313">
        <f t="shared" si="3"/>
        <v>0</v>
      </c>
      <c r="G93" s="313">
        <f t="shared" si="3"/>
        <v>0</v>
      </c>
      <c r="H93" s="313">
        <f t="shared" si="3"/>
        <v>0</v>
      </c>
      <c r="I93" s="313">
        <f t="shared" si="3"/>
        <v>0</v>
      </c>
      <c r="J93" s="313">
        <f t="shared" si="3"/>
        <v>0</v>
      </c>
      <c r="K93" s="300">
        <f>SUM(K80:K92)</f>
        <v>0</v>
      </c>
      <c r="L93" s="301">
        <f t="shared" si="3"/>
        <v>0</v>
      </c>
    </row>
    <row r="94" spans="3:12">
      <c r="F94" s="113"/>
    </row>
    <row r="95" spans="3:12">
      <c r="C95" t="s">
        <v>155</v>
      </c>
      <c r="D95" s="103"/>
      <c r="E95" s="103"/>
      <c r="F95" s="314"/>
      <c r="G95" s="103"/>
      <c r="H95" s="103"/>
      <c r="I95" s="103"/>
      <c r="J95" s="103"/>
      <c r="K95" s="103"/>
      <c r="L95" s="103"/>
    </row>
    <row r="96" spans="3:12">
      <c r="C96" s="137" t="s">
        <v>427</v>
      </c>
      <c r="D96" s="263">
        <v>28000</v>
      </c>
      <c r="E96" s="263"/>
      <c r="F96" s="191">
        <v>42110</v>
      </c>
      <c r="G96" s="263">
        <v>41960</v>
      </c>
      <c r="H96" s="263">
        <v>41930</v>
      </c>
      <c r="I96" s="263">
        <v>42060</v>
      </c>
      <c r="J96" s="263">
        <v>42150</v>
      </c>
      <c r="K96" s="263"/>
      <c r="L96" s="263"/>
    </row>
    <row r="97" spans="3:10" s="43" customFormat="1">
      <c r="C97" s="43" t="s">
        <v>285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>
      <c r="D98" s="113"/>
    </row>
    <row r="99" spans="3:10">
      <c r="D99" s="113"/>
    </row>
    <row r="100" spans="3:10">
      <c r="E100" s="113"/>
      <c r="F100" s="113"/>
    </row>
    <row r="101" spans="3:10">
      <c r="E101" s="113"/>
      <c r="F101" s="113"/>
    </row>
    <row r="102" spans="3:10">
      <c r="E102" s="113"/>
      <c r="F102" s="113"/>
    </row>
    <row r="103" spans="3:10">
      <c r="E103" s="113"/>
      <c r="F103" s="113"/>
    </row>
    <row r="104" spans="3:10">
      <c r="E104" s="113"/>
      <c r="F104" s="113"/>
    </row>
    <row r="105" spans="3:10">
      <c r="E105" s="113"/>
      <c r="F105" s="113"/>
    </row>
    <row r="106" spans="3:10">
      <c r="E106" s="113"/>
      <c r="F106" s="113"/>
    </row>
    <row r="107" spans="3:10">
      <c r="E107" s="113"/>
      <c r="F107" s="113"/>
    </row>
    <row r="108" spans="3:10">
      <c r="E108" s="113"/>
      <c r="F108" s="113"/>
    </row>
    <row r="109" spans="3:10">
      <c r="E109" s="113"/>
      <c r="F109" s="113"/>
    </row>
    <row r="110" spans="3:10">
      <c r="E110" s="113"/>
      <c r="F110" s="113"/>
    </row>
    <row r="111" spans="3:10">
      <c r="E111" s="113"/>
      <c r="F111" s="113"/>
    </row>
    <row r="112" spans="3:10">
      <c r="E112" s="113"/>
      <c r="F112" s="113"/>
    </row>
    <row r="113" spans="5:6">
      <c r="E113" s="113"/>
      <c r="F113" s="113"/>
    </row>
    <row r="114" spans="5:6">
      <c r="E114" s="113"/>
      <c r="F114" s="113"/>
    </row>
    <row r="115" spans="5:6">
      <c r="E115" s="113"/>
      <c r="F115" s="113"/>
    </row>
    <row r="116" spans="5:6">
      <c r="E116" s="113"/>
      <c r="F116" s="113"/>
    </row>
    <row r="117" spans="5:6">
      <c r="E117" s="113"/>
      <c r="F117" s="113"/>
    </row>
    <row r="118" spans="5:6">
      <c r="E118" s="113"/>
      <c r="F118" s="113"/>
    </row>
    <row r="119" spans="5:6">
      <c r="E119" s="113"/>
      <c r="F119" s="113"/>
    </row>
    <row r="120" spans="5:6">
      <c r="E120" s="113"/>
      <c r="F120" s="113"/>
    </row>
    <row r="121" spans="5:6">
      <c r="E121" s="113"/>
      <c r="F121" s="113"/>
    </row>
    <row r="122" spans="5:6">
      <c r="E122" s="113"/>
      <c r="F122" s="113"/>
    </row>
    <row r="123" spans="5:6">
      <c r="E123" s="113"/>
      <c r="F123" s="113"/>
    </row>
    <row r="124" spans="5:6">
      <c r="E124" s="113"/>
      <c r="F124" s="113"/>
    </row>
    <row r="125" spans="5:6">
      <c r="E125" s="113"/>
      <c r="F125" s="113"/>
    </row>
    <row r="126" spans="5:6">
      <c r="E126" s="113"/>
      <c r="F126" s="113"/>
    </row>
    <row r="127" spans="5:6">
      <c r="E127" s="113"/>
      <c r="F127" s="113"/>
    </row>
    <row r="128" spans="5:6">
      <c r="E128" s="113"/>
      <c r="F128" s="113"/>
    </row>
    <row r="129" spans="5:6">
      <c r="E129" s="113"/>
      <c r="F129" s="113"/>
    </row>
    <row r="130" spans="5:6">
      <c r="E130" s="113"/>
      <c r="F130" s="113"/>
    </row>
    <row r="131" spans="5:6">
      <c r="E131" s="113"/>
      <c r="F131" s="113"/>
    </row>
    <row r="132" spans="5:6">
      <c r="E132" s="113"/>
      <c r="F132" s="113"/>
    </row>
    <row r="133" spans="5:6">
      <c r="E133" s="113"/>
      <c r="F133" s="113"/>
    </row>
    <row r="134" spans="5:6">
      <c r="E134" s="113"/>
      <c r="F134" s="113"/>
    </row>
    <row r="135" spans="5:6">
      <c r="E135" s="113"/>
      <c r="F135" s="113"/>
    </row>
    <row r="136" spans="5:6">
      <c r="E136" s="113"/>
      <c r="F136" s="113"/>
    </row>
    <row r="137" spans="5:6">
      <c r="E137" s="113"/>
      <c r="F137" s="113"/>
    </row>
    <row r="138" spans="5:6">
      <c r="E138" s="113"/>
      <c r="F138" s="113"/>
    </row>
    <row r="139" spans="5:6">
      <c r="E139" s="113"/>
      <c r="F139" s="113"/>
    </row>
    <row r="140" spans="5:6">
      <c r="E140" s="113"/>
      <c r="F140" s="113"/>
    </row>
    <row r="141" spans="5:6">
      <c r="E141" s="113"/>
      <c r="F141" s="113"/>
    </row>
    <row r="142" spans="5:6">
      <c r="E142" s="113"/>
      <c r="F142" s="113"/>
    </row>
    <row r="143" spans="5:6">
      <c r="E143" s="113"/>
      <c r="F143" s="113"/>
    </row>
    <row r="144" spans="5:6">
      <c r="E144" s="113"/>
      <c r="F144" s="113"/>
    </row>
    <row r="145" spans="5:6">
      <c r="E145" s="113"/>
      <c r="F145" s="113"/>
    </row>
    <row r="146" spans="5:6">
      <c r="E146" s="113"/>
      <c r="F146" s="113"/>
    </row>
    <row r="147" spans="5:6">
      <c r="E147" s="113"/>
      <c r="F147" s="113"/>
    </row>
    <row r="148" spans="5:6">
      <c r="E148" s="113"/>
      <c r="F148" s="113"/>
    </row>
    <row r="149" spans="5:6">
      <c r="E149" s="113"/>
      <c r="F149" s="113"/>
    </row>
    <row r="150" spans="5:6">
      <c r="E150" s="113"/>
      <c r="F150" s="113"/>
    </row>
    <row r="151" spans="5:6">
      <c r="E151" s="113"/>
      <c r="F151" s="113"/>
    </row>
    <row r="152" spans="5:6">
      <c r="E152" s="113"/>
      <c r="F152" s="113"/>
    </row>
    <row r="153" spans="5:6">
      <c r="E153" s="113"/>
      <c r="F153" s="113"/>
    </row>
    <row r="154" spans="5:6">
      <c r="E154" s="113"/>
      <c r="F154" s="113"/>
    </row>
    <row r="155" spans="5:6">
      <c r="E155" s="113"/>
      <c r="F155" s="113"/>
    </row>
    <row r="156" spans="5:6">
      <c r="E156" s="113"/>
      <c r="F156" s="113"/>
    </row>
    <row r="157" spans="5:6">
      <c r="E157" s="113"/>
      <c r="F157" s="113"/>
    </row>
    <row r="158" spans="5:6">
      <c r="E158" s="113"/>
      <c r="F158" s="113"/>
    </row>
    <row r="159" spans="5:6">
      <c r="E159" s="113"/>
      <c r="F159" s="113"/>
    </row>
    <row r="160" spans="5:6">
      <c r="E160" s="113"/>
      <c r="F160" s="113"/>
    </row>
    <row r="161" spans="5:6">
      <c r="E161" s="113"/>
      <c r="F161" s="113"/>
    </row>
    <row r="162" spans="5:6">
      <c r="E162" s="113"/>
      <c r="F162" s="113"/>
    </row>
    <row r="163" spans="5:6">
      <c r="E163" s="113"/>
      <c r="F163" s="113"/>
    </row>
    <row r="164" spans="5:6">
      <c r="E164" s="113"/>
      <c r="F164" s="113"/>
    </row>
    <row r="165" spans="5:6">
      <c r="E165" s="113"/>
      <c r="F165" s="113"/>
    </row>
    <row r="166" spans="5:6">
      <c r="E166" s="113"/>
      <c r="F166" s="113"/>
    </row>
    <row r="167" spans="5:6">
      <c r="E167" s="113"/>
      <c r="F167" s="113"/>
    </row>
    <row r="168" spans="5:6">
      <c r="E168" s="113"/>
      <c r="F168" s="113"/>
    </row>
    <row r="169" spans="5:6">
      <c r="E169" s="113"/>
      <c r="F169" s="113"/>
    </row>
    <row r="170" spans="5:6">
      <c r="E170" s="113"/>
      <c r="F170" s="113"/>
    </row>
    <row r="171" spans="5:6">
      <c r="E171" s="113"/>
      <c r="F171" s="113"/>
    </row>
    <row r="172" spans="5:6">
      <c r="E172" s="113"/>
      <c r="F172" s="113"/>
    </row>
    <row r="173" spans="5:6">
      <c r="E173" s="113"/>
      <c r="F173" s="113"/>
    </row>
    <row r="174" spans="5:6">
      <c r="E174" s="113"/>
      <c r="F174" s="113"/>
    </row>
    <row r="175" spans="5:6">
      <c r="E175" s="113"/>
      <c r="F175" s="113"/>
    </row>
    <row r="176" spans="5:6">
      <c r="E176" s="113"/>
      <c r="F176" s="113"/>
    </row>
    <row r="177" spans="5:6">
      <c r="E177" s="113"/>
      <c r="F177" s="113"/>
    </row>
    <row r="178" spans="5:6">
      <c r="E178" s="113"/>
      <c r="F178" s="113"/>
    </row>
    <row r="179" spans="5:6">
      <c r="E179" s="113"/>
      <c r="F179" s="113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4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4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4" ht="18">
      <c r="D4" s="54"/>
      <c r="E4" s="54"/>
      <c r="F4" s="65"/>
      <c r="G4" s="66"/>
      <c r="I4" s="67"/>
    </row>
    <row r="5" spans="1:14" ht="18">
      <c r="A5" s="123" t="s">
        <v>428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103</v>
      </c>
      <c r="B8" s="394" t="s">
        <v>104</v>
      </c>
      <c r="C8" s="395"/>
      <c r="D8" s="395"/>
      <c r="E8" s="396"/>
      <c r="F8" s="69" t="s">
        <v>105</v>
      </c>
      <c r="G8" s="394" t="s">
        <v>153</v>
      </c>
      <c r="H8" s="357"/>
      <c r="I8" s="358"/>
    </row>
    <row r="10" spans="1:14">
      <c r="F10" s="71"/>
    </row>
    <row r="11" spans="1:14">
      <c r="A11" s="66"/>
      <c r="B11" s="66"/>
      <c r="C11" s="66" t="s">
        <v>429</v>
      </c>
      <c r="G11" s="86" t="s">
        <v>86</v>
      </c>
      <c r="I11" s="48" t="s">
        <v>430</v>
      </c>
    </row>
    <row r="12" spans="1:14">
      <c r="A12" s="66"/>
      <c r="B12" s="66"/>
      <c r="C12" t="s">
        <v>431</v>
      </c>
      <c r="G12" s="87"/>
      <c r="I12" s="59">
        <v>0</v>
      </c>
    </row>
    <row r="13" spans="1:14">
      <c r="A13" s="66"/>
      <c r="B13" s="66"/>
      <c r="C13" t="s">
        <v>432</v>
      </c>
      <c r="G13" s="87"/>
      <c r="I13" s="59">
        <f>+G13/11*0.75</f>
        <v>0</v>
      </c>
    </row>
    <row r="14" spans="1:14">
      <c r="C14" t="s">
        <v>433</v>
      </c>
      <c r="G14" s="87"/>
      <c r="I14" s="59">
        <v>0</v>
      </c>
    </row>
    <row r="15" spans="1:14">
      <c r="C15" t="s">
        <v>434</v>
      </c>
      <c r="G15" s="88"/>
      <c r="I15" s="89">
        <f>+G15/11*0.75</f>
        <v>0</v>
      </c>
      <c r="K15" t="s">
        <v>435</v>
      </c>
      <c r="N15" s="90" t="e">
        <f>+G15/G16</f>
        <v>#DIV/0!</v>
      </c>
    </row>
    <row r="16" spans="1:14">
      <c r="G16" s="71">
        <f>SUM(G12:G15)</f>
        <v>0</v>
      </c>
      <c r="I16" s="71">
        <f>SUM(I12:I15)</f>
        <v>0</v>
      </c>
      <c r="K16" t="s">
        <v>436</v>
      </c>
      <c r="N16" s="91"/>
    </row>
    <row r="17" spans="1:14">
      <c r="A17" s="66"/>
      <c r="B17" s="66"/>
      <c r="C17" s="66"/>
      <c r="F17" s="71"/>
      <c r="K17" t="s">
        <v>437</v>
      </c>
      <c r="N17" t="e">
        <f>ROUND(N16-N18,0)</f>
        <v>#DIV/0!</v>
      </c>
    </row>
    <row r="18" spans="1:14">
      <c r="A18" s="78"/>
      <c r="B18" s="78"/>
      <c r="C18" s="66"/>
      <c r="F18" s="71"/>
      <c r="K18" t="s">
        <v>438</v>
      </c>
      <c r="N18" t="e">
        <f>ROUNDDOWN(N16*N15,0)</f>
        <v>#DIV/0!</v>
      </c>
    </row>
    <row r="19" spans="1:14">
      <c r="C19" s="78" t="s">
        <v>439</v>
      </c>
      <c r="E19" s="48" t="s">
        <v>437</v>
      </c>
      <c r="F19" s="86" t="s">
        <v>438</v>
      </c>
      <c r="G19" s="48" t="s">
        <v>86</v>
      </c>
      <c r="I19" s="48" t="s">
        <v>440</v>
      </c>
    </row>
    <row r="20" spans="1:14">
      <c r="C20" s="74">
        <v>44105</v>
      </c>
      <c r="E20" s="87"/>
      <c r="F20" s="87"/>
      <c r="G20" s="92">
        <f>SUM(E20:F20)</f>
        <v>0</v>
      </c>
      <c r="I20" s="59">
        <f>+F20/11*0.75</f>
        <v>0</v>
      </c>
    </row>
    <row r="21" spans="1:14">
      <c r="C21" s="74">
        <v>44197</v>
      </c>
      <c r="E21" s="71">
        <f>+E20</f>
        <v>0</v>
      </c>
      <c r="F21" s="71">
        <f>+F20</f>
        <v>0</v>
      </c>
      <c r="G21" s="92">
        <f>SUM(E21:F21)</f>
        <v>0</v>
      </c>
      <c r="I21" s="59">
        <f>+F21/11*0.75</f>
        <v>0</v>
      </c>
    </row>
    <row r="22" spans="1:14">
      <c r="C22" s="74">
        <v>44287</v>
      </c>
      <c r="E22" s="71">
        <f>+E20</f>
        <v>0</v>
      </c>
      <c r="F22" s="71">
        <f>+F20</f>
        <v>0</v>
      </c>
      <c r="G22" s="92">
        <f>SUM(E22:F22)</f>
        <v>0</v>
      </c>
      <c r="I22" s="71">
        <f>+F22/11*0.75</f>
        <v>0</v>
      </c>
    </row>
    <row r="23" spans="1:14">
      <c r="C23" s="74">
        <v>44378</v>
      </c>
      <c r="E23" s="89">
        <f>+E20</f>
        <v>0</v>
      </c>
      <c r="F23" s="89">
        <f>+F20</f>
        <v>0</v>
      </c>
      <c r="G23" s="93">
        <f>SUM(E23:F23)</f>
        <v>0</v>
      </c>
      <c r="I23" s="89">
        <f>+F23/11*0.75</f>
        <v>0</v>
      </c>
    </row>
    <row r="24" spans="1:14">
      <c r="E24" s="92">
        <f t="shared" ref="E24:G24" si="0">SUM(E20:E23)</f>
        <v>0</v>
      </c>
      <c r="F24" s="92">
        <f t="shared" si="0"/>
        <v>0</v>
      </c>
      <c r="G24" s="92">
        <f t="shared" si="0"/>
        <v>0</v>
      </c>
      <c r="I24" s="92">
        <f>SUM(I20:I23)</f>
        <v>0</v>
      </c>
    </row>
    <row r="25" spans="1:14">
      <c r="F25" s="71"/>
    </row>
    <row r="26" spans="1:14">
      <c r="C26" s="78" t="s">
        <v>441</v>
      </c>
      <c r="F26" s="81"/>
    </row>
    <row r="27" spans="1:14">
      <c r="C27" t="s">
        <v>442</v>
      </c>
      <c r="G27" s="92">
        <f>+G12</f>
        <v>0</v>
      </c>
    </row>
    <row r="28" spans="1:14">
      <c r="C28" t="s">
        <v>443</v>
      </c>
      <c r="F28" s="81"/>
      <c r="G28" s="92">
        <f>+G13</f>
        <v>0</v>
      </c>
      <c r="I28" s="59">
        <f>+G28/11*0.75</f>
        <v>0</v>
      </c>
    </row>
    <row r="29" spans="1:14">
      <c r="C29" t="s">
        <v>437</v>
      </c>
      <c r="F29" s="80"/>
      <c r="G29" s="92">
        <f>+G14-E24</f>
        <v>0</v>
      </c>
    </row>
    <row r="30" spans="1:14">
      <c r="C30" t="s">
        <v>438</v>
      </c>
      <c r="F30" s="71"/>
      <c r="G30" s="93">
        <f>+G15-F24</f>
        <v>0</v>
      </c>
      <c r="I30" s="89">
        <f>+G30/11*0.75</f>
        <v>0</v>
      </c>
    </row>
    <row r="31" spans="1:14">
      <c r="G31" s="92">
        <f>SUM(G27:G30)</f>
        <v>0</v>
      </c>
      <c r="I31" s="59">
        <f>SUM(I27:I30)</f>
        <v>0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L27"/>
  <sheetViews>
    <sheetView topLeftCell="A4" workbookViewId="0">
      <selection activeCell="C14" sqref="C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2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  <c r="J1" s="271"/>
    </row>
    <row r="2" spans="1:12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  <c r="J2" s="67"/>
    </row>
    <row r="3" spans="1:12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  <c r="J3" s="67"/>
    </row>
    <row r="4" spans="1:12" ht="18">
      <c r="D4" s="54"/>
      <c r="E4" s="54"/>
      <c r="F4" s="65"/>
      <c r="G4" s="66"/>
      <c r="I4" s="67"/>
      <c r="J4" s="67"/>
    </row>
    <row r="5" spans="1:12" ht="18">
      <c r="A5" s="123" t="s">
        <v>444</v>
      </c>
      <c r="D5" s="54"/>
      <c r="E5" s="54"/>
      <c r="F5" s="65"/>
      <c r="G5" s="66"/>
      <c r="I5" s="67"/>
      <c r="J5" s="67"/>
    </row>
    <row r="6" spans="1:12" ht="18.75">
      <c r="D6" s="1"/>
      <c r="E6" s="1"/>
      <c r="F6" s="134"/>
      <c r="G6" s="4"/>
      <c r="I6" s="67"/>
      <c r="J6" s="67"/>
    </row>
    <row r="8" spans="1:12" s="70" customFormat="1" ht="25.5">
      <c r="A8" s="128" t="s">
        <v>103</v>
      </c>
      <c r="B8" s="387" t="s">
        <v>104</v>
      </c>
      <c r="C8" s="388"/>
      <c r="D8" s="388"/>
      <c r="E8" s="397"/>
      <c r="F8" s="129" t="s">
        <v>105</v>
      </c>
      <c r="G8" s="387" t="s">
        <v>153</v>
      </c>
      <c r="H8" s="357"/>
      <c r="I8" s="358"/>
    </row>
    <row r="10" spans="1:12">
      <c r="F10" s="71"/>
    </row>
    <row r="11" spans="1:12">
      <c r="A11" s="78">
        <v>30900</v>
      </c>
      <c r="B11" s="78"/>
      <c r="C11" s="78" t="s">
        <v>445</v>
      </c>
      <c r="F11" s="71"/>
    </row>
    <row r="12" spans="1:12">
      <c r="C12" t="s">
        <v>446</v>
      </c>
      <c r="G12" s="260">
        <v>12649.95</v>
      </c>
      <c r="K12" s="48" t="s">
        <v>447</v>
      </c>
      <c r="L12" s="48" t="s">
        <v>105</v>
      </c>
    </row>
    <row r="13" spans="1:12">
      <c r="C13" t="s">
        <v>448</v>
      </c>
      <c r="G13" s="71">
        <v>18128.62</v>
      </c>
      <c r="K13" t="s">
        <v>449</v>
      </c>
      <c r="L13" s="92">
        <f>+G12</f>
        <v>12649.95</v>
      </c>
    </row>
    <row r="14" spans="1:12">
      <c r="C14" t="s">
        <v>450</v>
      </c>
      <c r="G14" s="85">
        <f>+G12+G13</f>
        <v>30778.57</v>
      </c>
      <c r="K14" t="s">
        <v>451</v>
      </c>
      <c r="L14" s="92">
        <f>+G18</f>
        <v>7959</v>
      </c>
    </row>
    <row r="15" spans="1:12">
      <c r="G15" s="71"/>
      <c r="K15" t="s">
        <v>452</v>
      </c>
      <c r="L15">
        <v>0</v>
      </c>
    </row>
    <row r="16" spans="1:12" ht="15.75" thickBot="1">
      <c r="G16" s="59"/>
      <c r="L16" s="259">
        <f>SUM(L13:L15)</f>
        <v>20608.95</v>
      </c>
    </row>
    <row r="17" spans="1:11" ht="15.75" thickTop="1">
      <c r="A17" s="78">
        <v>37500</v>
      </c>
      <c r="B17" s="78"/>
      <c r="C17" s="78" t="s">
        <v>453</v>
      </c>
      <c r="G17" s="59"/>
    </row>
    <row r="18" spans="1:11">
      <c r="C18" t="s">
        <v>454</v>
      </c>
      <c r="G18" s="257">
        <v>7959</v>
      </c>
    </row>
    <row r="19" spans="1:11">
      <c r="C19" t="s">
        <v>455</v>
      </c>
      <c r="G19" s="261">
        <f>L15</f>
        <v>0</v>
      </c>
      <c r="K19" s="256"/>
    </row>
    <row r="20" spans="1:11" ht="15.75" hidden="1" customHeight="1">
      <c r="G20" s="59">
        <f>SUM(G18:G19)</f>
        <v>7959</v>
      </c>
    </row>
    <row r="21" spans="1:11" hidden="1">
      <c r="C21" t="s">
        <v>456</v>
      </c>
      <c r="G21" s="71"/>
      <c r="H21" t="s">
        <v>457</v>
      </c>
    </row>
    <row r="22" spans="1:11">
      <c r="C22" t="s">
        <v>458</v>
      </c>
      <c r="G22" s="85">
        <f>+G20-G21</f>
        <v>7959</v>
      </c>
    </row>
    <row r="27" spans="1:11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tabSelected="1" topLeftCell="A11" workbookViewId="0">
      <selection activeCell="I10" sqref="I10"/>
    </sheetView>
  </sheetViews>
  <sheetFormatPr defaultRowHeight="15"/>
  <cols>
    <col min="3" max="3" width="14" customWidth="1"/>
    <col min="4" max="4" width="15.140625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4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4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4" ht="18">
      <c r="D4" s="54"/>
      <c r="E4" s="54"/>
      <c r="F4" s="65"/>
      <c r="G4" s="66"/>
      <c r="I4" s="67"/>
    </row>
    <row r="5" spans="1:14" ht="18">
      <c r="A5" s="123" t="s">
        <v>80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4"/>
    </row>
    <row r="8" spans="1:14">
      <c r="H8" s="48"/>
    </row>
    <row r="9" spans="1:14">
      <c r="B9" t="s">
        <v>81</v>
      </c>
      <c r="D9" s="345" t="s">
        <v>82</v>
      </c>
      <c r="E9" s="345"/>
      <c r="F9" s="345"/>
      <c r="G9" s="345"/>
      <c r="I9" s="345" t="s">
        <v>83</v>
      </c>
      <c r="J9" s="345"/>
      <c r="K9" s="345"/>
      <c r="L9" s="345"/>
      <c r="N9" s="344" t="s">
        <v>84</v>
      </c>
    </row>
    <row r="10" spans="1:14">
      <c r="B10" t="s">
        <v>85</v>
      </c>
      <c r="D10" s="125">
        <v>17302</v>
      </c>
      <c r="E10" s="126">
        <f>+D10</f>
        <v>17302</v>
      </c>
      <c r="F10" s="126">
        <f>+D10</f>
        <v>17302</v>
      </c>
      <c r="G10" s="48" t="s">
        <v>86</v>
      </c>
      <c r="I10" s="125">
        <v>18635</v>
      </c>
      <c r="J10" s="126">
        <f>+I10</f>
        <v>18635</v>
      </c>
      <c r="K10" s="126">
        <f>+I10</f>
        <v>18635</v>
      </c>
      <c r="L10" s="48" t="s">
        <v>86</v>
      </c>
      <c r="N10" s="344"/>
    </row>
    <row r="11" spans="1:14">
      <c r="B11" t="s">
        <v>87</v>
      </c>
      <c r="D11" s="127">
        <f>(D14-D10)/365.25</f>
        <v>75.129363449691994</v>
      </c>
      <c r="E11" s="127">
        <f>(E14-E10)/365.25</f>
        <v>75.129363449691994</v>
      </c>
      <c r="F11" s="127">
        <f>(F14-F10)/365.25</f>
        <v>75.129363449691994</v>
      </c>
      <c r="G11" s="127"/>
      <c r="I11" s="127">
        <f>(I14-I10)/365.25</f>
        <v>71.479808350444898</v>
      </c>
      <c r="J11" s="127">
        <f>(J14-J10)/365.25</f>
        <v>71.479808350444898</v>
      </c>
      <c r="K11" s="127">
        <f>(K14-K10)/365.25</f>
        <v>71.479808350444898</v>
      </c>
      <c r="N11" s="344"/>
    </row>
    <row r="14" spans="1:14">
      <c r="B14" t="s">
        <v>88</v>
      </c>
      <c r="D14" s="126">
        <v>44743</v>
      </c>
      <c r="E14" s="126">
        <v>44743</v>
      </c>
      <c r="F14" s="126">
        <v>44743</v>
      </c>
      <c r="G14" s="126"/>
      <c r="I14" s="126">
        <v>44743</v>
      </c>
      <c r="J14" s="126">
        <v>44743</v>
      </c>
      <c r="K14" s="126">
        <v>44743</v>
      </c>
    </row>
    <row r="16" spans="1:14">
      <c r="B16" t="s">
        <v>89</v>
      </c>
      <c r="D16" s="257"/>
      <c r="E16" s="257"/>
      <c r="F16" s="257"/>
      <c r="I16" s="257"/>
      <c r="J16" s="257"/>
      <c r="K16" s="257"/>
    </row>
    <row r="17" spans="1:14">
      <c r="B17" t="s">
        <v>90</v>
      </c>
      <c r="D17" s="257" t="s">
        <v>91</v>
      </c>
      <c r="E17" s="257" t="s">
        <v>91</v>
      </c>
      <c r="F17" s="257" t="s">
        <v>91</v>
      </c>
      <c r="I17" s="257" t="s">
        <v>91</v>
      </c>
      <c r="J17" s="257" t="s">
        <v>91</v>
      </c>
      <c r="K17" s="257" t="s">
        <v>91</v>
      </c>
    </row>
    <row r="18" spans="1:14">
      <c r="B18" t="s">
        <v>92</v>
      </c>
      <c r="D18" s="257">
        <v>1696228.8</v>
      </c>
      <c r="E18" s="257"/>
      <c r="F18" s="257"/>
      <c r="G18" s="258"/>
      <c r="I18" s="257">
        <v>756859.43</v>
      </c>
      <c r="J18" s="257">
        <v>615755.21</v>
      </c>
      <c r="K18" s="257"/>
    </row>
    <row r="20" spans="1:14">
      <c r="B20" t="s">
        <v>93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0.06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0.06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0.06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94</v>
      </c>
      <c r="D22" s="92">
        <f>D18*D20</f>
        <v>101773.728</v>
      </c>
      <c r="E22" s="92">
        <f>E18*E20</f>
        <v>0</v>
      </c>
      <c r="F22" s="92">
        <f>F18*F20</f>
        <v>0</v>
      </c>
      <c r="G22" s="92"/>
      <c r="I22" s="92">
        <f>I18*I20</f>
        <v>37842.971500000007</v>
      </c>
      <c r="J22" s="92">
        <f>J18*J20</f>
        <v>30787.7605</v>
      </c>
      <c r="K22" s="92">
        <f>K18*K20</f>
        <v>0</v>
      </c>
    </row>
    <row r="23" spans="1:14" s="43" customFormat="1">
      <c r="B23" s="43" t="s">
        <v>95</v>
      </c>
      <c r="D23" s="44">
        <f>D18*(D20/2)</f>
        <v>50886.864000000001</v>
      </c>
      <c r="E23" s="44">
        <f>E18*(E20/2)</f>
        <v>0</v>
      </c>
      <c r="F23" s="44">
        <f>F18*(F20/2)</f>
        <v>0</v>
      </c>
      <c r="G23" s="44"/>
      <c r="I23" s="44">
        <f>I18*(I20/2)</f>
        <v>18921.485750000003</v>
      </c>
      <c r="J23" s="44">
        <f>J18*(J20/2)</f>
        <v>15393.88025</v>
      </c>
      <c r="K23" s="44">
        <f>K18*(K20/2)</f>
        <v>0</v>
      </c>
    </row>
    <row r="24" spans="1:14" s="45" customFormat="1" ht="15.75" thickBot="1">
      <c r="B24" s="45" t="s">
        <v>96</v>
      </c>
      <c r="D24" s="52">
        <f>ROUND(D23,-1)</f>
        <v>50890</v>
      </c>
      <c r="E24" s="52">
        <f>ROUND(E23,-1)</f>
        <v>0</v>
      </c>
      <c r="F24" s="52">
        <f>ROUND(F23,-1)</f>
        <v>0</v>
      </c>
      <c r="G24" s="47">
        <f>SUM(D24:F24)</f>
        <v>50890</v>
      </c>
      <c r="I24" s="52">
        <f>ROUND(I23,-1)</f>
        <v>18920</v>
      </c>
      <c r="J24" s="52">
        <f>ROUND(J23,-1)</f>
        <v>15390</v>
      </c>
      <c r="K24" s="52">
        <f>ROUND(K23,-1)</f>
        <v>0</v>
      </c>
      <c r="L24" s="47">
        <f>SUM(I24:K24)</f>
        <v>34310</v>
      </c>
      <c r="N24" s="53">
        <f>G24+L24</f>
        <v>85200</v>
      </c>
    </row>
    <row r="25" spans="1:14" ht="15.75" thickTop="1"/>
    <row r="26" spans="1:14">
      <c r="B26" t="s">
        <v>97</v>
      </c>
      <c r="D26" s="92">
        <f>IF(D17="ABP",D18,D18*0.1)</f>
        <v>1696228.8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756859.43</v>
      </c>
      <c r="J26" s="92">
        <f t="shared" si="1"/>
        <v>615755.21</v>
      </c>
      <c r="K26" s="92">
        <f t="shared" si="1"/>
        <v>0</v>
      </c>
    </row>
    <row r="30" spans="1:14">
      <c r="A30" s="50" t="s">
        <v>98</v>
      </c>
      <c r="B30" s="50" t="s">
        <v>99</v>
      </c>
      <c r="C30" s="50" t="s">
        <v>100</v>
      </c>
      <c r="D30" s="50" t="s">
        <v>101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9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9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9" ht="18">
      <c r="D4" s="54"/>
      <c r="E4" s="54"/>
      <c r="F4" s="65"/>
      <c r="G4" s="66"/>
      <c r="I4" s="67"/>
    </row>
    <row r="5" spans="1:9" ht="18">
      <c r="A5" s="123" t="s">
        <v>102</v>
      </c>
      <c r="D5" s="54"/>
      <c r="E5" s="54"/>
      <c r="F5" s="65"/>
      <c r="G5" s="66"/>
      <c r="I5" s="67"/>
    </row>
    <row r="6" spans="1:9" ht="18">
      <c r="A6" s="123"/>
      <c r="D6" s="54"/>
      <c r="E6" s="54"/>
      <c r="F6" s="65"/>
      <c r="G6" s="66"/>
      <c r="I6" s="67"/>
    </row>
    <row r="8" spans="1:9" s="70" customFormat="1" ht="30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136" t="s">
        <v>105</v>
      </c>
      <c r="H8" s="136" t="s">
        <v>105</v>
      </c>
      <c r="I8" s="84"/>
    </row>
    <row r="10" spans="1:9">
      <c r="F10" s="71"/>
    </row>
    <row r="11" spans="1:9">
      <c r="A11" s="72"/>
      <c r="B11" s="72"/>
      <c r="C11" s="72" t="s">
        <v>106</v>
      </c>
      <c r="F11" s="73" t="s">
        <v>107</v>
      </c>
      <c r="G11" s="48" t="s">
        <v>108</v>
      </c>
      <c r="H11" s="48" t="s">
        <v>86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0">
        <v>0</v>
      </c>
      <c r="H13" s="131">
        <f>SUM(F13:G13)</f>
        <v>0</v>
      </c>
      <c r="I13" t="s">
        <v>109</v>
      </c>
    </row>
    <row r="14" spans="1:9">
      <c r="C14" s="74">
        <v>44896</v>
      </c>
      <c r="F14" s="75">
        <v>0</v>
      </c>
      <c r="G14" s="130">
        <v>0</v>
      </c>
      <c r="H14" s="131">
        <f>SUM(F14:G14)</f>
        <v>0</v>
      </c>
      <c r="I14" t="s">
        <v>110</v>
      </c>
    </row>
    <row r="15" spans="1:9">
      <c r="C15" s="74">
        <v>44986</v>
      </c>
      <c r="F15" s="75"/>
      <c r="G15" s="130"/>
      <c r="H15" s="131">
        <f>SUM(F15:G15)</f>
        <v>0</v>
      </c>
      <c r="I15" t="s">
        <v>111</v>
      </c>
    </row>
    <row r="16" spans="1:9">
      <c r="F16" s="76"/>
      <c r="G16" s="131"/>
      <c r="H16" s="131"/>
      <c r="I16" t="s">
        <v>112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113</v>
      </c>
      <c r="F19">
        <f>COUNT(F13:F15)</f>
        <v>2</v>
      </c>
      <c r="G19">
        <f>COUNT(G13:G15)</f>
        <v>2</v>
      </c>
    </row>
    <row r="21" spans="3:9">
      <c r="C21" t="s">
        <v>114</v>
      </c>
      <c r="F21" s="75"/>
      <c r="I21" t="s">
        <v>115</v>
      </c>
    </row>
    <row r="23" spans="3:9">
      <c r="C23" t="s">
        <v>116</v>
      </c>
      <c r="F23" s="79"/>
      <c r="G23" s="132"/>
      <c r="H23" s="80"/>
      <c r="I23" t="s">
        <v>117</v>
      </c>
    </row>
    <row r="24" spans="3:9">
      <c r="C24" t="s">
        <v>118</v>
      </c>
      <c r="F24" s="81"/>
      <c r="G24" s="132"/>
      <c r="H24" s="80"/>
    </row>
    <row r="25" spans="3:9">
      <c r="C25" t="s">
        <v>119</v>
      </c>
      <c r="F25" s="80"/>
      <c r="G25" s="133"/>
      <c r="H25" s="80"/>
    </row>
    <row r="26" spans="3:9">
      <c r="C26" t="s">
        <v>120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121</v>
      </c>
      <c r="F29" s="76">
        <f>ROUND(F21/4,0)</f>
        <v>0</v>
      </c>
      <c r="G29" s="131">
        <f>ROUND(G26/4,0)</f>
        <v>0</v>
      </c>
      <c r="H29" s="80"/>
    </row>
    <row r="30" spans="3:9">
      <c r="C30" t="s">
        <v>122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123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1">
        <f t="shared" ref="H33:H36" si="0">SUM(F33:G33)</f>
        <v>0</v>
      </c>
      <c r="L33" s="131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1">
        <f t="shared" si="0"/>
        <v>0</v>
      </c>
      <c r="L34" s="131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1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1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08" customWidth="1"/>
    <col min="2" max="2" width="34.7109375" style="105" customWidth="1"/>
    <col min="3" max="8" width="14.5703125" style="105" customWidth="1"/>
    <col min="9" max="9" width="14.5703125" style="109" customWidth="1"/>
    <col min="10" max="10" width="15.28515625" style="105" customWidth="1"/>
    <col min="11" max="16384" width="11.42578125" style="105"/>
  </cols>
  <sheetData>
    <row r="1" spans="1:10" customFormat="1" ht="18">
      <c r="A1" s="121" t="s">
        <v>0</v>
      </c>
      <c r="B1" s="346" t="str">
        <f>Index!$C$1</f>
        <v>Loney Family Super Fund</v>
      </c>
      <c r="C1" s="346"/>
      <c r="D1" s="346"/>
      <c r="F1" s="55"/>
      <c r="H1" s="57" t="s">
        <v>2</v>
      </c>
      <c r="I1" s="57" t="s">
        <v>3</v>
      </c>
    </row>
    <row r="2" spans="1:10" customFormat="1" ht="18">
      <c r="A2" s="121" t="s">
        <v>4</v>
      </c>
      <c r="B2" s="346" t="str">
        <f>Index!$C$2</f>
        <v>LONJ</v>
      </c>
      <c r="C2" s="346"/>
      <c r="D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customFormat="1" ht="18">
      <c r="A3" s="121" t="s">
        <v>8</v>
      </c>
      <c r="B3" s="347">
        <f>Index!$C$3</f>
        <v>44742</v>
      </c>
      <c r="C3" s="347"/>
      <c r="D3" s="347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customFormat="1" ht="18">
      <c r="A4" s="121"/>
      <c r="B4" s="54"/>
      <c r="D4" s="54"/>
      <c r="E4" s="54"/>
      <c r="F4" s="56"/>
      <c r="G4" s="122"/>
      <c r="H4" s="66"/>
      <c r="I4" s="67"/>
    </row>
    <row r="5" spans="1:10" customFormat="1" ht="18">
      <c r="A5" s="54" t="s">
        <v>124</v>
      </c>
      <c r="C5" s="58"/>
      <c r="F5" s="59"/>
      <c r="G5" s="59"/>
      <c r="H5" s="66"/>
      <c r="J5" s="67"/>
    </row>
    <row r="6" spans="1:10" ht="18">
      <c r="A6" s="63"/>
      <c r="B6" s="64"/>
      <c r="C6" s="106"/>
      <c r="D6" s="54"/>
      <c r="E6" s="54"/>
      <c r="F6" s="66"/>
      <c r="G6" s="66"/>
      <c r="H6" s="66"/>
      <c r="I6" s="107"/>
    </row>
    <row r="7" spans="1:10" s="143" customFormat="1" ht="15.75" thickBot="1">
      <c r="A7" s="145"/>
      <c r="C7" s="162"/>
      <c r="D7" s="162"/>
      <c r="E7" s="162"/>
      <c r="F7" s="113"/>
      <c r="G7" s="162"/>
      <c r="H7" s="162"/>
      <c r="I7" s="162"/>
    </row>
    <row r="8" spans="1:10" s="143" customFormat="1" ht="30.75" thickBot="1">
      <c r="A8" s="353" t="s">
        <v>125</v>
      </c>
      <c r="B8" s="354"/>
      <c r="C8" s="163" t="s">
        <v>126</v>
      </c>
      <c r="D8" s="163" t="s">
        <v>127</v>
      </c>
      <c r="E8" s="163" t="s">
        <v>128</v>
      </c>
      <c r="F8" s="163" t="s">
        <v>129</v>
      </c>
      <c r="G8" s="163" t="s">
        <v>130</v>
      </c>
      <c r="H8" s="163" t="s">
        <v>131</v>
      </c>
      <c r="I8" s="164" t="s">
        <v>132</v>
      </c>
    </row>
    <row r="9" spans="1:10" s="143" customFormat="1" ht="15">
      <c r="A9" s="165" t="s">
        <v>133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134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135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136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137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3"/>
      <c r="G14" s="162"/>
      <c r="H14" s="162"/>
      <c r="I14" s="162"/>
    </row>
    <row r="15" spans="1:10" s="143" customFormat="1" ht="30.75" thickBot="1">
      <c r="A15" s="353" t="s">
        <v>138</v>
      </c>
      <c r="B15" s="401"/>
      <c r="C15" s="163" t="s">
        <v>126</v>
      </c>
      <c r="D15" s="163" t="s">
        <v>127</v>
      </c>
      <c r="E15" s="163" t="s">
        <v>128</v>
      </c>
      <c r="F15" s="163" t="s">
        <v>129</v>
      </c>
      <c r="G15" s="163" t="s">
        <v>130</v>
      </c>
      <c r="H15" s="163" t="s">
        <v>131</v>
      </c>
      <c r="I15" s="164" t="s">
        <v>132</v>
      </c>
    </row>
    <row r="16" spans="1:10" s="143" customFormat="1" ht="15">
      <c r="A16" s="175" t="s">
        <v>133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134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135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139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137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355" t="s">
        <v>140</v>
      </c>
      <c r="B22" s="356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141</v>
      </c>
      <c r="B24" s="144"/>
      <c r="G24" s="144"/>
    </row>
    <row r="25" spans="1:9" s="143" customFormat="1" ht="15">
      <c r="B25" s="144"/>
      <c r="C25" s="351" t="s">
        <v>142</v>
      </c>
      <c r="D25" s="351"/>
      <c r="E25" s="351" t="s">
        <v>143</v>
      </c>
      <c r="F25" s="351"/>
      <c r="G25" s="352" t="s">
        <v>144</v>
      </c>
      <c r="H25" s="352"/>
    </row>
    <row r="26" spans="1:9" s="143" customFormat="1" ht="15">
      <c r="A26" s="145" t="s">
        <v>3</v>
      </c>
      <c r="B26" s="143" t="s">
        <v>145</v>
      </c>
      <c r="C26" s="143" t="s">
        <v>126</v>
      </c>
      <c r="D26" s="143" t="s">
        <v>127</v>
      </c>
      <c r="E26" s="143" t="s">
        <v>126</v>
      </c>
      <c r="F26" s="143" t="s">
        <v>127</v>
      </c>
      <c r="G26" s="143" t="s">
        <v>126</v>
      </c>
      <c r="H26" s="143" t="s">
        <v>127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86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146</v>
      </c>
      <c r="H41" s="152">
        <f>I22+H39</f>
        <v>0</v>
      </c>
    </row>
    <row r="42" spans="1:8" s="143" customFormat="1" ht="15">
      <c r="A42" s="145"/>
      <c r="B42" s="153" t="s">
        <v>147</v>
      </c>
      <c r="C42" s="154">
        <f>I13</f>
        <v>0</v>
      </c>
      <c r="D42" s="155"/>
    </row>
    <row r="43" spans="1:8" s="143" customFormat="1" ht="15">
      <c r="A43" s="145"/>
      <c r="B43" s="156" t="s">
        <v>148</v>
      </c>
      <c r="C43" s="151">
        <f>I20</f>
        <v>0</v>
      </c>
      <c r="D43" s="157"/>
    </row>
    <row r="44" spans="1:8" s="143" customFormat="1" ht="15">
      <c r="A44" s="145"/>
      <c r="B44" s="158" t="s">
        <v>144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149</v>
      </c>
      <c r="C46" s="152">
        <v>0</v>
      </c>
      <c r="D46" s="157"/>
    </row>
    <row r="47" spans="1:8" s="143" customFormat="1" ht="15.75" thickBot="1">
      <c r="A47" s="145"/>
      <c r="B47" s="159" t="s">
        <v>150</v>
      </c>
      <c r="C47" s="160">
        <f>C46-C44</f>
        <v>0</v>
      </c>
      <c r="D47" s="161" t="s">
        <v>151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E12" sqref="E12:H1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54"/>
      <c r="E4" s="54"/>
      <c r="F4" s="56"/>
      <c r="G4" s="122"/>
      <c r="H4" s="66"/>
      <c r="I4" s="67"/>
    </row>
    <row r="5" spans="1:10" ht="18">
      <c r="A5" s="54" t="s">
        <v>152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30">
      <c r="A8" s="135" t="s">
        <v>103</v>
      </c>
      <c r="B8" s="348" t="s">
        <v>104</v>
      </c>
      <c r="C8" s="349"/>
      <c r="D8" s="350"/>
      <c r="E8" s="136" t="s">
        <v>105</v>
      </c>
      <c r="F8" s="136" t="s">
        <v>105</v>
      </c>
      <c r="G8" s="136" t="s">
        <v>105</v>
      </c>
      <c r="H8" s="348" t="s">
        <v>153</v>
      </c>
      <c r="I8" s="350"/>
    </row>
    <row r="11" spans="1:10">
      <c r="A11" s="78">
        <v>60400</v>
      </c>
      <c r="B11" s="78"/>
      <c r="C11" s="78" t="s">
        <v>154</v>
      </c>
      <c r="E11" s="48" t="s">
        <v>155</v>
      </c>
      <c r="F11" s="86" t="s">
        <v>156</v>
      </c>
      <c r="G11" s="86" t="s">
        <v>157</v>
      </c>
    </row>
    <row r="12" spans="1:10">
      <c r="A12" t="s">
        <v>158</v>
      </c>
      <c r="C12" t="s">
        <v>159</v>
      </c>
      <c r="E12" s="94"/>
      <c r="F12" s="94"/>
      <c r="G12" s="94">
        <f>+E12-F12</f>
        <v>0</v>
      </c>
      <c r="H12" s="94"/>
    </row>
    <row r="13" spans="1:10">
      <c r="A13" t="s">
        <v>160</v>
      </c>
      <c r="C13" t="s">
        <v>161</v>
      </c>
      <c r="E13" s="94"/>
      <c r="F13" s="94"/>
      <c r="G13" s="94">
        <f>+E13-F13</f>
        <v>0</v>
      </c>
      <c r="H13" s="94"/>
    </row>
    <row r="14" spans="1:10">
      <c r="E14" s="94"/>
      <c r="F14" s="94"/>
      <c r="G14" s="94"/>
      <c r="H14" s="94"/>
    </row>
    <row r="16" spans="1:10">
      <c r="A16" s="43" t="s">
        <v>162</v>
      </c>
    </row>
    <row r="17" spans="1:1">
      <c r="A17" s="43" t="s">
        <v>163</v>
      </c>
    </row>
    <row r="18" spans="1:1">
      <c r="A18" s="43" t="s">
        <v>164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35"/>
  <sheetViews>
    <sheetView topLeftCell="A14" workbookViewId="0">
      <selection activeCell="C33" sqref="C3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54"/>
      <c r="E4" s="54"/>
      <c r="F4" s="56"/>
      <c r="G4" s="122"/>
      <c r="H4" s="66"/>
      <c r="I4" s="67"/>
    </row>
    <row r="5" spans="1:10" ht="18">
      <c r="A5" s="54" t="s">
        <v>165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30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348" t="s">
        <v>153</v>
      </c>
      <c r="H8" s="357"/>
      <c r="I8" s="358"/>
    </row>
    <row r="10" spans="1:10">
      <c r="F10" s="81"/>
    </row>
    <row r="11" spans="1:10">
      <c r="C11" t="s">
        <v>166</v>
      </c>
      <c r="F11" s="94">
        <f>5463306.22</f>
        <v>5463306.2199999997</v>
      </c>
      <c r="G11" s="43"/>
    </row>
    <row r="12" spans="1:10">
      <c r="C12" t="s">
        <v>167</v>
      </c>
      <c r="F12" s="323">
        <v>63161.38</v>
      </c>
      <c r="G12" s="43"/>
    </row>
    <row r="13" spans="1:10">
      <c r="F13" s="59">
        <f>+F11-SUM(F12:F12)</f>
        <v>5400144.8399999999</v>
      </c>
    </row>
    <row r="16" spans="1:10">
      <c r="C16" t="s">
        <v>168</v>
      </c>
    </row>
    <row r="17" spans="3:6">
      <c r="C17" t="s">
        <v>35</v>
      </c>
      <c r="D17" t="s">
        <v>169</v>
      </c>
      <c r="F17" s="59">
        <v>24586.97</v>
      </c>
    </row>
    <row r="18" spans="3:6">
      <c r="D18" t="s">
        <v>170</v>
      </c>
      <c r="F18" s="59">
        <v>30568.98</v>
      </c>
    </row>
    <row r="19" spans="3:6">
      <c r="D19" t="s">
        <v>171</v>
      </c>
      <c r="F19" s="59">
        <v>13088.01</v>
      </c>
    </row>
    <row r="20" spans="3:6">
      <c r="C20" t="s">
        <v>172</v>
      </c>
      <c r="E20" s="59">
        <v>2234105.02</v>
      </c>
    </row>
    <row r="21" spans="3:6">
      <c r="C21" t="s">
        <v>173</v>
      </c>
      <c r="E21" s="59">
        <v>119720</v>
      </c>
      <c r="F21" s="59">
        <f>+E20-E21</f>
        <v>2114385.02</v>
      </c>
    </row>
    <row r="22" spans="3:6">
      <c r="C22" t="s">
        <v>174</v>
      </c>
      <c r="F22" s="59">
        <v>1433078.43</v>
      </c>
    </row>
    <row r="23" spans="3:6">
      <c r="C23" t="s">
        <v>175</v>
      </c>
      <c r="F23" s="325">
        <v>1784435.68</v>
      </c>
    </row>
    <row r="24" spans="3:6">
      <c r="F24" s="59">
        <f>SUM(F17:F23)</f>
        <v>5400143.0899999999</v>
      </c>
    </row>
    <row r="26" spans="3:6">
      <c r="C26" t="s">
        <v>176</v>
      </c>
      <c r="F26" s="59">
        <f>+F24-F13</f>
        <v>-1.75</v>
      </c>
    </row>
    <row r="31" spans="3:6">
      <c r="C31" t="s">
        <v>177</v>
      </c>
    </row>
    <row r="32" spans="3:6">
      <c r="C32" t="s">
        <v>178</v>
      </c>
      <c r="F32" s="59">
        <f>SUM(F21:F23)</f>
        <v>5331899.13</v>
      </c>
    </row>
    <row r="33" spans="3:6">
      <c r="C33" t="s">
        <v>179</v>
      </c>
      <c r="F33" s="59">
        <f>+E21</f>
        <v>119720</v>
      </c>
    </row>
    <row r="34" spans="3:6">
      <c r="C34" t="s">
        <v>180</v>
      </c>
      <c r="F34" s="325">
        <v>400000</v>
      </c>
    </row>
    <row r="35" spans="3:6">
      <c r="C35" t="s">
        <v>181</v>
      </c>
      <c r="F35" s="59">
        <f>SUM(F32:F34)</f>
        <v>5851619.1299999999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0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0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1"/>
      <c r="B4" s="54"/>
      <c r="D4" s="54"/>
      <c r="E4" s="54"/>
      <c r="F4" s="56"/>
      <c r="G4" s="122"/>
      <c r="H4" s="66"/>
      <c r="I4" s="67"/>
    </row>
    <row r="5" spans="1:10" ht="18">
      <c r="A5" s="54" t="s">
        <v>182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30">
      <c r="A8" s="135" t="s">
        <v>103</v>
      </c>
      <c r="B8" s="348" t="s">
        <v>104</v>
      </c>
      <c r="C8" s="349"/>
      <c r="D8" s="349"/>
      <c r="E8" s="350"/>
      <c r="F8" s="136" t="s">
        <v>105</v>
      </c>
      <c r="G8" s="348" t="s">
        <v>153</v>
      </c>
      <c r="H8" s="357"/>
      <c r="I8" s="358"/>
    </row>
    <row r="10" spans="1:10">
      <c r="A10" s="269"/>
      <c r="F10" s="71"/>
    </row>
    <row r="11" spans="1:10">
      <c r="C11" s="78" t="s">
        <v>183</v>
      </c>
      <c r="F11" s="71"/>
    </row>
    <row r="12" spans="1:10">
      <c r="C12" t="s">
        <v>45</v>
      </c>
      <c r="F12" s="71"/>
    </row>
    <row r="13" spans="1:10">
      <c r="C13" t="s">
        <v>184</v>
      </c>
      <c r="F13" s="71"/>
    </row>
    <row r="14" spans="1:10">
      <c r="C14" t="s">
        <v>185</v>
      </c>
      <c r="F14" s="71"/>
    </row>
    <row r="15" spans="1:10">
      <c r="C15" t="s">
        <v>186</v>
      </c>
      <c r="F15" s="71"/>
    </row>
    <row r="16" spans="1:10">
      <c r="F16" s="268">
        <f>SUM(F12:F15)</f>
        <v>0</v>
      </c>
    </row>
    <row r="17" spans="3:10">
      <c r="F17" s="71"/>
    </row>
    <row r="18" spans="3:10">
      <c r="C18" s="78" t="s">
        <v>187</v>
      </c>
      <c r="F18" s="71"/>
    </row>
    <row r="19" spans="3:10">
      <c r="C19" t="s">
        <v>188</v>
      </c>
      <c r="F19" s="71"/>
    </row>
    <row r="20" spans="3:10">
      <c r="C20" t="s">
        <v>189</v>
      </c>
      <c r="F20" s="71"/>
    </row>
    <row r="21" spans="3:10">
      <c r="C21" t="s">
        <v>190</v>
      </c>
      <c r="F21" s="71"/>
    </row>
    <row r="22" spans="3:10">
      <c r="F22" s="268">
        <f>SUM(F19:F21)</f>
        <v>0</v>
      </c>
    </row>
    <row r="23" spans="3:10">
      <c r="F23" s="71"/>
    </row>
    <row r="24" spans="3:10">
      <c r="C24" t="s">
        <v>176</v>
      </c>
      <c r="F24" s="71">
        <f>+F16-F22</f>
        <v>0</v>
      </c>
      <c r="H24" s="43" t="s">
        <v>191</v>
      </c>
      <c r="I24" s="97" t="e">
        <f>F24/F16</f>
        <v>#DIV/0!</v>
      </c>
      <c r="J24" s="43" t="s">
        <v>192</v>
      </c>
    </row>
    <row r="25" spans="3:10">
      <c r="F25" s="71"/>
    </row>
    <row r="26" spans="3:10">
      <c r="F26" s="71"/>
    </row>
    <row r="27" spans="3:10">
      <c r="C27" s="43" t="s">
        <v>193</v>
      </c>
      <c r="F27" s="71"/>
    </row>
    <row r="28" spans="3:10" ht="30">
      <c r="C28" s="264" t="s">
        <v>194</v>
      </c>
      <c r="D28" s="265"/>
      <c r="E28" s="266" t="s">
        <v>195</v>
      </c>
      <c r="F28" s="266" t="s">
        <v>196</v>
      </c>
      <c r="G28" s="267" t="s">
        <v>197</v>
      </c>
    </row>
    <row r="29" spans="3:10">
      <c r="C29" t="s">
        <v>198</v>
      </c>
      <c r="E29" s="98"/>
      <c r="F29" s="98"/>
      <c r="G29" s="92">
        <f t="shared" ref="G29:G32" si="0">+E29-F29</f>
        <v>0</v>
      </c>
    </row>
    <row r="30" spans="3:10">
      <c r="C30" t="s">
        <v>199</v>
      </c>
      <c r="E30" s="98"/>
      <c r="F30" s="98"/>
      <c r="G30" s="92">
        <f t="shared" si="0"/>
        <v>0</v>
      </c>
    </row>
    <row r="31" spans="3:10">
      <c r="C31" t="s">
        <v>200</v>
      </c>
      <c r="E31" s="98"/>
      <c r="F31" s="98"/>
      <c r="G31" s="92">
        <f t="shared" si="0"/>
        <v>0</v>
      </c>
    </row>
    <row r="32" spans="3:10">
      <c r="C32" t="s">
        <v>201</v>
      </c>
      <c r="E32" s="98"/>
      <c r="F32" s="98"/>
      <c r="G32" s="92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2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2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2" ht="18">
      <c r="A4" s="121"/>
      <c r="B4" s="54"/>
      <c r="D4" s="56"/>
      <c r="G4" s="122"/>
      <c r="H4" s="66"/>
      <c r="I4" s="67"/>
    </row>
    <row r="5" spans="1:12" ht="18">
      <c r="A5" s="54" t="s">
        <v>182</v>
      </c>
      <c r="C5" s="58"/>
      <c r="F5" s="59"/>
      <c r="G5" s="59"/>
      <c r="H5" s="66"/>
      <c r="J5" s="67"/>
    </row>
    <row r="6" spans="1:12" s="105" customFormat="1" ht="18">
      <c r="A6" s="315" t="s">
        <v>202</v>
      </c>
      <c r="B6" s="64"/>
      <c r="C6" s="106"/>
      <c r="D6" s="54"/>
      <c r="E6" s="54"/>
      <c r="F6" s="66"/>
      <c r="G6" s="66"/>
      <c r="H6" s="66"/>
      <c r="I6" s="107"/>
    </row>
    <row r="7" spans="1:12" ht="20.100000000000001" customHeight="1" thickBot="1">
      <c r="A7" s="180"/>
      <c r="H7" s="362"/>
      <c r="I7" s="362"/>
      <c r="J7" s="362"/>
      <c r="K7" s="362"/>
      <c r="L7" s="362"/>
    </row>
    <row r="8" spans="1:12" ht="42.75" customHeight="1" thickBot="1">
      <c r="A8" s="181" t="s">
        <v>103</v>
      </c>
      <c r="B8" s="363" t="s">
        <v>203</v>
      </c>
      <c r="C8" s="364"/>
      <c r="D8" s="365"/>
      <c r="E8" s="183" t="s">
        <v>204</v>
      </c>
      <c r="F8" s="183" t="s">
        <v>205</v>
      </c>
      <c r="G8" s="184" t="s">
        <v>206</v>
      </c>
      <c r="H8" s="185"/>
      <c r="I8" s="185"/>
      <c r="J8" s="185"/>
      <c r="K8" s="186"/>
      <c r="L8" s="186"/>
    </row>
    <row r="9" spans="1:12" ht="15.95" customHeight="1">
      <c r="A9" s="187"/>
      <c r="B9" s="366"/>
      <c r="C9" s="366"/>
      <c r="D9" s="366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67" t="s">
        <v>207</v>
      </c>
      <c r="C10" s="367"/>
      <c r="D10" s="367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59"/>
      <c r="C11" s="360"/>
      <c r="D11" s="361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59"/>
      <c r="C12" s="360"/>
      <c r="D12" s="361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59"/>
      <c r="C13" s="360"/>
      <c r="D13" s="361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368" t="s">
        <v>208</v>
      </c>
      <c r="C14" s="369"/>
      <c r="D14" s="370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71"/>
      <c r="C15" s="372"/>
      <c r="D15" s="373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367" t="s">
        <v>58</v>
      </c>
      <c r="C16" s="367"/>
      <c r="D16" s="367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374"/>
      <c r="C17" s="374"/>
      <c r="D17" s="374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59"/>
      <c r="C18" s="360"/>
      <c r="D18" s="361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79" t="s">
        <v>209</v>
      </c>
      <c r="C19" s="379"/>
      <c r="D19" s="379"/>
      <c r="E19" s="196"/>
      <c r="F19" s="197"/>
      <c r="G19" s="201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71"/>
      <c r="C20" s="372"/>
      <c r="D20" s="373"/>
      <c r="E20" s="188"/>
      <c r="F20" s="189"/>
      <c r="G20" s="202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80" t="s">
        <v>210</v>
      </c>
      <c r="C21" s="381"/>
      <c r="D21" s="382"/>
      <c r="E21" s="196"/>
      <c r="F21" s="197"/>
      <c r="G21" s="201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83"/>
      <c r="C22" s="383"/>
      <c r="D22" s="383"/>
      <c r="E22" s="188"/>
      <c r="F22" s="189"/>
      <c r="G22" s="203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4"/>
      <c r="B23" s="376" t="s">
        <v>211</v>
      </c>
      <c r="C23" s="377"/>
      <c r="D23" s="378"/>
      <c r="E23" s="205"/>
      <c r="F23" s="189"/>
      <c r="G23" s="203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4"/>
      <c r="B24" s="187" t="s">
        <v>212</v>
      </c>
      <c r="C24" s="206"/>
      <c r="D24" s="207"/>
      <c r="E24" s="205"/>
      <c r="F24" s="189"/>
      <c r="G24" s="203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4"/>
      <c r="B25" s="208" t="s">
        <v>213</v>
      </c>
      <c r="C25" s="209"/>
      <c r="D25" s="210" t="e">
        <f>G21/D24</f>
        <v>#DIV/0!</v>
      </c>
      <c r="E25" s="205"/>
      <c r="F25" s="189"/>
      <c r="G25" s="203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84"/>
      <c r="C26" s="384"/>
      <c r="D26" s="384"/>
      <c r="E26" s="188"/>
      <c r="F26" s="189"/>
      <c r="G26" s="203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4"/>
      <c r="B27" s="376" t="s">
        <v>214</v>
      </c>
      <c r="C27" s="377"/>
      <c r="D27" s="378"/>
      <c r="E27" s="205"/>
      <c r="F27" s="189"/>
      <c r="G27" s="203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4"/>
      <c r="B28" s="211" t="s">
        <v>35</v>
      </c>
      <c r="C28" s="193"/>
      <c r="D28" s="212">
        <f>(SUM(G11:G12))/G14</f>
        <v>1</v>
      </c>
      <c r="E28" s="205"/>
      <c r="F28" s="189"/>
      <c r="G28" s="203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4"/>
      <c r="B29" s="213" t="s">
        <v>50</v>
      </c>
      <c r="C29" s="214"/>
      <c r="D29" s="215">
        <f>G13/G14</f>
        <v>0</v>
      </c>
      <c r="E29" s="205"/>
      <c r="F29" s="189"/>
      <c r="G29" s="203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71"/>
      <c r="C30" s="372"/>
      <c r="D30" s="373"/>
      <c r="E30" s="188"/>
      <c r="F30" s="189"/>
      <c r="G30" s="203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71"/>
      <c r="C31" s="372"/>
      <c r="D31" s="373"/>
      <c r="E31" s="188"/>
      <c r="F31" s="189"/>
      <c r="G31" s="203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66"/>
      <c r="C32" s="366"/>
      <c r="D32" s="366"/>
      <c r="E32" s="188"/>
      <c r="F32" s="189"/>
      <c r="G32" s="203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66"/>
      <c r="C33" s="366"/>
      <c r="D33" s="366"/>
      <c r="E33" s="188"/>
      <c r="F33" s="189"/>
      <c r="G33" s="203"/>
      <c r="H33" s="191"/>
      <c r="I33" s="191"/>
      <c r="J33" s="191"/>
      <c r="K33" s="191"/>
      <c r="L33" s="191"/>
    </row>
    <row r="34" spans="1:12">
      <c r="A34" s="187"/>
      <c r="B34" s="366"/>
      <c r="C34" s="366"/>
      <c r="D34" s="366"/>
      <c r="E34" s="188"/>
      <c r="F34" s="189"/>
      <c r="G34" s="203"/>
      <c r="H34" s="191"/>
      <c r="I34" s="191"/>
      <c r="J34" s="191"/>
      <c r="K34" s="191"/>
      <c r="L34" s="191"/>
    </row>
    <row r="35" spans="1:12" ht="15.75" thickBot="1">
      <c r="A35" s="208"/>
      <c r="B35" s="375"/>
      <c r="C35" s="375"/>
      <c r="D35" s="375"/>
      <c r="E35" s="216"/>
      <c r="F35" s="217"/>
      <c r="G35" s="218"/>
      <c r="H35" s="191"/>
      <c r="I35" s="191"/>
      <c r="J35" s="191"/>
      <c r="K35" s="191"/>
      <c r="L35" s="191"/>
    </row>
    <row r="36" spans="1:12" ht="15.95" customHeigh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</row>
    <row r="37" spans="1:12" ht="15.95" customHeigh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</row>
    <row r="38" spans="1:12" ht="15.9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2" ht="15.9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</row>
    <row r="40" spans="1:12" ht="15.9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</row>
    <row r="41" spans="1:12" ht="15.95" customHeigh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</row>
    <row r="42" spans="1:12" ht="15.95" customHeigh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2" ht="15.95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</row>
    <row r="44" spans="1:12" ht="15.95" customHeigh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</row>
    <row r="45" spans="1:12" ht="15.95" customHeigh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2" ht="15.95" customHeigh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2" ht="15.95" customHeigh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</row>
    <row r="48" spans="1:12" ht="15.9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</row>
    <row r="49" spans="1:11" ht="15.95" customHeigh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5.95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5.95" customHeigh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</row>
    <row r="52" spans="1:11" ht="15.95" customHeigh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</row>
    <row r="53" spans="1:11" ht="15.95" customHeigh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</row>
    <row r="54" spans="1:11" ht="15.9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5.9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</row>
    <row r="56" spans="1:11" ht="15.95" customHeigh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</row>
    <row r="57" spans="1:11" ht="15.95" customHeigh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1" ht="15.95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</row>
    <row r="59" spans="1:11" ht="15.95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</row>
    <row r="60" spans="1:11" ht="15.95" customHeigh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</row>
    <row r="61" spans="1:11" ht="15.95" customHeigh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</row>
    <row r="62" spans="1:11" ht="15.95" customHeigh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</row>
    <row r="63" spans="1:11" ht="15.95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</row>
    <row r="64" spans="1:11" ht="15.9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</row>
    <row r="65" spans="1:11" ht="15.9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</row>
    <row r="66" spans="1:11" ht="15.95" customHeigh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</row>
    <row r="67" spans="1:11" ht="15.9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</row>
    <row r="68" spans="1:11" ht="15.9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</row>
    <row r="69" spans="1:11" ht="15.95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</row>
    <row r="70" spans="1:11" ht="15.95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</row>
    <row r="71" spans="1:11" ht="15.95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1" ht="15.9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</row>
    <row r="73" spans="1:11" ht="15.9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</row>
    <row r="74" spans="1:11" ht="15.95" customHeigh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</row>
    <row r="75" spans="1:11" ht="15.9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</row>
    <row r="76" spans="1:11" ht="15.9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</row>
    <row r="77" spans="1:11" ht="15.95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 ht="15.95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 ht="15.95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 ht="15.95" customHeigh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</row>
    <row r="81" spans="1:11" ht="15.9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</row>
    <row r="82" spans="1:11" ht="15.95" customHeigh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</row>
    <row r="83" spans="1:11" ht="15.95" customHeigh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</row>
    <row r="84" spans="1:11" ht="15.95" customHeigh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5.95" customHeigh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</row>
    <row r="86" spans="1:11" ht="15.95" customHeigh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</row>
    <row r="87" spans="1:11" ht="15.95" customHeigh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ht="15.95" customHeigh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</row>
    <row r="89" spans="1:11" ht="15.9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</row>
    <row r="90" spans="1:11" ht="15.9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</row>
    <row r="91" spans="1:11" ht="15.9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</row>
    <row r="92" spans="1:11" ht="15.9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</row>
    <row r="93" spans="1:11" ht="15.9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</row>
    <row r="94" spans="1:11" ht="15.9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</row>
    <row r="95" spans="1:11" ht="15.9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</row>
    <row r="96" spans="1:11" ht="15.9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</row>
    <row r="97" spans="1:11" ht="15.9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</row>
    <row r="98" spans="1:11" ht="15.9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</row>
    <row r="99" spans="1:11" ht="15.9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</row>
    <row r="100" spans="1:11" ht="15.9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</row>
    <row r="101" spans="1:11" ht="15.9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</row>
    <row r="102" spans="1:11" ht="15.9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</row>
    <row r="103" spans="1:11" ht="15.9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</row>
    <row r="104" spans="1:11" ht="15.9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</row>
    <row r="105" spans="1:11" ht="15.9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</row>
    <row r="106" spans="1:11" ht="15.9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</row>
    <row r="107" spans="1:11" ht="15.9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1" ht="15.9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1" ht="15.9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ht="15.9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</row>
    <row r="111" spans="1:11" ht="15.9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</row>
    <row r="112" spans="1:11" ht="15.9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</row>
    <row r="113" spans="1:11" ht="15.9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</row>
    <row r="114" spans="1:11" ht="15.9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</row>
    <row r="115" spans="1:11" ht="15.9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</row>
    <row r="116" spans="1:11" ht="15.9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</row>
    <row r="117" spans="1:11" ht="15.95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</row>
    <row r="118" spans="1:11" ht="15.95" customHeigh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</row>
    <row r="119" spans="1:11" ht="15.95" customHeigh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1" ht="15.95" customHeigh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</row>
    <row r="121" spans="1:11" ht="15.95" customHeigh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</row>
    <row r="122" spans="1:11" ht="15.95" customHeigh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</row>
    <row r="123" spans="1:11" ht="15.95" customHeigh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</row>
    <row r="124" spans="1:11" ht="15.95" customHeigh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</row>
    <row r="125" spans="1:11" ht="15.95" customHeigh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</row>
    <row r="126" spans="1:11" ht="15.95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</row>
    <row r="127" spans="1:11" ht="15.95" customHeigh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</row>
    <row r="128" spans="1:11" ht="15.95" customHeigh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</row>
    <row r="129" spans="1:11" ht="15.95" customHeigh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</row>
    <row r="130" spans="1:11" ht="15.95" customHeigh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</row>
    <row r="131" spans="1:11" ht="15.95" customHeigh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</row>
    <row r="132" spans="1:11" ht="15.95" customHeigh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</row>
    <row r="133" spans="1:11" ht="15.95" customHeight="1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</row>
    <row r="134" spans="1:11" ht="15.95" customHeigh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</row>
    <row r="135" spans="1:11" ht="15.95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</row>
    <row r="136" spans="1:11" ht="15.95" customHeigh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</row>
    <row r="137" spans="1:11" ht="15.95" customHeigh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</row>
    <row r="138" spans="1:11" ht="15.95" customHeigh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</row>
    <row r="139" spans="1:11" ht="15.95" customHeight="1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</row>
    <row r="140" spans="1:11" ht="15.95" customHeigh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</row>
    <row r="141" spans="1:1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</row>
    <row r="142" spans="1:11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</row>
    <row r="143" spans="1:1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</row>
    <row r="144" spans="1:1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</row>
    <row r="145" spans="1:1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</row>
    <row r="146" spans="1:1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</row>
    <row r="147" spans="1:11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</row>
    <row r="148" spans="1:11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</row>
    <row r="149" spans="1:11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</row>
    <row r="150" spans="1:11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</row>
    <row r="151" spans="1:1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</row>
    <row r="152" spans="1:1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</row>
    <row r="153" spans="1:1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</row>
    <row r="154" spans="1:1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</row>
    <row r="155" spans="1:11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</row>
    <row r="156" spans="1:1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</row>
    <row r="157" spans="1:1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</row>
    <row r="158" spans="1:11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</row>
    <row r="159" spans="1:1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</row>
    <row r="160" spans="1:1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</row>
    <row r="161" spans="1:1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1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</row>
    <row r="163" spans="1:11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</row>
    <row r="164" spans="1:1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</row>
    <row r="165" spans="1:11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</row>
    <row r="166" spans="1:1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</row>
    <row r="167" spans="1:1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</row>
    <row r="168" spans="1:1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</row>
    <row r="169" spans="1:11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</row>
    <row r="170" spans="1:11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</row>
    <row r="171" spans="1:11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</row>
    <row r="172" spans="1:11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</row>
    <row r="173" spans="1:1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</row>
    <row r="174" spans="1:11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</row>
    <row r="175" spans="1:11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</row>
    <row r="176" spans="1:1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</row>
    <row r="177" spans="1:1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</row>
    <row r="179" spans="1:11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</row>
    <row r="180" spans="1:11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</row>
    <row r="181" spans="1:11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</row>
    <row r="182" spans="1:11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</row>
    <row r="183" spans="1:11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</row>
    <row r="184" spans="1:1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</row>
    <row r="185" spans="1:1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</row>
    <row r="186" spans="1:11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</row>
    <row r="187" spans="1:11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</row>
    <row r="188" spans="1:1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</row>
    <row r="189" spans="1:1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</row>
    <row r="190" spans="1:11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</row>
    <row r="191" spans="1:11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</row>
    <row r="192" spans="1:11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</row>
    <row r="193" spans="1:11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</row>
    <row r="194" spans="1:11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</row>
    <row r="195" spans="1:11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</row>
    <row r="196" spans="1:11">
      <c r="A196" s="113"/>
      <c r="B196" s="113"/>
      <c r="C196" s="113"/>
      <c r="D196" s="113"/>
      <c r="E196" s="113"/>
      <c r="F196" s="113"/>
      <c r="G196" s="113"/>
      <c r="H196" s="113"/>
    </row>
    <row r="197" spans="1:11">
      <c r="A197" s="113"/>
      <c r="B197" s="113"/>
      <c r="C197" s="113"/>
      <c r="D197" s="113"/>
      <c r="E197" s="113"/>
      <c r="F197" s="113"/>
      <c r="G197" s="113"/>
      <c r="H197" s="113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topLeftCell="A33" workbookViewId="0">
      <selection activeCell="J34" sqref="J3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4"/>
      <c r="C1" s="346" t="str">
        <f>Index!$C$1</f>
        <v>Loney Family Super Fund</v>
      </c>
      <c r="D1" s="346"/>
      <c r="E1" s="346"/>
      <c r="F1" s="55"/>
      <c r="H1" s="57" t="s">
        <v>2</v>
      </c>
      <c r="I1" s="57" t="s">
        <v>3</v>
      </c>
    </row>
    <row r="2" spans="1:12" ht="18">
      <c r="A2" s="121" t="s">
        <v>4</v>
      </c>
      <c r="B2" s="54"/>
      <c r="C2" s="346" t="str">
        <f>Index!$C$2</f>
        <v>LONJ</v>
      </c>
      <c r="D2" s="346"/>
      <c r="E2" s="346"/>
      <c r="F2" s="56"/>
      <c r="G2" s="60" t="s">
        <v>6</v>
      </c>
      <c r="H2" s="61" t="str">
        <f>Index!$H$2</f>
        <v>DB</v>
      </c>
      <c r="I2" s="62">
        <f>Index!$I$2</f>
        <v>44971</v>
      </c>
    </row>
    <row r="3" spans="1:12" ht="18">
      <c r="A3" s="121" t="s">
        <v>8</v>
      </c>
      <c r="B3" s="54"/>
      <c r="C3" s="347">
        <f>Index!$C$3</f>
        <v>44742</v>
      </c>
      <c r="D3" s="346"/>
      <c r="E3" s="346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2" ht="18">
      <c r="A4" s="121"/>
      <c r="B4" s="54"/>
      <c r="D4" s="56"/>
      <c r="E4"/>
      <c r="G4" s="122"/>
      <c r="H4" s="66"/>
      <c r="I4" s="67"/>
    </row>
    <row r="5" spans="1:12" ht="18">
      <c r="A5" s="54" t="s">
        <v>215</v>
      </c>
      <c r="C5" s="58"/>
      <c r="E5"/>
      <c r="F5" s="59"/>
      <c r="G5" s="59"/>
      <c r="H5" s="66"/>
      <c r="J5" s="67"/>
    </row>
    <row r="6" spans="1:12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8" spans="1:12" s="70" customFormat="1" ht="30">
      <c r="A8" s="135" t="s">
        <v>103</v>
      </c>
      <c r="B8" s="348" t="s">
        <v>104</v>
      </c>
      <c r="C8" s="349"/>
      <c r="D8" s="350"/>
      <c r="E8" s="136" t="s">
        <v>105</v>
      </c>
      <c r="F8" s="348" t="s">
        <v>153</v>
      </c>
      <c r="G8" s="357"/>
      <c r="H8" s="358"/>
    </row>
    <row r="10" spans="1:12">
      <c r="D10" s="385" t="s">
        <v>143</v>
      </c>
      <c r="E10" s="385"/>
      <c r="F10" s="385"/>
    </row>
    <row r="11" spans="1:12" ht="45">
      <c r="D11" s="111" t="s">
        <v>216</v>
      </c>
      <c r="E11" s="179" t="s">
        <v>217</v>
      </c>
      <c r="F11" s="179" t="s">
        <v>86</v>
      </c>
      <c r="H11" t="s">
        <v>218</v>
      </c>
      <c r="J11" s="179" t="s">
        <v>219</v>
      </c>
      <c r="K11" s="179" t="s">
        <v>220</v>
      </c>
      <c r="L11" s="179" t="s">
        <v>221</v>
      </c>
    </row>
    <row r="12" spans="1:12">
      <c r="A12" s="72"/>
      <c r="B12" s="72"/>
      <c r="E12" s="71"/>
    </row>
    <row r="13" spans="1:12">
      <c r="A13" t="s">
        <v>222</v>
      </c>
      <c r="B13" s="72"/>
      <c r="C13" t="s">
        <v>223</v>
      </c>
      <c r="D13" s="262"/>
      <c r="E13" s="94">
        <f>+H13-D13</f>
        <v>0</v>
      </c>
      <c r="F13" s="94">
        <f>+D13+E13</f>
        <v>0</v>
      </c>
      <c r="G13" s="94"/>
      <c r="H13" s="94">
        <f>SUM(J13:K13)/2</f>
        <v>0</v>
      </c>
      <c r="I13" s="94"/>
      <c r="J13" s="262"/>
      <c r="K13" s="262"/>
      <c r="L13" s="112"/>
    </row>
    <row r="14" spans="1:12">
      <c r="A14" t="s">
        <v>224</v>
      </c>
      <c r="B14" s="72"/>
      <c r="C14" t="s">
        <v>225</v>
      </c>
      <c r="D14" s="262"/>
      <c r="E14" s="94">
        <f>+H14-D14</f>
        <v>0</v>
      </c>
      <c r="F14" s="94">
        <f>+D14+E14</f>
        <v>0</v>
      </c>
      <c r="G14" s="94"/>
      <c r="H14" s="94">
        <f>SUM(J14:K14)/2</f>
        <v>0</v>
      </c>
      <c r="I14" s="94"/>
      <c r="J14" s="262"/>
      <c r="K14" s="262"/>
      <c r="L14" s="112"/>
    </row>
    <row r="15" spans="1:12">
      <c r="A15" t="s">
        <v>226</v>
      </c>
      <c r="B15" s="72"/>
      <c r="C15" t="s">
        <v>227</v>
      </c>
      <c r="D15" s="262"/>
      <c r="E15" s="94">
        <f>+H15-D15</f>
        <v>0</v>
      </c>
      <c r="F15" s="94">
        <f>+D15+E15</f>
        <v>0</v>
      </c>
      <c r="G15" s="94"/>
      <c r="H15" s="94">
        <f>SUM(J15:K15)/2</f>
        <v>0</v>
      </c>
      <c r="I15" s="94"/>
      <c r="J15" s="262"/>
      <c r="K15" s="262"/>
      <c r="L15" s="112"/>
    </row>
    <row r="17" spans="1:8" ht="15.75" thickBot="1">
      <c r="D17" s="110">
        <f>SUM(D13:D16)</f>
        <v>0</v>
      </c>
      <c r="E17" s="110">
        <f>SUM(E13:E16)</f>
        <v>0</v>
      </c>
      <c r="F17" s="110">
        <f>SUM(F13:F16)</f>
        <v>0</v>
      </c>
      <c r="H17" s="110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FBC9D2DC-4118-4448-8C98-C6BBEEB27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2023-02-14T02:42:24Z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