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9. Expenses\Property\River St\"/>
    </mc:Choice>
  </mc:AlternateContent>
  <xr:revisionPtr revIDLastSave="0" documentId="13_ncr:1_{24A7B5DA-75B5-4F6E-93B4-1103AC85AF0D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2021" sheetId="2" r:id="rId1"/>
    <sheet name="2020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" l="1"/>
  <c r="Q33" i="2"/>
  <c r="Q32" i="2"/>
  <c r="Q29" i="2"/>
  <c r="Q28" i="2"/>
  <c r="Q25" i="2"/>
  <c r="Q21" i="2"/>
  <c r="Q23" i="2"/>
  <c r="Q14" i="2"/>
  <c r="Q16" i="2" s="1"/>
  <c r="M15" i="2"/>
  <c r="M16" i="2" s="1"/>
  <c r="F16" i="2"/>
  <c r="G16" i="2"/>
  <c r="H16" i="2"/>
  <c r="I16" i="2"/>
  <c r="J16" i="2"/>
  <c r="K16" i="2"/>
  <c r="L16" i="2"/>
  <c r="N16" i="2"/>
  <c r="O16" i="2"/>
  <c r="P16" i="2"/>
  <c r="F34" i="2"/>
  <c r="G34" i="2"/>
  <c r="H34" i="2"/>
  <c r="I34" i="2"/>
  <c r="I48" i="2" s="1"/>
  <c r="I49" i="2" s="1"/>
  <c r="J34" i="2"/>
  <c r="J48" i="2" s="1"/>
  <c r="J49" i="2" s="1"/>
  <c r="K34" i="2"/>
  <c r="K49" i="2" s="1"/>
  <c r="L34" i="2"/>
  <c r="L48" i="2" s="1"/>
  <c r="L49" i="2" s="1"/>
  <c r="N34" i="2"/>
  <c r="N48" i="2" s="1"/>
  <c r="O34" i="2"/>
  <c r="O49" i="2" s="1"/>
  <c r="P34" i="2"/>
  <c r="P36" i="2" s="1"/>
  <c r="L36" i="2"/>
  <c r="N36" i="2"/>
  <c r="E30" i="2"/>
  <c r="Q30" i="2" s="1"/>
  <c r="E24" i="2"/>
  <c r="E22" i="2"/>
  <c r="Q22" i="2" s="1"/>
  <c r="M30" i="2"/>
  <c r="M27" i="2"/>
  <c r="Q27" i="2" s="1"/>
  <c r="M24" i="2"/>
  <c r="Q24" i="2" s="1"/>
  <c r="E31" i="2"/>
  <c r="Q31" i="2" s="1"/>
  <c r="E28" i="2"/>
  <c r="O27" i="2"/>
  <c r="E26" i="2"/>
  <c r="Q26" i="2" s="1"/>
  <c r="E16" i="2"/>
  <c r="H42" i="1"/>
  <c r="H45" i="1" s="1"/>
  <c r="I37" i="1"/>
  <c r="H37" i="1"/>
  <c r="E37" i="1"/>
  <c r="I42" i="1"/>
  <c r="G42" i="1"/>
  <c r="F42" i="1"/>
  <c r="E42" i="1"/>
  <c r="D42" i="1"/>
  <c r="J41" i="1"/>
  <c r="J40" i="1"/>
  <c r="G37" i="1"/>
  <c r="D37" i="1"/>
  <c r="F36" i="1"/>
  <c r="J36" i="1" s="1"/>
  <c r="F35" i="1"/>
  <c r="J39" i="1"/>
  <c r="J34" i="1"/>
  <c r="J33" i="1"/>
  <c r="J32" i="1"/>
  <c r="J31" i="1"/>
  <c r="J30" i="1"/>
  <c r="J29" i="1"/>
  <c r="J28" i="1"/>
  <c r="F14" i="1"/>
  <c r="J14" i="1" s="1"/>
  <c r="J15" i="1"/>
  <c r="M34" i="2" l="1"/>
  <c r="K36" i="2"/>
  <c r="E34" i="2"/>
  <c r="H48" i="2"/>
  <c r="H49" i="2" s="1"/>
  <c r="G45" i="1"/>
  <c r="I45" i="1"/>
  <c r="J36" i="2"/>
  <c r="N49" i="2"/>
  <c r="Q34" i="2"/>
  <c r="Q36" i="2" s="1"/>
  <c r="O36" i="2"/>
  <c r="I36" i="2"/>
  <c r="H36" i="2"/>
  <c r="G36" i="2"/>
  <c r="F36" i="2"/>
  <c r="E36" i="2"/>
  <c r="F37" i="1"/>
  <c r="F45" i="1" s="1"/>
  <c r="D45" i="1"/>
  <c r="E45" i="1"/>
  <c r="J35" i="1"/>
  <c r="J37" i="1" s="1"/>
  <c r="J42" i="1"/>
  <c r="I17" i="1"/>
  <c r="H17" i="1"/>
  <c r="G17" i="1"/>
  <c r="F17" i="1"/>
  <c r="E17" i="1"/>
  <c r="D17" i="1"/>
  <c r="J17" i="1"/>
  <c r="J20" i="1" s="1"/>
  <c r="E43" i="2" l="1"/>
  <c r="E42" i="2"/>
  <c r="E45" i="2" s="1"/>
  <c r="J45" i="1"/>
  <c r="M49" i="2"/>
  <c r="M36" i="2"/>
</calcChain>
</file>

<file path=xl/sharedStrings.xml><?xml version="1.0" encoding="utf-8"?>
<sst xmlns="http://schemas.openxmlformats.org/spreadsheetml/2006/main" count="99" uniqueCount="61">
  <si>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</si>
  <si>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</si>
  <si>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</si>
  <si>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</si>
  <si>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</si>
  <si>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</si>
  <si>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</si>
  <si>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</si>
  <si>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</si>
  <si>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</si>
  <si>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</si>
  <si>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</si>
  <si>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Heigan Superannuation Fund</t>
  </si>
  <si>
    <t>Gross Rent</t>
  </si>
  <si>
    <t>Mgt Fees</t>
  </si>
  <si>
    <t>R&amp;M</t>
  </si>
  <si>
    <t>Net Rent</t>
  </si>
  <si>
    <t>Admin Fees</t>
  </si>
  <si>
    <t>Relet Fee</t>
  </si>
  <si>
    <t>Rent w/held</t>
  </si>
  <si>
    <t>RENT RECON - LLOYD ST</t>
  </si>
  <si>
    <t>1907 &amp; 1908 (same period)</t>
  </si>
  <si>
    <t>Stmt number</t>
  </si>
  <si>
    <t>net cash banked</t>
  </si>
  <si>
    <t>variance</t>
  </si>
  <si>
    <t>Property agent has issued two annual statements - there appears to have been a change in software</t>
  </si>
  <si>
    <t>this statement does  not reconcile to the monthly statements - see below</t>
  </si>
  <si>
    <t>Reconciliation to monthly statements</t>
  </si>
  <si>
    <t>Reconcilation to annual rent statements</t>
  </si>
  <si>
    <t>Total</t>
  </si>
  <si>
    <t>Variance</t>
  </si>
  <si>
    <t>Notes</t>
  </si>
  <si>
    <t>Assume error on FY report</t>
  </si>
  <si>
    <t>RENT RECON - RIVER ST</t>
  </si>
  <si>
    <t>Date Period</t>
  </si>
  <si>
    <t>Financial Year</t>
  </si>
  <si>
    <t>Cleaning</t>
  </si>
  <si>
    <t>Rates</t>
  </si>
  <si>
    <t>Insurance</t>
  </si>
  <si>
    <t>Body Corporate (Strata)</t>
  </si>
  <si>
    <t>Water Usage</t>
  </si>
  <si>
    <t xml:space="preserve">Tenant Pay Outgoing </t>
  </si>
  <si>
    <t>Funds w/held</t>
  </si>
  <si>
    <t>J &amp; M The Superannuation Fund</t>
  </si>
  <si>
    <t>CM</t>
  </si>
  <si>
    <t>Rent</t>
  </si>
  <si>
    <t>Outgoings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</si>
  <si>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</si>
  <si>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</si>
  <si>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</si>
  <si>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</si>
  <si>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</si>
  <si>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</si>
  <si>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>Less: GST</t>
  </si>
  <si>
    <t>Net rent per accounts</t>
  </si>
  <si>
    <t>Net expense per accounts</t>
  </si>
  <si>
    <t>looks like property agent is not coding the GST on strata levies correctly - GST is not 1/11th</t>
  </si>
  <si>
    <t>GST on expenses per agent annual stmt</t>
  </si>
  <si>
    <t>Gross Rent per above</t>
  </si>
  <si>
    <t>Plus rent rec'd on property settlement</t>
  </si>
  <si>
    <t xml:space="preserve">looks like property agent is not coding the GST on R&amp;M correctly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</si>
</sst>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0" fontId="8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4" fontId="0" fillId="0" borderId="0" xfId="0" applyNumberFormat="1"/>
    <xf numFmtId="44" fontId="3" fillId="0" borderId="3" xfId="1" applyFont="1" applyBorder="1" applyAlignment="1">
      <alignment horizontal="center" vertical="center" wrapText="1"/>
    </xf>
    <xf numFmtId="44" fontId="0" fillId="0" borderId="6" xfId="0" applyNumberFormat="1" applyBorder="1"/>
    <xf numFmtId="44" fontId="0" fillId="0" borderId="0" xfId="1" applyFont="1" applyFill="1"/>
    <xf numFmtId="0" fontId="0" fillId="0" borderId="0" xfId="0" applyFill="1"/>
    <xf numFmtId="44" fontId="0" fillId="0" borderId="0" xfId="1" applyFont="1" applyFill="1" applyBorder="1"/>
    <xf numFmtId="44" fontId="0" fillId="0" borderId="7" xfId="1" applyFont="1" applyBorder="1"/>
    <xf numFmtId="0" fontId="0" fillId="0" borderId="7" xfId="0" applyBorder="1"/>
    <xf numFmtId="44" fontId="0" fillId="0" borderId="7" xfId="1" applyFont="1" applyFill="1" applyBorder="1"/>
    <xf numFmtId="43" fontId="0" fillId="0" borderId="7" xfId="3" applyFont="1" applyBorder="1"/>
    <xf numFmtId="44" fontId="0" fillId="0" borderId="0" xfId="1" applyFont="1" applyBorder="1"/>
    <xf numFmtId="43" fontId="0" fillId="0" borderId="0" xfId="3" applyFont="1" applyBorder="1"/>
    <xf numFmtId="44" fontId="9" fillId="0" borderId="0" xfId="0" applyNumberFormat="1" applyFont="1"/>
    <xf numFmtId="44" fontId="9" fillId="0" borderId="0" xfId="1" applyFont="1"/>
    <xf numFmtId="0" fontId="9" fillId="0" borderId="0" xfId="0" applyFont="1"/>
    <xf numFmtId="44" fontId="8" fillId="0" borderId="6" xfId="1" applyFont="1" applyBorder="1"/>
    <xf numFmtId="0" fontId="0" fillId="0" borderId="0" xfId="0" applyFill="1" applyBorder="1" applyAlignment="1">
      <alignment horizontal="center"/>
    </xf>
    <xf numFmtId="14" fontId="0" fillId="0" borderId="0" xfId="0" applyNumberFormat="1"/>
    <xf numFmtId="44" fontId="0" fillId="2" borderId="0" xfId="1" applyFont="1" applyFill="1"/>
    <xf numFmtId="0" fontId="8" fillId="0" borderId="0" xfId="0" applyFont="1" applyAlignment="1">
      <alignment horizontal="center" wrapText="1"/>
    </xf>
    <xf numFmtId="44" fontId="8" fillId="0" borderId="0" xfId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4" fontId="10" fillId="0" borderId="0" xfId="0" applyNumberFormat="1" applyFont="1"/>
    <xf numFmtId="44" fontId="10" fillId="0" borderId="0" xfId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/>
    </xf>
  </cellXfs>
  <cellStyles count="5">
    <cellStyle name="Comma" xfId="3" builtinId="3"/>
    <cellStyle name="Currency" xfId="1" builtinId="4"/>
    <cellStyle name="Currency 2" xfId="4" xr:uid="{A1CEE939-CCA8-4B2D-8049-087825E02162}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96B3-0563-422E-AA17-9F48BE2D8B20}">
  <dimension ref="A1:S52"/>
  <sheetViews>
    <sheetView tabSelected="1" topLeftCell="A23" zoomScaleNormal="100" workbookViewId="0">
      <selection activeCell="A53" sqref="A53"/>
    </sheetView>
  </sheetViews>
  <sheetFormatPr defaultRowHeight="15" x14ac:dyDescent="0.25"/>
  <cols>
    <col min="1" max="1" width="11.85546875" customWidth="1"/>
    <col min="2" max="2" width="7" customWidth="1"/>
    <col min="3" max="4" width="14.42578125" customWidth="1"/>
    <col min="5" max="5" width="16.7109375" customWidth="1"/>
    <col min="6" max="6" width="14.7109375" customWidth="1"/>
    <col min="7" max="7" width="20" bestFit="1" customWidth="1"/>
    <col min="8" max="8" width="14.7109375" customWidth="1"/>
    <col min="9" max="9" width="15.5703125" style="13" customWidth="1"/>
    <col min="10" max="14" width="15.7109375" style="13" customWidth="1"/>
    <col min="15" max="15" width="14.28515625" customWidth="1"/>
    <col min="16" max="16" width="15.7109375" customWidth="1"/>
    <col min="17" max="17" width="20.85546875" customWidth="1"/>
    <col min="18" max="18" width="14.42578125" customWidth="1"/>
    <col min="19" max="19" width="10.5703125" bestFit="1" customWidth="1"/>
  </cols>
  <sheetData>
    <row r="1" spans="1:18" ht="18" x14ac:dyDescent="0.25">
      <c r="A1" s="1" t="s">
        <v>0</v>
      </c>
      <c r="B1" s="2" t="s">
        <v>43</v>
      </c>
      <c r="C1" s="3"/>
      <c r="D1" s="3"/>
      <c r="E1" s="4"/>
      <c r="F1" s="4"/>
      <c r="G1" s="4"/>
      <c r="H1" s="4"/>
      <c r="I1" s="5"/>
      <c r="J1" s="5"/>
      <c r="K1" s="5"/>
      <c r="L1" s="5"/>
      <c r="M1" s="5"/>
      <c r="N1" s="5"/>
      <c r="P1" s="6" t="s">
        <v>1</v>
      </c>
      <c r="Q1" s="6"/>
    </row>
    <row r="2" spans="1:18" ht="18" x14ac:dyDescent="0.25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P2" s="10" t="s">
        <v>2</v>
      </c>
      <c r="Q2" s="10" t="s">
        <v>3</v>
      </c>
    </row>
    <row r="3" spans="1:18" ht="18" x14ac:dyDescent="0.25">
      <c r="A3" s="11" t="s">
        <v>33</v>
      </c>
      <c r="C3" s="12"/>
      <c r="D3" s="12"/>
      <c r="O3" s="14" t="s">
        <v>4</v>
      </c>
      <c r="P3" s="15" t="s">
        <v>44</v>
      </c>
      <c r="Q3" s="16"/>
    </row>
    <row r="4" spans="1:18" ht="18" x14ac:dyDescent="0.25">
      <c r="A4" s="17" t="s">
        <v>5</v>
      </c>
      <c r="C4" s="18">
        <v>44377</v>
      </c>
      <c r="D4" s="18"/>
      <c r="E4" s="11"/>
      <c r="F4" s="11"/>
      <c r="G4" s="11"/>
      <c r="H4" s="11"/>
      <c r="I4" s="19"/>
      <c r="J4" s="19"/>
      <c r="K4" s="19"/>
      <c r="L4" s="19"/>
      <c r="M4" s="19"/>
      <c r="N4" s="19"/>
      <c r="O4" s="14" t="s">
        <v>6</v>
      </c>
      <c r="P4" s="15" t="s">
        <v>11</v>
      </c>
      <c r="Q4" s="16">
        <v>44503</v>
      </c>
    </row>
    <row r="5" spans="1:18" ht="18" x14ac:dyDescent="0.25">
      <c r="E5" s="11"/>
      <c r="F5" s="11"/>
      <c r="G5" s="11"/>
      <c r="H5" s="11"/>
      <c r="I5" s="19"/>
      <c r="J5" s="19"/>
      <c r="K5" s="19"/>
      <c r="L5" s="19"/>
      <c r="M5" s="19"/>
      <c r="N5" s="19"/>
      <c r="O5" s="20"/>
      <c r="P5" s="21"/>
      <c r="Q5" s="22"/>
    </row>
    <row r="7" spans="1:18" s="25" customFormat="1" ht="25.5" x14ac:dyDescent="0.25">
      <c r="A7" s="23" t="s">
        <v>7</v>
      </c>
      <c r="B7" s="56" t="s">
        <v>8</v>
      </c>
      <c r="C7" s="57"/>
      <c r="D7" s="57"/>
      <c r="E7" s="57"/>
      <c r="F7" s="57"/>
      <c r="G7" s="57"/>
      <c r="H7" s="58"/>
      <c r="I7" s="24" t="s">
        <v>9</v>
      </c>
      <c r="J7" s="33"/>
      <c r="K7" s="33"/>
      <c r="L7" s="33"/>
      <c r="M7" s="33"/>
      <c r="N7" s="33"/>
      <c r="O7" s="56" t="s">
        <v>10</v>
      </c>
      <c r="P7" s="59"/>
      <c r="Q7" s="60"/>
    </row>
    <row r="8" spans="1:18" x14ac:dyDescent="0.25">
      <c r="A8" s="26"/>
    </row>
    <row r="9" spans="1:18" x14ac:dyDescent="0.25">
      <c r="A9" s="26" t="s">
        <v>28</v>
      </c>
    </row>
    <row r="10" spans="1:18" x14ac:dyDescent="0.25">
      <c r="A10" s="26"/>
      <c r="C10" t="s">
        <v>25</v>
      </c>
    </row>
    <row r="11" spans="1:18" x14ac:dyDescent="0.25">
      <c r="A11" s="26"/>
    </row>
    <row r="12" spans="1:18" x14ac:dyDescent="0.25">
      <c r="A12" s="26"/>
      <c r="C12" s="27"/>
      <c r="D12" s="27" t="s">
        <v>34</v>
      </c>
      <c r="E12" s="28" t="s">
        <v>13</v>
      </c>
      <c r="F12" s="28" t="s">
        <v>40</v>
      </c>
      <c r="G12" s="28" t="s">
        <v>41</v>
      </c>
      <c r="H12" s="28" t="s">
        <v>17</v>
      </c>
      <c r="I12" s="29" t="s">
        <v>14</v>
      </c>
      <c r="J12" s="30" t="s">
        <v>18</v>
      </c>
      <c r="K12" s="30" t="s">
        <v>39</v>
      </c>
      <c r="L12" s="30" t="s">
        <v>38</v>
      </c>
      <c r="M12" s="30" t="s">
        <v>37</v>
      </c>
      <c r="N12" s="30" t="s">
        <v>36</v>
      </c>
      <c r="O12" s="30" t="s">
        <v>15</v>
      </c>
      <c r="P12" s="31" t="s">
        <v>42</v>
      </c>
      <c r="Q12" s="30" t="s">
        <v>16</v>
      </c>
      <c r="R12" s="26"/>
    </row>
    <row r="13" spans="1:18" x14ac:dyDescent="0.25">
      <c r="D13" s="27" t="s">
        <v>35</v>
      </c>
      <c r="J13"/>
      <c r="K13"/>
      <c r="L13"/>
      <c r="M13"/>
      <c r="N13"/>
      <c r="Q13" s="36"/>
      <c r="R13" s="36"/>
    </row>
    <row r="14" spans="1:18" s="36" customFormat="1" x14ac:dyDescent="0.25">
      <c r="C14" s="21"/>
      <c r="D14" s="48">
        <v>1</v>
      </c>
      <c r="E14" s="37">
        <v>66396</v>
      </c>
      <c r="F14" s="37">
        <v>156.75</v>
      </c>
      <c r="G14" s="37">
        <v>566.17999999999995</v>
      </c>
      <c r="H14" s="37">
        <v>23.1</v>
      </c>
      <c r="I14" s="37">
        <v>3328.41</v>
      </c>
      <c r="J14" s="35"/>
      <c r="K14" s="35">
        <v>6568.24</v>
      </c>
      <c r="L14" s="35">
        <v>662.76</v>
      </c>
      <c r="M14" s="35">
        <v>-515</v>
      </c>
      <c r="N14" s="35">
        <v>1626</v>
      </c>
      <c r="O14" s="35">
        <v>440</v>
      </c>
      <c r="Q14" s="35">
        <f>SUM(E14:G14)-SUM(H14:P15)</f>
        <v>53367.989999999991</v>
      </c>
    </row>
    <row r="15" spans="1:18" s="36" customFormat="1" x14ac:dyDescent="0.25">
      <c r="C15" s="21"/>
      <c r="D15" s="21"/>
      <c r="E15" s="35"/>
      <c r="F15" s="35"/>
      <c r="G15" s="35"/>
      <c r="H15" s="35"/>
      <c r="I15" s="35"/>
      <c r="J15" s="35"/>
      <c r="K15" s="35"/>
      <c r="L15" s="35"/>
      <c r="M15" s="35">
        <f>2267.93-1030</f>
        <v>1237.9299999999998</v>
      </c>
      <c r="N15" s="35"/>
      <c r="O15" s="35">
        <v>379.5</v>
      </c>
      <c r="P15" s="35"/>
      <c r="Q15" s="35"/>
    </row>
    <row r="16" spans="1:18" ht="15.75" thickBot="1" x14ac:dyDescent="0.3">
      <c r="E16" s="34">
        <f t="shared" ref="E16:P16" si="0">SUM(E14:E15)</f>
        <v>66396</v>
      </c>
      <c r="F16" s="34">
        <f t="shared" si="0"/>
        <v>156.75</v>
      </c>
      <c r="G16" s="34">
        <f t="shared" si="0"/>
        <v>566.17999999999995</v>
      </c>
      <c r="H16" s="34">
        <f t="shared" si="0"/>
        <v>23.1</v>
      </c>
      <c r="I16" s="34">
        <f t="shared" si="0"/>
        <v>3328.41</v>
      </c>
      <c r="J16" s="34">
        <f t="shared" si="0"/>
        <v>0</v>
      </c>
      <c r="K16" s="34">
        <f t="shared" si="0"/>
        <v>6568.24</v>
      </c>
      <c r="L16" s="34">
        <f t="shared" si="0"/>
        <v>662.76</v>
      </c>
      <c r="M16" s="34">
        <f t="shared" si="0"/>
        <v>722.92999999999984</v>
      </c>
      <c r="N16" s="34">
        <f t="shared" si="0"/>
        <v>1626</v>
      </c>
      <c r="O16" s="34">
        <f t="shared" si="0"/>
        <v>819.5</v>
      </c>
      <c r="P16" s="34">
        <f t="shared" si="0"/>
        <v>0</v>
      </c>
      <c r="Q16" s="34">
        <f>SUM(Q14:Q15)</f>
        <v>53367.989999999991</v>
      </c>
    </row>
    <row r="17" spans="1:19" ht="15.75" thickTop="1" x14ac:dyDescent="0.25"/>
    <row r="18" spans="1:19" x14ac:dyDescent="0.25">
      <c r="A18" t="s">
        <v>27</v>
      </c>
    </row>
    <row r="19" spans="1:19" x14ac:dyDescent="0.25">
      <c r="E19" s="61" t="s">
        <v>45</v>
      </c>
      <c r="F19" s="61"/>
      <c r="G19" s="61"/>
      <c r="H19" s="61" t="s">
        <v>46</v>
      </c>
      <c r="I19" s="61"/>
      <c r="J19" s="61"/>
      <c r="K19" s="61"/>
      <c r="L19" s="61"/>
      <c r="M19" s="61"/>
      <c r="N19" s="61"/>
      <c r="O19" s="61"/>
    </row>
    <row r="20" spans="1:19" ht="30" x14ac:dyDescent="0.25">
      <c r="B20" t="s">
        <v>31</v>
      </c>
      <c r="C20" s="28" t="s">
        <v>22</v>
      </c>
      <c r="D20" s="27" t="s">
        <v>34</v>
      </c>
      <c r="E20" s="51" t="s">
        <v>47</v>
      </c>
      <c r="F20" s="51" t="s">
        <v>48</v>
      </c>
      <c r="G20" s="51" t="s">
        <v>49</v>
      </c>
      <c r="H20" s="51" t="s">
        <v>50</v>
      </c>
      <c r="I20" s="52" t="s">
        <v>51</v>
      </c>
      <c r="J20" s="53" t="s">
        <v>18</v>
      </c>
      <c r="K20" s="53" t="s">
        <v>39</v>
      </c>
      <c r="L20" s="53" t="s">
        <v>52</v>
      </c>
      <c r="M20" s="53" t="s">
        <v>37</v>
      </c>
      <c r="N20" s="53" t="s">
        <v>36</v>
      </c>
      <c r="O20" s="53" t="s">
        <v>15</v>
      </c>
      <c r="P20" s="31" t="s">
        <v>42</v>
      </c>
      <c r="Q20" s="30" t="s">
        <v>16</v>
      </c>
    </row>
    <row r="21" spans="1:19" x14ac:dyDescent="0.25">
      <c r="C21">
        <v>1</v>
      </c>
      <c r="D21" s="49">
        <v>44074</v>
      </c>
      <c r="E21" s="13">
        <v>0</v>
      </c>
      <c r="F21" s="13"/>
      <c r="G21" s="13"/>
      <c r="Q21" s="50">
        <f t="shared" ref="Q21:Q33" si="1">SUM(E21:G21)-SUM(H21:P21)</f>
        <v>0</v>
      </c>
    </row>
    <row r="22" spans="1:19" x14ac:dyDescent="0.25">
      <c r="C22">
        <v>2</v>
      </c>
      <c r="D22" s="49">
        <v>44104</v>
      </c>
      <c r="E22" s="13">
        <f>5500+5500+5500</f>
        <v>16500</v>
      </c>
      <c r="F22" s="13"/>
      <c r="G22" s="13">
        <v>566.17999999999995</v>
      </c>
      <c r="H22" s="13">
        <v>3.3</v>
      </c>
      <c r="I22" s="13">
        <v>825</v>
      </c>
      <c r="L22" s="13">
        <v>662.76</v>
      </c>
      <c r="M22" s="13">
        <v>566.17999999999995</v>
      </c>
      <c r="O22" s="13"/>
      <c r="P22" s="13"/>
      <c r="Q22" s="50">
        <f>SUM(E22:G22)-SUM(H22:P22)</f>
        <v>15008.94</v>
      </c>
    </row>
    <row r="23" spans="1:19" x14ac:dyDescent="0.25">
      <c r="C23">
        <v>3</v>
      </c>
      <c r="D23" s="49">
        <v>44135</v>
      </c>
      <c r="E23" s="13">
        <v>5500</v>
      </c>
      <c r="F23" s="13"/>
      <c r="G23" s="13"/>
      <c r="H23" s="13">
        <v>3.3</v>
      </c>
      <c r="I23" s="13">
        <v>275</v>
      </c>
      <c r="O23" s="13"/>
      <c r="P23" s="13"/>
      <c r="Q23" s="50">
        <f t="shared" si="1"/>
        <v>5221.7</v>
      </c>
    </row>
    <row r="24" spans="1:19" x14ac:dyDescent="0.25">
      <c r="C24">
        <v>4</v>
      </c>
      <c r="D24" s="49">
        <v>44165</v>
      </c>
      <c r="E24" s="13">
        <f>5500</f>
        <v>5500</v>
      </c>
      <c r="F24" s="13">
        <v>52.25</v>
      </c>
      <c r="G24" s="13"/>
      <c r="H24" s="13"/>
      <c r="I24" s="13">
        <v>277.87</v>
      </c>
      <c r="K24" s="13">
        <v>2030.74</v>
      </c>
      <c r="M24" s="13">
        <f>567.25-515</f>
        <v>52.25</v>
      </c>
      <c r="O24" s="13"/>
      <c r="P24" s="13"/>
      <c r="Q24" s="50">
        <f t="shared" si="1"/>
        <v>3191.39</v>
      </c>
    </row>
    <row r="25" spans="1:19" x14ac:dyDescent="0.25">
      <c r="B25" s="46"/>
      <c r="C25">
        <v>5</v>
      </c>
      <c r="D25" s="49">
        <v>44196</v>
      </c>
      <c r="E25" s="13">
        <v>5500</v>
      </c>
      <c r="F25" s="13"/>
      <c r="G25" s="13"/>
      <c r="H25" s="13">
        <v>3.3</v>
      </c>
      <c r="I25" s="13">
        <v>275</v>
      </c>
      <c r="N25" s="13">
        <v>500</v>
      </c>
      <c r="O25" s="13"/>
      <c r="P25" s="13"/>
      <c r="Q25" s="50">
        <f t="shared" si="1"/>
        <v>4721.7</v>
      </c>
    </row>
    <row r="26" spans="1:19" x14ac:dyDescent="0.25">
      <c r="B26" s="46"/>
      <c r="C26">
        <v>6</v>
      </c>
      <c r="D26" s="49">
        <v>44225</v>
      </c>
      <c r="E26" s="13">
        <f>5544+132</f>
        <v>5676</v>
      </c>
      <c r="F26" s="13"/>
      <c r="G26" s="13"/>
      <c r="H26" s="13">
        <v>3.3</v>
      </c>
      <c r="I26" s="13">
        <v>283.8</v>
      </c>
      <c r="K26" s="13">
        <v>2018.75</v>
      </c>
      <c r="O26" s="35"/>
      <c r="P26" s="13"/>
      <c r="Q26" s="50">
        <f t="shared" si="1"/>
        <v>3370.15</v>
      </c>
    </row>
    <row r="27" spans="1:19" x14ac:dyDescent="0.25">
      <c r="B27" s="46"/>
      <c r="C27">
        <v>7</v>
      </c>
      <c r="D27" s="49">
        <v>44255</v>
      </c>
      <c r="E27" s="13"/>
      <c r="F27" s="13">
        <v>52.25</v>
      </c>
      <c r="G27" s="13"/>
      <c r="H27" s="13">
        <v>3.3</v>
      </c>
      <c r="I27" s="13">
        <v>2.87</v>
      </c>
      <c r="M27" s="13">
        <f>-515</f>
        <v>-515</v>
      </c>
      <c r="O27" s="35">
        <f>181.5+361.9</f>
        <v>543.4</v>
      </c>
      <c r="P27" s="35">
        <v>17.68</v>
      </c>
      <c r="Q27" s="50">
        <f t="shared" si="1"/>
        <v>0</v>
      </c>
    </row>
    <row r="28" spans="1:19" x14ac:dyDescent="0.25">
      <c r="B28" s="46"/>
      <c r="C28">
        <v>8</v>
      </c>
      <c r="D28" s="49">
        <v>44286</v>
      </c>
      <c r="E28" s="13">
        <f>5544+5544</f>
        <v>11088</v>
      </c>
      <c r="F28" s="13"/>
      <c r="G28" s="13"/>
      <c r="H28" s="13">
        <v>3.3</v>
      </c>
      <c r="I28" s="13">
        <v>554.4</v>
      </c>
      <c r="K28" s="13">
        <v>500</v>
      </c>
      <c r="M28" s="13">
        <v>567.25</v>
      </c>
      <c r="N28" s="13">
        <v>99</v>
      </c>
      <c r="O28" s="35"/>
      <c r="P28" s="35">
        <v>-17.68</v>
      </c>
      <c r="Q28" s="50">
        <f t="shared" si="1"/>
        <v>9381.73</v>
      </c>
      <c r="S28" s="32"/>
    </row>
    <row r="29" spans="1:19" x14ac:dyDescent="0.25">
      <c r="B29" s="46"/>
      <c r="C29">
        <v>9</v>
      </c>
      <c r="D29" s="49">
        <v>44315</v>
      </c>
      <c r="E29" s="13"/>
      <c r="F29" s="13"/>
      <c r="G29" s="13"/>
      <c r="H29" s="13"/>
      <c r="O29" s="35"/>
      <c r="P29" s="13"/>
      <c r="Q29" s="50">
        <f t="shared" si="1"/>
        <v>0</v>
      </c>
    </row>
    <row r="30" spans="1:19" x14ac:dyDescent="0.25">
      <c r="B30" s="46"/>
      <c r="C30">
        <v>10</v>
      </c>
      <c r="D30" s="49">
        <v>44347</v>
      </c>
      <c r="E30" s="13">
        <f>5544</f>
        <v>5544</v>
      </c>
      <c r="F30" s="13">
        <v>52.25</v>
      </c>
      <c r="G30" s="13"/>
      <c r="H30" s="13">
        <v>3.3</v>
      </c>
      <c r="I30" s="13">
        <v>280.07</v>
      </c>
      <c r="M30" s="13">
        <f>567.25-515</f>
        <v>52.25</v>
      </c>
      <c r="N30" s="13">
        <v>297</v>
      </c>
      <c r="O30" s="35">
        <v>78.099999999999994</v>
      </c>
      <c r="P30" s="35">
        <v>561.08000000000004</v>
      </c>
      <c r="Q30" s="50">
        <f t="shared" si="1"/>
        <v>4324.45</v>
      </c>
    </row>
    <row r="31" spans="1:19" x14ac:dyDescent="0.25">
      <c r="B31" s="46"/>
      <c r="C31">
        <v>11</v>
      </c>
      <c r="D31" s="49">
        <v>44377</v>
      </c>
      <c r="E31" s="13">
        <f>5544+5544</f>
        <v>11088</v>
      </c>
      <c r="F31" s="13"/>
      <c r="G31" s="13"/>
      <c r="H31" s="13"/>
      <c r="I31" s="13">
        <v>554.4</v>
      </c>
      <c r="K31" s="13">
        <v>2018.75</v>
      </c>
      <c r="N31" s="13">
        <v>730</v>
      </c>
      <c r="O31" s="35">
        <v>198</v>
      </c>
      <c r="P31" s="35">
        <v>-561.08000000000004</v>
      </c>
      <c r="Q31" s="50">
        <f t="shared" si="1"/>
        <v>8147.93</v>
      </c>
    </row>
    <row r="32" spans="1:19" x14ac:dyDescent="0.25">
      <c r="B32" s="4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3"/>
      <c r="P32" s="26"/>
      <c r="Q32" s="50">
        <f t="shared" si="1"/>
        <v>0</v>
      </c>
    </row>
    <row r="33" spans="1:18" x14ac:dyDescent="0.25">
      <c r="B33" s="46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41"/>
      <c r="P33" s="39"/>
      <c r="Q33" s="50">
        <f t="shared" si="1"/>
        <v>0</v>
      </c>
      <c r="R33" s="32"/>
    </row>
    <row r="34" spans="1:18" ht="15.75" thickBot="1" x14ac:dyDescent="0.3">
      <c r="E34" s="47">
        <f>SUM(E21:E33)</f>
        <v>66396</v>
      </c>
      <c r="F34" s="47">
        <f t="shared" ref="F34:P34" si="2">SUM(F21:F33)</f>
        <v>156.75</v>
      </c>
      <c r="G34" s="47">
        <f t="shared" si="2"/>
        <v>566.17999999999995</v>
      </c>
      <c r="H34" s="47">
        <f t="shared" si="2"/>
        <v>23.1</v>
      </c>
      <c r="I34" s="47">
        <f t="shared" si="2"/>
        <v>3328.41</v>
      </c>
      <c r="J34" s="47">
        <f t="shared" si="2"/>
        <v>0</v>
      </c>
      <c r="K34" s="47">
        <f t="shared" si="2"/>
        <v>6568.24</v>
      </c>
      <c r="L34" s="47">
        <f t="shared" si="2"/>
        <v>662.76</v>
      </c>
      <c r="M34" s="47">
        <f t="shared" si="2"/>
        <v>722.93</v>
      </c>
      <c r="N34" s="47">
        <f t="shared" si="2"/>
        <v>1626</v>
      </c>
      <c r="O34" s="47">
        <f t="shared" si="2"/>
        <v>819.5</v>
      </c>
      <c r="P34" s="47">
        <f t="shared" si="2"/>
        <v>0</v>
      </c>
      <c r="Q34" s="47">
        <f>SUM(Q21:Q33)</f>
        <v>53367.99</v>
      </c>
    </row>
    <row r="35" spans="1:18" ht="15.75" thickTop="1" x14ac:dyDescent="0.25">
      <c r="E35" s="13"/>
      <c r="F35" s="13"/>
      <c r="G35" s="13"/>
      <c r="H35" s="13"/>
      <c r="Q35" s="13"/>
    </row>
    <row r="36" spans="1:18" x14ac:dyDescent="0.25">
      <c r="C36" t="s">
        <v>30</v>
      </c>
      <c r="E36" s="13">
        <f t="shared" ref="E36:P36" si="3">+E34-E16</f>
        <v>0</v>
      </c>
      <c r="F36" s="13">
        <f t="shared" si="3"/>
        <v>0</v>
      </c>
      <c r="G36" s="13">
        <f t="shared" si="3"/>
        <v>0</v>
      </c>
      <c r="H36" s="13">
        <f t="shared" si="3"/>
        <v>0</v>
      </c>
      <c r="I36" s="13">
        <f t="shared" si="3"/>
        <v>0</v>
      </c>
      <c r="J36" s="13">
        <f t="shared" si="3"/>
        <v>0</v>
      </c>
      <c r="K36" s="13">
        <f t="shared" si="3"/>
        <v>0</v>
      </c>
      <c r="L36" s="13">
        <f t="shared" si="3"/>
        <v>0</v>
      </c>
      <c r="M36" s="13">
        <f>+M34-M16</f>
        <v>0</v>
      </c>
      <c r="N36" s="13">
        <f t="shared" si="3"/>
        <v>0</v>
      </c>
      <c r="O36" s="13">
        <f t="shared" si="3"/>
        <v>0</v>
      </c>
      <c r="P36" s="13">
        <f t="shared" si="3"/>
        <v>0</v>
      </c>
      <c r="Q36" s="13">
        <f>+Q34-Q16</f>
        <v>0</v>
      </c>
      <c r="R36" t="s">
        <v>32</v>
      </c>
    </row>
    <row r="37" spans="1:18" x14ac:dyDescent="0.25">
      <c r="E37" s="13"/>
      <c r="F37" s="13"/>
      <c r="G37" s="13"/>
      <c r="H37" s="13"/>
      <c r="Q37" s="13"/>
    </row>
    <row r="38" spans="1:18" x14ac:dyDescent="0.25">
      <c r="B38" s="46"/>
      <c r="C38" s="46" t="s">
        <v>31</v>
      </c>
      <c r="D38" s="46"/>
      <c r="E38" s="46"/>
      <c r="F38" s="46"/>
      <c r="G38" s="46"/>
      <c r="H38" s="46"/>
      <c r="I38" s="45"/>
      <c r="J38" s="45"/>
      <c r="K38" s="45"/>
      <c r="L38" s="45"/>
      <c r="M38" s="45"/>
      <c r="N38" s="45"/>
    </row>
    <row r="39" spans="1:18" x14ac:dyDescent="0.25">
      <c r="B39" s="46"/>
      <c r="C39" s="46"/>
      <c r="D39" s="46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32"/>
      <c r="P39" s="32"/>
      <c r="Q39" s="32"/>
    </row>
    <row r="40" spans="1:18" x14ac:dyDescent="0.25">
      <c r="B40" s="46"/>
      <c r="C40" s="46"/>
      <c r="D40" s="46"/>
      <c r="E40" s="46"/>
      <c r="F40" s="46"/>
      <c r="G40" s="46"/>
      <c r="H40" s="46"/>
      <c r="I40" s="45"/>
      <c r="J40" s="45"/>
      <c r="K40" s="45"/>
      <c r="L40" s="45"/>
      <c r="M40" s="45"/>
      <c r="N40" s="45"/>
    </row>
    <row r="41" spans="1:18" x14ac:dyDescent="0.25">
      <c r="B41" s="46"/>
      <c r="C41" s="46"/>
      <c r="D41" s="46"/>
      <c r="E41" s="46"/>
      <c r="F41" s="46"/>
      <c r="G41" s="46"/>
      <c r="H41" s="46"/>
      <c r="I41" s="45"/>
      <c r="J41" s="45"/>
      <c r="K41" s="45"/>
      <c r="L41" s="45"/>
      <c r="M41" s="45"/>
      <c r="N41" s="45"/>
    </row>
    <row r="42" spans="1:18" x14ac:dyDescent="0.25">
      <c r="A42" t="s">
        <v>58</v>
      </c>
      <c r="B42" s="46"/>
      <c r="C42" s="46"/>
      <c r="D42" s="46"/>
      <c r="E42" s="54">
        <f>+E34+F34+G34</f>
        <v>67118.929999999993</v>
      </c>
      <c r="F42" s="46"/>
      <c r="G42" s="46"/>
      <c r="H42" s="46"/>
      <c r="I42" s="45"/>
      <c r="J42" s="45"/>
      <c r="K42" s="45"/>
      <c r="L42" s="45"/>
      <c r="M42" s="45"/>
      <c r="N42" s="45"/>
    </row>
    <row r="43" spans="1:18" x14ac:dyDescent="0.25">
      <c r="A43" t="s">
        <v>53</v>
      </c>
      <c r="B43" s="46"/>
      <c r="C43" s="46"/>
      <c r="D43" s="46"/>
      <c r="E43" s="55">
        <f>+E34/11</f>
        <v>6036</v>
      </c>
      <c r="F43" s="46"/>
      <c r="G43" s="46"/>
      <c r="H43" s="46"/>
      <c r="I43" s="45"/>
      <c r="J43" s="45"/>
      <c r="K43" s="45"/>
      <c r="L43" s="45"/>
      <c r="M43" s="45"/>
      <c r="N43" s="45"/>
    </row>
    <row r="44" spans="1:18" x14ac:dyDescent="0.25">
      <c r="A44" t="s">
        <v>59</v>
      </c>
      <c r="B44" s="46"/>
      <c r="C44" s="46"/>
      <c r="D44" s="46"/>
      <c r="E44" s="55">
        <v>1774.19</v>
      </c>
      <c r="F44" s="46"/>
      <c r="G44" s="46"/>
      <c r="H44" s="46"/>
      <c r="I44" s="45"/>
      <c r="J44" s="45"/>
      <c r="K44" s="45"/>
      <c r="L44" s="45"/>
      <c r="M44" s="45"/>
      <c r="N44" s="45"/>
    </row>
    <row r="45" spans="1:18" ht="15.75" thickBot="1" x14ac:dyDescent="0.3">
      <c r="A45" t="s">
        <v>54</v>
      </c>
      <c r="E45" s="34">
        <f>+E42-E43+E44</f>
        <v>62857.119999999995</v>
      </c>
      <c r="G45" s="32"/>
    </row>
    <row r="46" spans="1:18" ht="15.75" thickTop="1" x14ac:dyDescent="0.25"/>
    <row r="48" spans="1:18" x14ac:dyDescent="0.25">
      <c r="A48" t="s">
        <v>57</v>
      </c>
      <c r="H48" s="13">
        <f>+H34/11</f>
        <v>2.1</v>
      </c>
      <c r="I48" s="13">
        <f>+I34/11</f>
        <v>302.58272727272725</v>
      </c>
      <c r="J48" s="13">
        <f>+J34/11</f>
        <v>0</v>
      </c>
      <c r="K48" s="13">
        <v>45.45</v>
      </c>
      <c r="L48" s="13">
        <f>+L34/11</f>
        <v>60.25090909090909</v>
      </c>
      <c r="M48" s="13">
        <v>0</v>
      </c>
      <c r="N48" s="13">
        <f>+N34/11</f>
        <v>147.81818181818181</v>
      </c>
      <c r="O48" s="13">
        <f>7.1+18</f>
        <v>25.1</v>
      </c>
      <c r="P48" s="13"/>
    </row>
    <row r="49" spans="1:15" x14ac:dyDescent="0.25">
      <c r="A49" t="s">
        <v>55</v>
      </c>
      <c r="H49" s="32">
        <f t="shared" ref="H49:O49" si="4">+H34-H48</f>
        <v>21</v>
      </c>
      <c r="I49" s="32">
        <f t="shared" si="4"/>
        <v>3025.8272727272724</v>
      </c>
      <c r="J49" s="32">
        <f t="shared" si="4"/>
        <v>0</v>
      </c>
      <c r="K49" s="32">
        <f t="shared" si="4"/>
        <v>6522.79</v>
      </c>
      <c r="L49" s="32">
        <f t="shared" si="4"/>
        <v>602.5090909090909</v>
      </c>
      <c r="M49" s="32">
        <f t="shared" si="4"/>
        <v>722.93</v>
      </c>
      <c r="N49" s="32">
        <f t="shared" si="4"/>
        <v>1478.1818181818182</v>
      </c>
      <c r="O49" s="32">
        <f t="shared" si="4"/>
        <v>794.4</v>
      </c>
    </row>
    <row r="51" spans="1:15" x14ac:dyDescent="0.25">
      <c r="A51" t="s">
        <v>56</v>
      </c>
    </row>
    <row r="52" spans="1:15" x14ac:dyDescent="0.25">
      <c r="A52" t="s">
        <v>60</v>
      </c>
    </row>
  </sheetData>
  <mergeCells count="4">
    <mergeCell ref="B7:H7"/>
    <mergeCell ref="O7:Q7"/>
    <mergeCell ref="E19:G19"/>
    <mergeCell ref="H19:O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M45"/>
  <sheetViews>
    <sheetView workbookViewId="0">
      <selection activeCell="E45" sqref="E45:I45"/>
    </sheetView>
  </sheetViews>
  <sheetFormatPr defaultRowHeight="15" x14ac:dyDescent="0.25"/>
  <cols>
    <col min="1" max="1" width="11.85546875" customWidth="1"/>
    <col min="2" max="2" width="3" customWidth="1"/>
    <col min="3" max="3" width="22.42578125" customWidth="1"/>
    <col min="4" max="5" width="14.7109375" customWidth="1"/>
    <col min="6" max="7" width="15.5703125" style="13" customWidth="1"/>
    <col min="8" max="8" width="14.28515625" customWidth="1"/>
    <col min="9" max="10" width="15.7109375" customWidth="1"/>
    <col min="11" max="11" width="14.42578125" customWidth="1"/>
  </cols>
  <sheetData>
    <row r="1" spans="1:11" ht="18" x14ac:dyDescent="0.25">
      <c r="A1" s="1" t="s">
        <v>0</v>
      </c>
      <c r="B1" s="2"/>
      <c r="C1" s="3" t="s">
        <v>12</v>
      </c>
      <c r="D1" s="4"/>
      <c r="E1" s="4"/>
      <c r="F1" s="5"/>
      <c r="G1" s="5"/>
      <c r="I1" s="6" t="s">
        <v>1</v>
      </c>
      <c r="J1" s="6"/>
    </row>
    <row r="2" spans="1:11" ht="18" x14ac:dyDescent="0.25">
      <c r="A2" s="7"/>
      <c r="B2" s="8"/>
      <c r="C2" s="8"/>
      <c r="D2" s="8"/>
      <c r="E2" s="8"/>
      <c r="F2" s="9"/>
      <c r="G2" s="9"/>
      <c r="I2" s="10" t="s">
        <v>2</v>
      </c>
      <c r="J2" s="10" t="s">
        <v>3</v>
      </c>
    </row>
    <row r="3" spans="1:11" ht="18" x14ac:dyDescent="0.25">
      <c r="A3" s="11" t="s">
        <v>20</v>
      </c>
      <c r="C3" s="12"/>
      <c r="H3" s="14" t="s">
        <v>4</v>
      </c>
      <c r="I3" s="15" t="s">
        <v>11</v>
      </c>
      <c r="J3" s="16">
        <v>44082</v>
      </c>
    </row>
    <row r="4" spans="1:11" ht="18" x14ac:dyDescent="0.25">
      <c r="A4" s="17" t="s">
        <v>5</v>
      </c>
      <c r="C4" s="18">
        <v>44012</v>
      </c>
      <c r="D4" s="11"/>
      <c r="E4" s="11"/>
      <c r="F4" s="19"/>
      <c r="G4" s="19"/>
      <c r="H4" s="14" t="s">
        <v>6</v>
      </c>
      <c r="I4" s="15"/>
      <c r="J4" s="16"/>
    </row>
    <row r="5" spans="1:11" ht="18" x14ac:dyDescent="0.25">
      <c r="D5" s="11"/>
      <c r="E5" s="11"/>
      <c r="F5" s="19"/>
      <c r="G5" s="19"/>
      <c r="H5" s="20"/>
      <c r="I5" s="21"/>
      <c r="J5" s="22"/>
    </row>
    <row r="7" spans="1:11" s="25" customFormat="1" ht="25.5" x14ac:dyDescent="0.25">
      <c r="A7" s="23" t="s">
        <v>7</v>
      </c>
      <c r="B7" s="56" t="s">
        <v>8</v>
      </c>
      <c r="C7" s="57"/>
      <c r="D7" s="57"/>
      <c r="E7" s="58"/>
      <c r="F7" s="24" t="s">
        <v>9</v>
      </c>
      <c r="G7" s="33"/>
      <c r="H7" s="56" t="s">
        <v>10</v>
      </c>
      <c r="I7" s="59"/>
      <c r="J7" s="60"/>
    </row>
    <row r="8" spans="1:11" x14ac:dyDescent="0.25">
      <c r="A8" s="26"/>
    </row>
    <row r="9" spans="1:11" x14ac:dyDescent="0.25">
      <c r="A9" s="26" t="s">
        <v>28</v>
      </c>
    </row>
    <row r="10" spans="1:11" x14ac:dyDescent="0.25">
      <c r="A10" s="26"/>
      <c r="C10" t="s">
        <v>25</v>
      </c>
    </row>
    <row r="11" spans="1:11" x14ac:dyDescent="0.25">
      <c r="A11" s="26"/>
    </row>
    <row r="12" spans="1:11" x14ac:dyDescent="0.25">
      <c r="A12" s="26"/>
      <c r="C12" s="27"/>
      <c r="D12" s="28" t="s">
        <v>13</v>
      </c>
      <c r="E12" s="28" t="s">
        <v>17</v>
      </c>
      <c r="F12" s="29" t="s">
        <v>14</v>
      </c>
      <c r="G12" s="30" t="s">
        <v>18</v>
      </c>
      <c r="H12" s="30" t="s">
        <v>15</v>
      </c>
      <c r="I12" s="31" t="s">
        <v>19</v>
      </c>
      <c r="J12" s="30" t="s">
        <v>16</v>
      </c>
      <c r="K12" s="26"/>
    </row>
    <row r="13" spans="1:11" x14ac:dyDescent="0.25">
      <c r="G13"/>
      <c r="J13" s="36"/>
      <c r="K13" s="36"/>
    </row>
    <row r="14" spans="1:11" s="36" customFormat="1" x14ac:dyDescent="0.25">
      <c r="C14" s="21"/>
      <c r="D14" s="37">
        <v>11460</v>
      </c>
      <c r="E14" s="37"/>
      <c r="F14" s="37">
        <f>744.94+74.47</f>
        <v>819.41000000000008</v>
      </c>
      <c r="G14" s="35">
        <v>155</v>
      </c>
      <c r="H14" s="35"/>
      <c r="J14" s="35">
        <f>+D14-SUM(E14:I14)</f>
        <v>10485.59</v>
      </c>
    </row>
    <row r="15" spans="1:11" s="36" customFormat="1" x14ac:dyDescent="0.25">
      <c r="C15" s="21"/>
      <c r="D15" s="37">
        <v>3965</v>
      </c>
      <c r="E15" s="37"/>
      <c r="F15" s="37">
        <v>196.27</v>
      </c>
      <c r="G15" s="35"/>
      <c r="H15" s="35">
        <v>69</v>
      </c>
      <c r="J15" s="35">
        <f>+D15-SUM(E15:I15)</f>
        <v>3699.73</v>
      </c>
      <c r="K15" s="36" t="s">
        <v>26</v>
      </c>
    </row>
    <row r="16" spans="1:11" s="36" customFormat="1" x14ac:dyDescent="0.25">
      <c r="C16" s="21"/>
      <c r="D16" s="35"/>
      <c r="E16" s="35"/>
      <c r="F16" s="35"/>
      <c r="G16" s="35"/>
      <c r="H16" s="35"/>
      <c r="I16" s="35"/>
      <c r="J16" s="35"/>
    </row>
    <row r="17" spans="1:11" ht="15.75" thickBot="1" x14ac:dyDescent="0.3">
      <c r="D17" s="34">
        <f t="shared" ref="D17:J17" si="0">SUM(D14:D16)</f>
        <v>15425</v>
      </c>
      <c r="E17" s="34">
        <f t="shared" si="0"/>
        <v>0</v>
      </c>
      <c r="F17" s="34">
        <f t="shared" si="0"/>
        <v>1015.6800000000001</v>
      </c>
      <c r="G17" s="34">
        <f t="shared" si="0"/>
        <v>155</v>
      </c>
      <c r="H17" s="34">
        <f t="shared" si="0"/>
        <v>69</v>
      </c>
      <c r="I17" s="34">
        <f t="shared" si="0"/>
        <v>0</v>
      </c>
      <c r="J17" s="34">
        <f t="shared" si="0"/>
        <v>14185.32</v>
      </c>
    </row>
    <row r="18" spans="1:11" ht="15.75" thickTop="1" x14ac:dyDescent="0.25"/>
    <row r="19" spans="1:11" x14ac:dyDescent="0.25">
      <c r="J19">
        <v>14015.32</v>
      </c>
      <c r="K19" t="s">
        <v>23</v>
      </c>
    </row>
    <row r="20" spans="1:11" x14ac:dyDescent="0.25">
      <c r="J20" s="32">
        <f>+J19-J17</f>
        <v>-170</v>
      </c>
      <c r="K20" t="s">
        <v>24</v>
      </c>
    </row>
    <row r="25" spans="1:11" x14ac:dyDescent="0.25">
      <c r="A25" t="s">
        <v>27</v>
      </c>
    </row>
    <row r="27" spans="1:11" x14ac:dyDescent="0.25">
      <c r="C27" s="28" t="s">
        <v>22</v>
      </c>
      <c r="D27" s="28" t="s">
        <v>13</v>
      </c>
      <c r="E27" s="28" t="s">
        <v>17</v>
      </c>
      <c r="F27" s="29" t="s">
        <v>14</v>
      </c>
      <c r="G27" s="30" t="s">
        <v>18</v>
      </c>
      <c r="H27" s="30" t="s">
        <v>15</v>
      </c>
      <c r="I27" s="31" t="s">
        <v>19</v>
      </c>
      <c r="J27" s="30" t="s">
        <v>16</v>
      </c>
    </row>
    <row r="28" spans="1:11" x14ac:dyDescent="0.25">
      <c r="C28" t="s">
        <v>21</v>
      </c>
      <c r="D28" s="13">
        <v>1200</v>
      </c>
      <c r="F28" s="13">
        <v>85.8</v>
      </c>
      <c r="J28" s="35">
        <f>+D28-SUM(E28:I28)</f>
        <v>1114.2</v>
      </c>
    </row>
    <row r="29" spans="1:11" x14ac:dyDescent="0.25">
      <c r="C29">
        <v>1909</v>
      </c>
      <c r="D29" s="13">
        <v>1500</v>
      </c>
      <c r="E29" s="13"/>
      <c r="F29" s="13">
        <v>107.25</v>
      </c>
      <c r="H29" s="13"/>
      <c r="I29" s="13"/>
      <c r="J29" s="35">
        <f t="shared" ref="J29:J41" si="1">+D29-SUM(E29:I29)</f>
        <v>1392.75</v>
      </c>
    </row>
    <row r="30" spans="1:11" x14ac:dyDescent="0.25">
      <c r="C30">
        <v>1910</v>
      </c>
      <c r="D30" s="13">
        <v>1200</v>
      </c>
      <c r="E30" s="13"/>
      <c r="F30" s="13">
        <v>85.8</v>
      </c>
      <c r="H30" s="13"/>
      <c r="I30" s="13"/>
      <c r="J30" s="35">
        <f t="shared" si="1"/>
        <v>1114.2</v>
      </c>
    </row>
    <row r="31" spans="1:11" x14ac:dyDescent="0.25">
      <c r="C31">
        <v>1911</v>
      </c>
      <c r="D31" s="13">
        <v>1200</v>
      </c>
      <c r="E31" s="13"/>
      <c r="F31" s="13">
        <v>85.8</v>
      </c>
      <c r="H31" s="13"/>
      <c r="I31" s="13"/>
      <c r="J31" s="35">
        <f t="shared" si="1"/>
        <v>1114.2</v>
      </c>
    </row>
    <row r="32" spans="1:11" x14ac:dyDescent="0.25">
      <c r="C32">
        <v>1912</v>
      </c>
      <c r="D32" s="13">
        <v>1200</v>
      </c>
      <c r="E32" s="13"/>
      <c r="F32" s="13">
        <v>85.8</v>
      </c>
      <c r="G32" s="13">
        <v>155</v>
      </c>
      <c r="H32" s="13"/>
      <c r="I32" s="13"/>
      <c r="J32" s="35">
        <f t="shared" si="1"/>
        <v>959.2</v>
      </c>
    </row>
    <row r="33" spans="3:13" x14ac:dyDescent="0.25">
      <c r="C33">
        <v>2001</v>
      </c>
      <c r="D33" s="13">
        <v>1520</v>
      </c>
      <c r="E33" s="13"/>
      <c r="F33" s="13">
        <v>108.68</v>
      </c>
      <c r="H33" s="13"/>
      <c r="I33" s="13"/>
      <c r="J33" s="35">
        <f t="shared" si="1"/>
        <v>1411.32</v>
      </c>
    </row>
    <row r="34" spans="3:13" x14ac:dyDescent="0.25">
      <c r="C34">
        <v>2002</v>
      </c>
      <c r="D34" s="13">
        <v>1200</v>
      </c>
      <c r="E34" s="13"/>
      <c r="F34" s="13">
        <v>85.8</v>
      </c>
      <c r="H34" s="13"/>
      <c r="I34" s="13"/>
      <c r="J34" s="35">
        <f t="shared" si="1"/>
        <v>1114.2</v>
      </c>
    </row>
    <row r="35" spans="3:13" x14ac:dyDescent="0.25">
      <c r="C35">
        <v>2003</v>
      </c>
      <c r="D35" s="13">
        <v>1220</v>
      </c>
      <c r="E35" s="13"/>
      <c r="F35" s="13">
        <f>79.32+7.92</f>
        <v>87.24</v>
      </c>
      <c r="H35" s="13"/>
      <c r="I35" s="13"/>
      <c r="J35" s="35">
        <f t="shared" si="1"/>
        <v>1132.76</v>
      </c>
    </row>
    <row r="36" spans="3:13" x14ac:dyDescent="0.25">
      <c r="C36">
        <v>2004</v>
      </c>
      <c r="D36" s="38">
        <v>1220</v>
      </c>
      <c r="E36" s="38"/>
      <c r="F36" s="38">
        <f>79.32+7.92</f>
        <v>87.24</v>
      </c>
      <c r="G36" s="38"/>
      <c r="H36" s="39"/>
      <c r="I36" s="39"/>
      <c r="J36" s="40">
        <f t="shared" si="1"/>
        <v>1132.76</v>
      </c>
    </row>
    <row r="37" spans="3:13" x14ac:dyDescent="0.25">
      <c r="D37" s="13">
        <f t="shared" ref="D37:J37" si="2">SUM(D28:D36)</f>
        <v>11460</v>
      </c>
      <c r="E37" s="13">
        <f t="shared" si="2"/>
        <v>0</v>
      </c>
      <c r="F37" s="13">
        <f t="shared" si="2"/>
        <v>819.41000000000008</v>
      </c>
      <c r="G37" s="13">
        <f t="shared" si="2"/>
        <v>155</v>
      </c>
      <c r="H37" s="13">
        <f t="shared" si="2"/>
        <v>0</v>
      </c>
      <c r="I37" s="13">
        <f t="shared" si="2"/>
        <v>0</v>
      </c>
      <c r="J37" s="13">
        <f t="shared" si="2"/>
        <v>10485.59</v>
      </c>
    </row>
    <row r="38" spans="3:13" x14ac:dyDescent="0.25">
      <c r="D38" s="13"/>
      <c r="E38" s="13"/>
      <c r="J38" s="13"/>
    </row>
    <row r="39" spans="3:13" x14ac:dyDescent="0.25">
      <c r="C39">
        <v>2005</v>
      </c>
      <c r="D39" s="13">
        <v>1525</v>
      </c>
      <c r="F39" s="13">
        <v>109.04</v>
      </c>
      <c r="J39" s="35">
        <f t="shared" si="1"/>
        <v>1415.96</v>
      </c>
    </row>
    <row r="40" spans="3:13" x14ac:dyDescent="0.25">
      <c r="C40">
        <v>2006</v>
      </c>
      <c r="D40" s="13">
        <v>1220</v>
      </c>
      <c r="F40" s="13">
        <v>156.22999999999999</v>
      </c>
      <c r="J40" s="35">
        <f t="shared" si="1"/>
        <v>1063.77</v>
      </c>
    </row>
    <row r="41" spans="3:13" x14ac:dyDescent="0.25">
      <c r="D41" s="38">
        <v>1220</v>
      </c>
      <c r="E41" s="38">
        <v>22</v>
      </c>
      <c r="F41" s="38">
        <v>87.23</v>
      </c>
      <c r="G41" s="38"/>
      <c r="H41" s="38"/>
      <c r="I41" s="39"/>
      <c r="J41" s="40">
        <f t="shared" si="1"/>
        <v>1110.77</v>
      </c>
      <c r="M41" s="32"/>
    </row>
    <row r="42" spans="3:13" x14ac:dyDescent="0.25">
      <c r="D42" s="32">
        <f t="shared" ref="D42:J42" si="3">SUM(D39:D41)</f>
        <v>3965</v>
      </c>
      <c r="E42" s="32">
        <f t="shared" si="3"/>
        <v>22</v>
      </c>
      <c r="F42" s="32">
        <f t="shared" si="3"/>
        <v>352.5</v>
      </c>
      <c r="G42" s="32">
        <f t="shared" si="3"/>
        <v>0</v>
      </c>
      <c r="H42" s="32">
        <f t="shared" si="3"/>
        <v>0</v>
      </c>
      <c r="I42" s="32">
        <f t="shared" si="3"/>
        <v>0</v>
      </c>
      <c r="J42" s="32">
        <f t="shared" si="3"/>
        <v>3590.5</v>
      </c>
    </row>
    <row r="45" spans="3:13" x14ac:dyDescent="0.25">
      <c r="C45" t="s">
        <v>29</v>
      </c>
      <c r="D45" s="32">
        <f t="shared" ref="D45:J45" si="4">+D42+D37</f>
        <v>15425</v>
      </c>
      <c r="E45" s="32">
        <f t="shared" si="4"/>
        <v>22</v>
      </c>
      <c r="F45" s="32">
        <f t="shared" si="4"/>
        <v>1171.9100000000001</v>
      </c>
      <c r="G45" s="32">
        <f t="shared" si="4"/>
        <v>155</v>
      </c>
      <c r="H45" s="32">
        <f t="shared" si="4"/>
        <v>0</v>
      </c>
      <c r="I45" s="32">
        <f t="shared" si="4"/>
        <v>0</v>
      </c>
      <c r="J45" s="32">
        <f t="shared" si="4"/>
        <v>14076.09</v>
      </c>
    </row>
  </sheetData>
  <mergeCells count="2">
    <mergeCell ref="B7:E7"/>
    <mergeCell ref="H7:J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2021-11-15T00:25:41Z</dcterms:modified>
</cp:coreProperties>
</file>