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A Super Doc's/Templates/Workpaper templates/"/>
    </mc:Choice>
  </mc:AlternateContent>
  <xr:revisionPtr revIDLastSave="863" documentId="8_{7DABB9F9-DAC7-48AF-95BF-A766060AAE59}" xr6:coauthVersionLast="47" xr6:coauthVersionMax="47" xr10:uidLastSave="{F3F9ECEC-936A-4624-B081-3A58F5C8698B}"/>
  <bookViews>
    <workbookView xWindow="28680" yWindow="-120" windowWidth="29040" windowHeight="15840" tabRatio="716" activeTab="14" xr2:uid="{306213DB-740E-49D0-A494-BE82EF870239}"/>
  </bookViews>
  <sheets>
    <sheet name="Index" sheetId="2" r:id="rId1"/>
    <sheet name="Min Pension" sheetId="3" r:id="rId2"/>
    <sheet name="PAYG &amp; GST Instal" sheetId="4" state="hidden" r:id="rId3"/>
    <sheet name="GST Rec" sheetId="10" r:id="rId4"/>
    <sheet name="Investment Recon" sheetId="8" r:id="rId5"/>
    <sheet name="Related UT " sheetId="14" state="hidden" r:id="rId6"/>
    <sheet name="Property Valn" sheetId="12" state="hidden" r:id="rId7"/>
    <sheet name="Debtors" sheetId="13" r:id="rId8"/>
    <sheet name="Creditors" sheetId="11" state="hidden" r:id="rId9"/>
    <sheet name="Distbn Income " sheetId="7" r:id="rId10"/>
    <sheet name="Foreign Div" sheetId="9" state="hidden" r:id="rId11"/>
    <sheet name="Rental Income" sheetId="15" state="hidden" r:id="rId12"/>
    <sheet name="Acc fees" sheetId="6" r:id="rId13"/>
    <sheet name="Advisor Fees" sheetId="5" r:id="rId14"/>
    <sheet name="Cash Reconciliation" sheetId="16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5" l="1"/>
  <c r="G18" i="5"/>
  <c r="G12" i="5"/>
  <c r="F15" i="7"/>
  <c r="I16" i="8"/>
  <c r="F16" i="8"/>
  <c r="F13" i="8"/>
  <c r="I3" i="16"/>
  <c r="H3" i="16"/>
  <c r="C3" i="16"/>
  <c r="I2" i="16"/>
  <c r="H2" i="16"/>
  <c r="C2" i="16"/>
  <c r="C1" i="16"/>
  <c r="F9" i="16"/>
  <c r="K14" i="5"/>
  <c r="K13" i="5"/>
  <c r="E32" i="7"/>
  <c r="E28" i="7"/>
  <c r="E40" i="7"/>
  <c r="E43" i="7"/>
  <c r="E44" i="7" s="1"/>
  <c r="D32" i="7"/>
  <c r="D27" i="7"/>
  <c r="J20" i="3"/>
  <c r="K16" i="5"/>
  <c r="H13" i="9"/>
  <c r="E13" i="13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11" i="3"/>
  <c r="I20" i="3" s="1"/>
  <c r="I22" i="3" s="1"/>
  <c r="D11" i="3"/>
  <c r="D20" i="3" s="1"/>
  <c r="D23" i="3" s="1"/>
  <c r="D24" i="3" s="1"/>
  <c r="K10" i="3"/>
  <c r="K11" i="3" s="1"/>
  <c r="K20" i="3" s="1"/>
  <c r="J10" i="3"/>
  <c r="J11" i="3" s="1"/>
  <c r="F10" i="3"/>
  <c r="F11" i="3" s="1"/>
  <c r="F20" i="3" s="1"/>
  <c r="E10" i="3"/>
  <c r="E11" i="3" s="1"/>
  <c r="E20" i="3" s="1"/>
  <c r="D13" i="15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E22" i="3" l="1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G3" i="7"/>
  <c r="F3" i="7"/>
  <c r="C3" i="7"/>
  <c r="G2" i="7"/>
  <c r="F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3" i="13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32" i="8"/>
  <c r="E32" i="8"/>
  <c r="G30" i="8"/>
  <c r="G29" i="8"/>
  <c r="G28" i="8"/>
  <c r="G27" i="8"/>
  <c r="G32" i="8" l="1"/>
  <c r="F17" i="8" s="1"/>
  <c r="F18" i="8" s="1"/>
  <c r="I18" i="8" s="1"/>
  <c r="D43" i="7" l="1"/>
  <c r="D40" i="7"/>
  <c r="F38" i="7"/>
  <c r="F37" i="7"/>
  <c r="F36" i="7"/>
  <c r="F35" i="7"/>
  <c r="F33" i="7"/>
  <c r="I27" i="7" s="1"/>
  <c r="K27" i="7" s="1"/>
  <c r="F31" i="7"/>
  <c r="F30" i="7"/>
  <c r="J29" i="7"/>
  <c r="F29" i="7"/>
  <c r="F28" i="7"/>
  <c r="F27" i="7"/>
  <c r="I18" i="7" s="1"/>
  <c r="K18" i="7" s="1"/>
  <c r="F26" i="7"/>
  <c r="I15" i="7" s="1"/>
  <c r="K15" i="7" s="1"/>
  <c r="K25" i="7"/>
  <c r="F25" i="7"/>
  <c r="K24" i="7"/>
  <c r="F24" i="7"/>
  <c r="F23" i="7"/>
  <c r="F22" i="7"/>
  <c r="F21" i="7"/>
  <c r="F20" i="7"/>
  <c r="F19" i="7"/>
  <c r="F18" i="7"/>
  <c r="F17" i="7"/>
  <c r="F16" i="7"/>
  <c r="F14" i="7"/>
  <c r="I26" i="7" l="1"/>
  <c r="K26" i="7" s="1"/>
  <c r="F40" i="7"/>
  <c r="I14" i="7" s="1"/>
  <c r="I21" i="7"/>
  <c r="K21" i="7" s="1"/>
  <c r="I17" i="7"/>
  <c r="K17" i="7" s="1"/>
  <c r="I23" i="7"/>
  <c r="K23" i="7" s="1"/>
  <c r="I22" i="7"/>
  <c r="K22" i="7" s="1"/>
  <c r="F32" i="7"/>
  <c r="I16" i="7"/>
  <c r="K16" i="7" s="1"/>
  <c r="I20" i="7"/>
  <c r="K20" i="7" s="1"/>
  <c r="I19" i="7"/>
  <c r="K19" i="7" s="1"/>
  <c r="D44" i="7"/>
  <c r="K14" i="7" l="1"/>
  <c r="I29" i="7"/>
  <c r="K29" i="7"/>
  <c r="G28" i="6"/>
  <c r="I28" i="6" s="1"/>
  <c r="G27" i="6"/>
  <c r="F23" i="6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3" i="6" l="1"/>
  <c r="G21" i="5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G22" i="5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<sst xmlns="http://schemas.openxmlformats.org/spreadsheetml/2006/main" count="620" uniqueCount="350">
  <si>
    <t>Client</t>
  </si>
  <si>
    <t>LOXTON SUPERANNUATION FUND</t>
  </si>
  <si>
    <t>Initials</t>
  </si>
  <si>
    <t>Date</t>
  </si>
  <si>
    <t>Client Code</t>
  </si>
  <si>
    <t>LOXA</t>
  </si>
  <si>
    <t xml:space="preserve">Prep by: </t>
  </si>
  <si>
    <t>Nehal.A</t>
  </si>
  <si>
    <t>18/11/2022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</si>
  <si>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</si>
  <si>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</si>
  <si>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</si>
  <si>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</si>
  <si>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</si>
  <si>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</si>
  <si>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</si>
  <si>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</si>
  <si>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</si>
  <si>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</si>
  <si>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</si>
  <si>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</si>
  <si>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</si>
  <si>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</si>
  <si>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</si>
  <si>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</si>
  <si>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</si>
  <si>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</si>
  <si>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 xml:space="preserve">individual trustees 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</si>
  <si>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</si>
  <si>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</si>
  <si>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</si>
  <si>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</si>
  <si>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</si>
  <si>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</si>
  <si>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</si>
  <si>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</si>
  <si>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</si>
  <si>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</si>
  <si>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</si>
  <si>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</si>
  <si>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</si>
  <si>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</si>
  <si>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</si>
  <si>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</si>
  <si>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</si>
  <si>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</si>
  <si>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</si>
  <si>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</si>
  <si>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</si>
  <si>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</si>
  <si>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</si>
  <si>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</si>
  <si>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</si>
  <si>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</si>
  <si>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</si>
  <si>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</si>
  <si>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</si>
  <si>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</si>
  <si>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</si>
  <si>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</si>
  <si>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</si>
  <si>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</si>
  <si>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</si>
  <si>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</si>
  <si>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</si>
  <si>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</si>
  <si>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</si>
  <si>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</si>
  <si>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</si>
  <si>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</si>
  <si>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</si>
  <si>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</si>
  <si>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</si>
  <si>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</si>
  <si>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</si>
  <si>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</si>
  <si>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</si>
  <si>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</si>
  <si>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</si>
  <si>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</si>
  <si>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</si>
  <si>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</si>
  <si>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Alan Loxton</t>
  </si>
  <si>
    <t>Glenda Loxton</t>
  </si>
  <si>
    <t>Fund Total Min Pension</t>
  </si>
  <si>
    <t>Date of Birth:</t>
  </si>
  <si>
    <t>Total</t>
  </si>
  <si>
    <t>Age as at 01/07/2022:</t>
  </si>
  <si>
    <t>Pension Date:</t>
  </si>
  <si>
    <t>Penion A/c No:</t>
  </si>
  <si>
    <t>LOXALA00001P</t>
  </si>
  <si>
    <t>LOXGLE00002A</t>
  </si>
  <si>
    <t>LOXGLE00004P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</si>
  <si>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</si>
  <si>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</si>
  <si>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</si>
  <si>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</si>
  <si>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</si>
  <si>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</si>
  <si>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</si>
  <si>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</si>
  <si>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</si>
  <si>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</si>
  <si>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</si>
  <si>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</si>
  <si>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</si>
  <si>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</si>
  <si>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</si>
  <si>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</si>
  <si>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</si>
  <si>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</si>
  <si>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</si>
  <si>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</si>
  <si>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</si>
  <si>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</si>
  <si>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</si>
  <si>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</si>
  <si>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</si>
  <si>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</si>
  <si>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</si>
  <si>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</si>
  <si>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</si>
  <si>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</si>
  <si>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</si>
  <si>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</si>
  <si>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</si>
  <si>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</si>
  <si>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</si>
  <si>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</si>
  <si>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</si>
  <si>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</si>
  <si>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</si>
  <si>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</si>
  <si>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</si>
  <si>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</si>
  <si>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</si>
  <si>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</si>
  <si>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</si>
  <si>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</si>
  <si>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</si>
  <si>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</si>
  <si>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</si>
  <si>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</si>
  <si>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</si>
  <si>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</si>
  <si>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</si>
  <si>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</si>
  <si>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</si>
  <si>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</si>
  <si>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</si>
  <si>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</si>
  <si>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</si>
  <si>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</si>
  <si>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</si>
  <si>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</si>
  <si>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</si>
  <si>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INVESTMENT RECONCILIATION</t>
  </si>
  <si>
    <t>Notes or Comments</t>
  </si>
  <si>
    <t>Market value per BT Portfolio Valuation report</t>
  </si>
  <si>
    <t>This is the managed funds total - not the full protfolio val'n total</t>
  </si>
  <si>
    <t>Market Value per Charter Hall Direct PFA</t>
  </si>
  <si>
    <t xml:space="preserve">Total Market Value as per external Reports </t>
  </si>
  <si>
    <t>Market value per accounts</t>
  </si>
  <si>
    <t>Variance - not material</t>
  </si>
  <si>
    <t>Variance % =</t>
  </si>
  <si>
    <t xml:space="preserve">Add back BT Variance </t>
  </si>
  <si>
    <t xml:space="preserve">Total Variance 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</si>
  <si>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</si>
  <si>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</si>
  <si>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</si>
  <si>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</si>
  <si>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</si>
  <si>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</si>
  <si>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</si>
  <si>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</si>
  <si>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</si>
  <si>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DFA0008AU</t>
  </si>
  <si>
    <t>DFA0015AU</t>
  </si>
  <si>
    <t>DFA0006AU</t>
  </si>
  <si>
    <t>DFA0007AU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</si>
  <si>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</si>
  <si>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</si>
  <si>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</si>
  <si>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</si>
  <si>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</si>
  <si>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</si>
  <si>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</si>
  <si>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</si>
  <si>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</si>
  <si>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</si>
  <si>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</si>
  <si>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</si>
  <si>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</si>
  <si>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</si>
  <si>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</si>
  <si>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</si>
  <si>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</si>
  <si>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</si>
  <si>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</si>
  <si>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</si>
  <si>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</si>
  <si>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</si>
  <si>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</si>
  <si>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</si>
  <si>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</si>
  <si>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</si>
  <si>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</si>
  <si>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 xml:space="preserve">Charter Hall - PFA </t>
  </si>
  <si>
    <t>CREDITORS</t>
  </si>
  <si>
    <t>ACCOUNTING FEES</t>
  </si>
  <si>
    <t>BT Panorama</t>
  </si>
  <si>
    <t>Charter</t>
  </si>
  <si>
    <t>Hall PFA</t>
  </si>
  <si>
    <t>Per calc</t>
  </si>
  <si>
    <t>Per BGL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</si>
  <si>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</si>
  <si>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</si>
  <si>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</si>
  <si>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</si>
  <si>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</si>
  <si>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</si>
  <si>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</si>
  <si>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</si>
  <si>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</si>
  <si>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</si>
  <si>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</si>
  <si>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</si>
  <si>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</si>
  <si>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</si>
  <si>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</si>
  <si>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</si>
  <si>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</si>
  <si>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</si>
  <si>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</si>
  <si>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</si>
  <si>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</si>
  <si>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</si>
  <si>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</si>
  <si>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</si>
  <si>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</si>
  <si>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</si>
  <si>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</si>
  <si>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 xml:space="preserve">Rounding </t>
  </si>
  <si>
    <t>Tax deferred</t>
  </si>
  <si>
    <t>FTC - CG</t>
  </si>
  <si>
    <t>Non cash attributions</t>
  </si>
  <si>
    <t>AMIT cost base adj</t>
  </si>
  <si>
    <t>Total cash distribution</t>
  </si>
  <si>
    <t>CHECK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</si>
  <si>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</si>
  <si>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</si>
  <si>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</si>
  <si>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</si>
  <si>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</si>
  <si>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</si>
  <si>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</si>
  <si>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</si>
  <si>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</si>
  <si>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</si>
  <si>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</si>
  <si>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</si>
  <si>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</si>
  <si>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</si>
  <si>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</si>
  <si>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</si>
  <si>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</si>
  <si>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</si>
  <si>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</si>
  <si>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</si>
  <si>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</si>
  <si>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</si>
  <si>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</si>
  <si>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</si>
  <si>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</si>
  <si>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</si>
  <si>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</si>
  <si>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</si>
  <si>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</si>
  <si>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</si>
  <si>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</si>
  <si>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</si>
  <si>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</si>
  <si>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</si>
  <si>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</si>
  <si>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</si>
  <si>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</si>
  <si>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</si>
  <si>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</si>
  <si>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</si>
  <si>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</si>
  <si>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</si>
  <si>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</si>
  <si>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</si>
  <si>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</si>
  <si>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</si>
  <si>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</si>
  <si>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</si>
  <si>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</si>
  <si>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</si>
  <si>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</si>
  <si>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</si>
  <si>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</si>
  <si>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</si>
  <si>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</si>
  <si>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</si>
  <si>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</si>
  <si>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</si>
  <si>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</si>
  <si>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</si>
  <si>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</si>
  <si>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</si>
  <si>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</si>
  <si>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23/06/2022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</si>
  <si>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</si>
  <si>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</si>
  <si>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</si>
  <si>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</si>
  <si>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</si>
  <si>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</si>
  <si>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</si>
  <si>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</si>
  <si>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</si>
  <si>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</si>
  <si>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</si>
  <si>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</si>
  <si>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</si>
  <si>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</si>
  <si>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</si>
  <si>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</si>
  <si>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</si>
  <si>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</si>
  <si>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</si>
  <si>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</si>
  <si>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</si>
  <si>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</si>
  <si>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</si>
  <si>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</si>
  <si>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</si>
  <si>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</si>
  <si>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</si>
  <si>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</si>
  <si>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</si>
  <si>
    <t xml:space="preserve">Matched to  BGL </t>
  </si>
  <si>
    <t xml:space="preserve">Accounts as per BGL </t>
  </si>
  <si>
    <t xml:space="preserve">BGL Acc Balance </t>
  </si>
  <si>
    <t>BT Bank Statement</t>
  </si>
  <si>
    <t xml:space="preserve">Variance </t>
  </si>
  <si>
    <t xml:space="preserve">Comments </t>
  </si>
  <si>
    <t>BTA36275300</t>
  </si>
  <si>
    <t xml:space="preserve">Confirmed to BT Account statement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</si>
</sst>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36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166" fontId="0" fillId="0" borderId="26" xfId="7" applyFont="1" applyBorder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3" fillId="0" borderId="76" xfId="0" applyFont="1" applyBorder="1"/>
    <xf numFmtId="166" fontId="3" fillId="0" borderId="76" xfId="0" applyNumberFormat="1" applyFont="1" applyBorder="1"/>
    <xf numFmtId="166" fontId="3" fillId="0" borderId="76" xfId="1" applyFont="1" applyBorder="1"/>
    <xf numFmtId="0" fontId="3" fillId="0" borderId="76" xfId="0" applyFont="1" applyBorder="1" applyAlignment="1">
      <alignment horizontal="center"/>
    </xf>
    <xf numFmtId="0" fontId="0" fillId="0" borderId="77" xfId="0" applyBorder="1"/>
    <xf numFmtId="0" fontId="3" fillId="0" borderId="78" xfId="0" applyFont="1" applyBorder="1"/>
    <xf numFmtId="166" fontId="30" fillId="5" borderId="0" xfId="8" applyNumberFormat="1" applyFont="1" applyFill="1"/>
    <xf numFmtId="165" fontId="3" fillId="0" borderId="29" xfId="2" applyFont="1" applyBorder="1"/>
    <xf numFmtId="165" fontId="3" fillId="0" borderId="0" xfId="2" applyFont="1" applyBorder="1"/>
    <xf numFmtId="165" fontId="2" fillId="0" borderId="29" xfId="2" applyFont="1" applyBorder="1"/>
    <xf numFmtId="165" fontId="0" fillId="0" borderId="31" xfId="2" applyFont="1" applyBorder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482564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opLeftCell="A43" workbookViewId="0">
      <selection activeCell="E64" sqref="E6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28515625" bestFit="1" customWidth="1"/>
  </cols>
  <sheetData>
    <row r="1" spans="1:9" ht="18">
      <c r="A1" s="119" t="s">
        <v>0</v>
      </c>
      <c r="B1" s="122"/>
      <c r="C1" s="120" t="s">
        <v>1</v>
      </c>
      <c r="F1" s="55"/>
      <c r="H1" s="57" t="s">
        <v>2</v>
      </c>
      <c r="I1" s="57" t="s">
        <v>3</v>
      </c>
    </row>
    <row r="2" spans="1:9" ht="18">
      <c r="A2" s="119" t="s">
        <v>4</v>
      </c>
      <c r="B2" s="123"/>
      <c r="C2" s="120" t="s">
        <v>5</v>
      </c>
      <c r="D2" s="54"/>
      <c r="E2" s="54"/>
      <c r="F2" s="56"/>
      <c r="G2" s="60" t="s">
        <v>6</v>
      </c>
      <c r="H2" s="61" t="s">
        <v>7</v>
      </c>
      <c r="I2" s="62" t="s">
        <v>8</v>
      </c>
    </row>
    <row r="3" spans="1:9" ht="18">
      <c r="A3" s="119" t="s">
        <v>9</v>
      </c>
      <c r="B3" s="123"/>
      <c r="C3" s="121">
        <v>44742</v>
      </c>
      <c r="D3" s="54"/>
      <c r="E3" s="54"/>
      <c r="F3" s="56"/>
      <c r="G3" s="60" t="s">
        <v>10</v>
      </c>
      <c r="H3" s="61" t="s">
        <v>11</v>
      </c>
      <c r="I3" s="62">
        <v>44887</v>
      </c>
    </row>
    <row r="4" spans="1:9" ht="18">
      <c r="A4" s="124"/>
      <c r="B4" s="54"/>
      <c r="C4" s="3"/>
      <c r="D4" s="54"/>
      <c r="E4" s="54"/>
      <c r="F4" s="56"/>
    </row>
    <row r="5" spans="1:9" ht="18">
      <c r="A5" s="54" t="s">
        <v>12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13</v>
      </c>
      <c r="B7" s="6"/>
      <c r="C7" s="7"/>
      <c r="D7" s="8" t="s">
        <v>14</v>
      </c>
      <c r="E7" s="8" t="s">
        <v>15</v>
      </c>
      <c r="F7" s="284" t="s">
        <v>16</v>
      </c>
      <c r="G7" s="285"/>
      <c r="H7" s="286"/>
    </row>
    <row r="8" spans="1:9" ht="20.100000000000001" customHeight="1">
      <c r="A8" s="287" t="s">
        <v>17</v>
      </c>
      <c r="B8" s="288"/>
      <c r="C8" s="289"/>
      <c r="D8" s="223"/>
      <c r="E8" s="10" t="s">
        <v>18</v>
      </c>
      <c r="F8" s="281"/>
      <c r="G8" s="282"/>
      <c r="H8" s="283"/>
    </row>
    <row r="9" spans="1:9" ht="20.100000000000001" customHeight="1">
      <c r="A9" s="11"/>
      <c r="B9" s="12">
        <v>1</v>
      </c>
      <c r="C9" s="13" t="s">
        <v>19</v>
      </c>
      <c r="D9" s="223"/>
      <c r="E9" s="10" t="s">
        <v>18</v>
      </c>
      <c r="F9" s="281"/>
      <c r="G9" s="282"/>
      <c r="H9" s="283"/>
    </row>
    <row r="10" spans="1:9" ht="20.100000000000001" customHeight="1">
      <c r="A10" s="11"/>
      <c r="B10" s="12">
        <v>2</v>
      </c>
      <c r="C10" s="13" t="s">
        <v>20</v>
      </c>
      <c r="D10" s="223"/>
      <c r="E10" s="10" t="s">
        <v>18</v>
      </c>
      <c r="F10" s="281"/>
      <c r="G10" s="282"/>
      <c r="H10" s="283"/>
    </row>
    <row r="11" spans="1:9" ht="20.100000000000001" customHeight="1">
      <c r="A11" s="11"/>
      <c r="B11" s="12">
        <v>3</v>
      </c>
      <c r="C11" s="13" t="s">
        <v>21</v>
      </c>
      <c r="D11" s="223"/>
      <c r="E11" s="10" t="s">
        <v>18</v>
      </c>
      <c r="F11" s="281"/>
      <c r="G11" s="282"/>
      <c r="H11" s="283"/>
    </row>
    <row r="12" spans="1:9" ht="20.100000000000001" customHeight="1">
      <c r="A12" s="11"/>
      <c r="B12" s="12">
        <v>4</v>
      </c>
      <c r="C12" s="13" t="s">
        <v>22</v>
      </c>
      <c r="D12" s="223"/>
      <c r="E12" s="10" t="s">
        <v>18</v>
      </c>
      <c r="F12" s="281"/>
      <c r="G12" s="282"/>
      <c r="H12" s="283"/>
    </row>
    <row r="13" spans="1:9" ht="20.100000000000001" customHeight="1">
      <c r="A13" s="11"/>
      <c r="B13" s="12">
        <v>5</v>
      </c>
      <c r="C13" s="12" t="s">
        <v>23</v>
      </c>
      <c r="D13" s="223"/>
      <c r="E13" s="10" t="s">
        <v>18</v>
      </c>
      <c r="F13" s="281"/>
      <c r="G13" s="282"/>
      <c r="H13" s="283"/>
    </row>
    <row r="14" spans="1:9" ht="20.100000000000001" customHeight="1">
      <c r="A14" s="11"/>
      <c r="B14" s="12">
        <v>6</v>
      </c>
      <c r="C14" s="14" t="s">
        <v>24</v>
      </c>
      <c r="D14" s="223"/>
      <c r="E14" s="10" t="s">
        <v>18</v>
      </c>
      <c r="F14" s="281"/>
      <c r="G14" s="282"/>
      <c r="H14" s="283"/>
    </row>
    <row r="15" spans="1:9" ht="20.100000000000001" customHeight="1">
      <c r="A15" s="15"/>
      <c r="B15" s="16">
        <v>7</v>
      </c>
      <c r="C15" s="12" t="s">
        <v>25</v>
      </c>
      <c r="D15" s="223"/>
      <c r="E15" s="10" t="s">
        <v>18</v>
      </c>
      <c r="F15" s="281"/>
      <c r="G15" s="282"/>
      <c r="H15" s="283"/>
    </row>
    <row r="16" spans="1:9" ht="20.100000000000001" customHeight="1">
      <c r="A16" s="15"/>
      <c r="B16" s="16">
        <v>8</v>
      </c>
      <c r="C16" s="12" t="s">
        <v>26</v>
      </c>
      <c r="D16" s="223"/>
      <c r="E16" s="10"/>
      <c r="F16" s="281" t="s">
        <v>27</v>
      </c>
      <c r="G16" s="282"/>
      <c r="H16" s="283"/>
    </row>
    <row r="17" spans="1:10" ht="20.100000000000001" customHeight="1">
      <c r="A17" s="278" t="s">
        <v>28</v>
      </c>
      <c r="B17" s="279"/>
      <c r="C17" s="280"/>
      <c r="D17" s="223"/>
      <c r="E17" s="17"/>
      <c r="F17" s="281"/>
      <c r="G17" s="282"/>
      <c r="H17" s="283"/>
      <c r="J17" s="18"/>
    </row>
    <row r="18" spans="1:10" ht="20.100000000000001" customHeight="1">
      <c r="A18" s="19">
        <v>2</v>
      </c>
      <c r="B18" s="20" t="s">
        <v>29</v>
      </c>
      <c r="C18" s="21"/>
      <c r="D18" s="223"/>
      <c r="E18" s="17"/>
      <c r="F18" s="281"/>
      <c r="G18" s="282"/>
      <c r="H18" s="283"/>
    </row>
    <row r="19" spans="1:10" ht="20.100000000000001" customHeight="1">
      <c r="A19" s="22"/>
      <c r="B19" s="23"/>
      <c r="C19" s="24" t="s">
        <v>30</v>
      </c>
      <c r="D19" s="223"/>
      <c r="E19" s="10" t="s">
        <v>18</v>
      </c>
      <c r="F19" s="281"/>
      <c r="G19" s="282"/>
      <c r="H19" s="283"/>
    </row>
    <row r="20" spans="1:10" ht="20.100000000000001" customHeight="1">
      <c r="A20" s="22"/>
      <c r="B20" s="23"/>
      <c r="C20" s="24" t="s">
        <v>31</v>
      </c>
      <c r="D20" s="223"/>
      <c r="E20" s="10" t="s">
        <v>18</v>
      </c>
      <c r="F20" s="281"/>
      <c r="G20" s="282"/>
      <c r="H20" s="283"/>
    </row>
    <row r="21" spans="1:10" ht="20.100000000000001" customHeight="1">
      <c r="A21" s="11"/>
      <c r="B21" s="25"/>
      <c r="C21" s="14" t="s">
        <v>32</v>
      </c>
      <c r="D21" s="223"/>
      <c r="E21" s="10" t="s">
        <v>18</v>
      </c>
      <c r="F21" s="281"/>
      <c r="G21" s="282"/>
      <c r="H21" s="283"/>
    </row>
    <row r="22" spans="1:10" ht="20.100000000000001" customHeight="1">
      <c r="A22" s="11"/>
      <c r="B22" s="26"/>
      <c r="C22" s="14" t="s">
        <v>33</v>
      </c>
      <c r="D22" s="224" t="s">
        <v>34</v>
      </c>
      <c r="E22" s="10" t="s">
        <v>18</v>
      </c>
      <c r="F22" s="281"/>
      <c r="G22" s="282"/>
      <c r="H22" s="283"/>
    </row>
    <row r="23" spans="1:10" ht="20.100000000000001" customHeight="1">
      <c r="A23" s="19">
        <v>3</v>
      </c>
      <c r="B23" s="27" t="s">
        <v>35</v>
      </c>
      <c r="C23" s="21"/>
      <c r="D23" s="223"/>
      <c r="E23" s="17"/>
      <c r="F23" s="281"/>
      <c r="G23" s="282"/>
      <c r="H23" s="283"/>
    </row>
    <row r="24" spans="1:10" ht="20.100000000000001" customHeight="1">
      <c r="A24" s="11"/>
      <c r="B24" s="28"/>
      <c r="C24" s="14" t="s">
        <v>36</v>
      </c>
      <c r="D24" s="223"/>
      <c r="E24" s="10" t="s">
        <v>18</v>
      </c>
      <c r="F24" s="281"/>
      <c r="G24" s="282"/>
      <c r="H24" s="283"/>
    </row>
    <row r="25" spans="1:10" ht="20.100000000000001" customHeight="1">
      <c r="A25" s="19">
        <v>4</v>
      </c>
      <c r="B25" s="27" t="s">
        <v>37</v>
      </c>
      <c r="C25" s="27"/>
      <c r="D25" s="223"/>
      <c r="E25" s="10"/>
      <c r="F25" s="281"/>
      <c r="G25" s="282"/>
      <c r="H25" s="283"/>
    </row>
    <row r="26" spans="1:10" ht="20.100000000000001" customHeight="1">
      <c r="A26" s="22"/>
      <c r="B26" s="23"/>
      <c r="C26" s="24" t="s">
        <v>38</v>
      </c>
      <c r="D26" s="224" t="s">
        <v>34</v>
      </c>
      <c r="E26" s="10"/>
      <c r="F26" s="281"/>
      <c r="G26" s="282"/>
      <c r="H26" s="283"/>
    </row>
    <row r="27" spans="1:10" ht="20.100000000000001" customHeight="1">
      <c r="A27" s="11"/>
      <c r="B27" s="25"/>
      <c r="C27" s="14" t="s">
        <v>39</v>
      </c>
      <c r="D27" s="224" t="s">
        <v>34</v>
      </c>
      <c r="E27" s="10" t="s">
        <v>18</v>
      </c>
      <c r="F27" s="281"/>
      <c r="G27" s="282"/>
      <c r="H27" s="283"/>
    </row>
    <row r="28" spans="1:10" ht="20.100000000000001" customHeight="1">
      <c r="A28" s="11"/>
      <c r="B28" s="26"/>
      <c r="C28" s="14" t="s">
        <v>40</v>
      </c>
      <c r="D28" s="224" t="s">
        <v>34</v>
      </c>
      <c r="E28" s="10"/>
      <c r="F28" s="281"/>
      <c r="G28" s="282"/>
      <c r="H28" s="283"/>
    </row>
    <row r="29" spans="1:10" ht="20.100000000000001" customHeight="1">
      <c r="A29" s="11"/>
      <c r="B29" s="26"/>
      <c r="C29" s="14" t="s">
        <v>41</v>
      </c>
      <c r="D29" s="224" t="s">
        <v>34</v>
      </c>
      <c r="E29" s="10"/>
      <c r="F29" s="281"/>
      <c r="G29" s="282"/>
      <c r="H29" s="283"/>
    </row>
    <row r="30" spans="1:10" ht="20.100000000000001" customHeight="1">
      <c r="A30" s="11"/>
      <c r="B30" s="26"/>
      <c r="C30" s="14" t="s">
        <v>42</v>
      </c>
      <c r="D30" s="224" t="s">
        <v>34</v>
      </c>
      <c r="E30" s="10"/>
      <c r="F30" s="281"/>
      <c r="G30" s="282"/>
      <c r="H30" s="283"/>
    </row>
    <row r="31" spans="1:10" ht="20.100000000000001" customHeight="1">
      <c r="A31" s="19">
        <v>5</v>
      </c>
      <c r="B31" s="27" t="s">
        <v>43</v>
      </c>
      <c r="C31" s="27"/>
      <c r="D31" s="223"/>
      <c r="E31" s="10"/>
      <c r="F31" s="281"/>
      <c r="G31" s="282"/>
      <c r="H31" s="283"/>
    </row>
    <row r="32" spans="1:10" ht="20.100000000000001" customHeight="1">
      <c r="A32" s="22"/>
      <c r="B32" s="28"/>
      <c r="C32" s="14" t="s">
        <v>44</v>
      </c>
      <c r="D32" s="223"/>
      <c r="E32" s="10"/>
      <c r="F32" s="281"/>
      <c r="G32" s="282"/>
      <c r="H32" s="283"/>
    </row>
    <row r="33" spans="1:8" ht="20.100000000000001" customHeight="1">
      <c r="A33" s="11"/>
      <c r="B33" s="28"/>
      <c r="C33" s="14" t="s">
        <v>45</v>
      </c>
      <c r="D33" s="224" t="s">
        <v>34</v>
      </c>
      <c r="E33" s="10"/>
      <c r="F33" s="281"/>
      <c r="G33" s="282"/>
      <c r="H33" s="283"/>
    </row>
    <row r="34" spans="1:8" ht="20.100000000000001" customHeight="1">
      <c r="A34" s="11"/>
      <c r="B34" s="28"/>
      <c r="C34" s="14" t="s">
        <v>46</v>
      </c>
      <c r="D34" s="223"/>
      <c r="E34" s="17"/>
      <c r="F34" s="281"/>
      <c r="G34" s="282"/>
      <c r="H34" s="283"/>
    </row>
    <row r="35" spans="1:8" ht="20.100000000000001" customHeight="1">
      <c r="A35" s="11"/>
      <c r="B35" s="28"/>
      <c r="C35" s="14" t="s">
        <v>47</v>
      </c>
      <c r="D35" s="224" t="s">
        <v>34</v>
      </c>
      <c r="E35" s="10" t="s">
        <v>18</v>
      </c>
      <c r="F35" s="281"/>
      <c r="G35" s="282"/>
      <c r="H35" s="283"/>
    </row>
    <row r="36" spans="1:8" ht="20.100000000000001" customHeight="1">
      <c r="A36" s="11"/>
      <c r="B36" s="28"/>
      <c r="C36" s="14" t="s">
        <v>48</v>
      </c>
      <c r="D36" s="223"/>
      <c r="E36" s="10"/>
      <c r="F36" s="281"/>
      <c r="G36" s="282"/>
      <c r="H36" s="283"/>
    </row>
    <row r="37" spans="1:8" ht="20.100000000000001" customHeight="1">
      <c r="A37" s="11"/>
      <c r="B37" s="28"/>
      <c r="C37" s="14" t="s">
        <v>49</v>
      </c>
      <c r="D37" s="223"/>
      <c r="E37" s="17"/>
      <c r="F37" s="281"/>
      <c r="G37" s="282"/>
      <c r="H37" s="283"/>
    </row>
    <row r="38" spans="1:8" ht="20.100000000000001" customHeight="1">
      <c r="A38" s="11"/>
      <c r="B38" s="28"/>
      <c r="C38" s="14" t="s">
        <v>50</v>
      </c>
      <c r="D38" s="224" t="s">
        <v>34</v>
      </c>
      <c r="E38" s="10"/>
      <c r="F38" s="281"/>
      <c r="G38" s="282"/>
      <c r="H38" s="283"/>
    </row>
    <row r="39" spans="1:8" ht="20.100000000000001" customHeight="1">
      <c r="A39" s="19">
        <v>6</v>
      </c>
      <c r="B39" s="27" t="s">
        <v>51</v>
      </c>
      <c r="C39" s="27"/>
      <c r="D39" s="223"/>
      <c r="E39" s="10"/>
      <c r="F39" s="281"/>
      <c r="G39" s="282"/>
      <c r="H39" s="283"/>
    </row>
    <row r="40" spans="1:8" ht="20.100000000000001" customHeight="1">
      <c r="A40" s="11"/>
      <c r="B40" s="28"/>
      <c r="C40" s="14" t="s">
        <v>52</v>
      </c>
      <c r="D40" s="223"/>
      <c r="E40" s="17"/>
      <c r="F40" s="281"/>
      <c r="G40" s="282"/>
      <c r="H40" s="283"/>
    </row>
    <row r="41" spans="1:8" ht="20.100000000000001" customHeight="1">
      <c r="A41" s="11"/>
      <c r="B41" s="28"/>
      <c r="C41" s="14" t="s">
        <v>53</v>
      </c>
      <c r="D41" s="223"/>
      <c r="E41" s="17"/>
      <c r="F41" s="281"/>
      <c r="G41" s="282"/>
      <c r="H41" s="283"/>
    </row>
    <row r="42" spans="1:8" ht="20.100000000000001" customHeight="1">
      <c r="A42" s="11"/>
      <c r="B42" s="28"/>
      <c r="C42" s="14" t="s">
        <v>54</v>
      </c>
      <c r="D42" s="223"/>
      <c r="E42" s="17"/>
      <c r="F42" s="281"/>
      <c r="G42" s="282"/>
      <c r="H42" s="283"/>
    </row>
    <row r="43" spans="1:8" ht="20.100000000000001" customHeight="1">
      <c r="A43" s="11"/>
      <c r="B43" s="28"/>
      <c r="C43" s="14" t="s">
        <v>55</v>
      </c>
      <c r="D43" s="223"/>
      <c r="E43" s="10" t="s">
        <v>18</v>
      </c>
      <c r="F43" s="281"/>
      <c r="G43" s="282"/>
      <c r="H43" s="283"/>
    </row>
    <row r="44" spans="1:8" ht="20.100000000000001" customHeight="1">
      <c r="A44" s="11"/>
      <c r="B44" s="28"/>
      <c r="C44" s="14" t="s">
        <v>56</v>
      </c>
      <c r="D44" s="223"/>
      <c r="E44" s="17"/>
      <c r="F44" s="281"/>
      <c r="G44" s="282"/>
      <c r="H44" s="283"/>
    </row>
    <row r="45" spans="1:8" ht="20.100000000000001" customHeight="1">
      <c r="A45" s="11"/>
      <c r="B45" s="28"/>
      <c r="C45" s="14" t="s">
        <v>57</v>
      </c>
      <c r="D45" s="223"/>
      <c r="E45" s="10" t="s">
        <v>18</v>
      </c>
      <c r="F45" s="281"/>
      <c r="G45" s="282"/>
      <c r="H45" s="283"/>
    </row>
    <row r="46" spans="1:8" ht="20.100000000000001" customHeight="1">
      <c r="A46" s="19">
        <v>7</v>
      </c>
      <c r="B46" s="27" t="s">
        <v>58</v>
      </c>
      <c r="C46" s="27"/>
      <c r="D46" s="223"/>
      <c r="E46" s="17"/>
      <c r="F46" s="281"/>
      <c r="G46" s="282"/>
      <c r="H46" s="283"/>
    </row>
    <row r="47" spans="1:8" ht="20.100000000000001" customHeight="1">
      <c r="A47" s="11"/>
      <c r="B47" s="28"/>
      <c r="C47" s="14" t="s">
        <v>59</v>
      </c>
      <c r="D47" s="224" t="s">
        <v>34</v>
      </c>
      <c r="E47" s="29"/>
      <c r="F47" s="281"/>
      <c r="G47" s="282"/>
      <c r="H47" s="283"/>
    </row>
    <row r="48" spans="1:8" ht="20.100000000000001" customHeight="1">
      <c r="A48" s="11"/>
      <c r="B48" s="30"/>
      <c r="C48" s="14" t="s">
        <v>60</v>
      </c>
      <c r="D48" s="223"/>
      <c r="E48" s="17"/>
      <c r="F48" s="281"/>
      <c r="G48" s="282"/>
      <c r="H48" s="283"/>
    </row>
    <row r="49" spans="1:8" ht="20.100000000000001" customHeight="1">
      <c r="A49" s="19">
        <v>8</v>
      </c>
      <c r="B49" s="27" t="s">
        <v>61</v>
      </c>
      <c r="C49" s="27"/>
      <c r="D49" s="223"/>
      <c r="E49" s="17"/>
      <c r="F49" s="281"/>
      <c r="G49" s="282"/>
      <c r="H49" s="283"/>
    </row>
    <row r="50" spans="1:8" ht="20.100000000000001" customHeight="1">
      <c r="A50" s="11"/>
      <c r="B50" s="28"/>
      <c r="C50" s="24" t="s">
        <v>62</v>
      </c>
      <c r="D50" s="223"/>
      <c r="E50" s="10" t="s">
        <v>18</v>
      </c>
      <c r="F50" s="281"/>
      <c r="G50" s="282"/>
      <c r="H50" s="283"/>
    </row>
    <row r="51" spans="1:8" ht="20.100000000000001" customHeight="1">
      <c r="A51" s="11"/>
      <c r="B51" s="31"/>
      <c r="C51" s="14" t="s">
        <v>63</v>
      </c>
      <c r="D51" s="224" t="s">
        <v>34</v>
      </c>
      <c r="E51" s="10" t="s">
        <v>18</v>
      </c>
      <c r="F51" s="281"/>
      <c r="G51" s="282"/>
      <c r="H51" s="283"/>
    </row>
    <row r="52" spans="1:8" ht="20.100000000000001" customHeight="1">
      <c r="A52" s="11"/>
      <c r="B52" s="31"/>
      <c r="C52" s="24" t="s">
        <v>64</v>
      </c>
      <c r="D52" s="223"/>
      <c r="E52" s="10"/>
      <c r="F52" s="281"/>
      <c r="G52" s="282"/>
      <c r="H52" s="283"/>
    </row>
    <row r="53" spans="1:8" ht="20.100000000000001" customHeight="1">
      <c r="A53" s="11"/>
      <c r="B53" s="31"/>
      <c r="C53" s="24" t="s">
        <v>65</v>
      </c>
      <c r="D53" s="224" t="s">
        <v>34</v>
      </c>
      <c r="E53" s="10"/>
      <c r="F53" s="281"/>
      <c r="G53" s="282"/>
      <c r="H53" s="283"/>
    </row>
    <row r="54" spans="1:8" ht="20.100000000000001" customHeight="1">
      <c r="A54" s="11"/>
      <c r="B54" s="31"/>
      <c r="C54" s="24" t="s">
        <v>66</v>
      </c>
      <c r="D54" s="224" t="s">
        <v>34</v>
      </c>
      <c r="E54" s="10"/>
      <c r="F54" s="281"/>
      <c r="G54" s="282"/>
      <c r="H54" s="283"/>
    </row>
    <row r="55" spans="1:8" ht="20.100000000000001" customHeight="1">
      <c r="A55" s="11"/>
      <c r="B55" s="31"/>
      <c r="C55" s="24" t="s">
        <v>67</v>
      </c>
      <c r="D55" s="223"/>
      <c r="E55" s="10" t="s">
        <v>18</v>
      </c>
      <c r="F55" s="281"/>
      <c r="G55" s="282"/>
      <c r="H55" s="283"/>
    </row>
    <row r="56" spans="1:8" ht="20.100000000000001" customHeight="1">
      <c r="A56" s="11"/>
      <c r="B56" s="31"/>
      <c r="C56" s="24" t="s">
        <v>68</v>
      </c>
      <c r="D56" s="223"/>
      <c r="E56" s="10"/>
      <c r="F56" s="281"/>
      <c r="G56" s="282"/>
      <c r="H56" s="283"/>
    </row>
    <row r="57" spans="1:8" ht="20.100000000000001" customHeight="1">
      <c r="A57" s="11"/>
      <c r="B57" s="31"/>
      <c r="C57" s="24" t="s">
        <v>69</v>
      </c>
      <c r="D57" s="223"/>
      <c r="E57" s="10" t="s">
        <v>18</v>
      </c>
      <c r="F57" s="281"/>
      <c r="G57" s="282"/>
      <c r="H57" s="283"/>
    </row>
    <row r="58" spans="1:8" ht="20.100000000000001" customHeight="1">
      <c r="A58" s="19">
        <v>9</v>
      </c>
      <c r="B58" s="27" t="s">
        <v>70</v>
      </c>
      <c r="C58" s="27"/>
      <c r="D58" s="223"/>
      <c r="E58" s="17"/>
      <c r="F58" s="281"/>
      <c r="G58" s="282"/>
      <c r="H58" s="283"/>
    </row>
    <row r="59" spans="1:8" ht="20.100000000000001" customHeight="1">
      <c r="A59" s="32"/>
      <c r="B59" s="26"/>
      <c r="C59" s="14" t="s">
        <v>71</v>
      </c>
      <c r="D59" s="224" t="s">
        <v>34</v>
      </c>
      <c r="E59" s="10" t="s">
        <v>18</v>
      </c>
      <c r="F59" s="281"/>
      <c r="G59" s="282"/>
      <c r="H59" s="283"/>
    </row>
    <row r="60" spans="1:8" ht="20.100000000000001" customHeight="1">
      <c r="A60" s="11"/>
      <c r="B60" s="26"/>
      <c r="C60" s="14" t="s">
        <v>72</v>
      </c>
      <c r="D60" s="223"/>
      <c r="E60" s="10"/>
      <c r="F60" s="281"/>
      <c r="G60" s="282"/>
      <c r="H60" s="283"/>
    </row>
    <row r="61" spans="1:8" ht="20.100000000000001" customHeight="1">
      <c r="A61" s="11"/>
      <c r="B61" s="26"/>
      <c r="C61" s="14" t="s">
        <v>73</v>
      </c>
      <c r="D61" s="224" t="s">
        <v>34</v>
      </c>
      <c r="E61" s="10" t="s">
        <v>18</v>
      </c>
      <c r="F61" s="281"/>
      <c r="G61" s="282"/>
      <c r="H61" s="283"/>
    </row>
    <row r="62" spans="1:8" ht="20.100000000000001" customHeight="1">
      <c r="A62" s="11"/>
      <c r="B62" s="31"/>
      <c r="C62" s="24" t="s">
        <v>50</v>
      </c>
      <c r="D62" s="223"/>
      <c r="E62" s="10"/>
      <c r="F62" s="281"/>
      <c r="G62" s="282"/>
      <c r="H62" s="283"/>
    </row>
    <row r="63" spans="1:8" ht="20.100000000000001" customHeight="1">
      <c r="A63" s="19">
        <v>10</v>
      </c>
      <c r="B63" s="27" t="s">
        <v>74</v>
      </c>
      <c r="C63" s="27"/>
      <c r="D63" s="223"/>
      <c r="E63" s="17"/>
      <c r="F63" s="293"/>
      <c r="G63" s="294"/>
      <c r="H63" s="295"/>
    </row>
    <row r="64" spans="1:8" ht="20.100000000000001" customHeight="1">
      <c r="A64" s="11"/>
      <c r="B64" s="31"/>
      <c r="C64" s="24" t="s">
        <v>75</v>
      </c>
      <c r="D64" s="223"/>
      <c r="E64" s="10" t="s">
        <v>18</v>
      </c>
      <c r="F64" s="281" t="s">
        <v>76</v>
      </c>
      <c r="G64" s="282"/>
      <c r="H64" s="283"/>
    </row>
    <row r="65" spans="1:8" ht="20.100000000000001" customHeight="1">
      <c r="A65" s="19">
        <v>11</v>
      </c>
      <c r="B65" s="27" t="s">
        <v>77</v>
      </c>
      <c r="C65" s="27"/>
      <c r="D65" s="223"/>
      <c r="E65" s="17"/>
      <c r="F65" s="281"/>
      <c r="G65" s="282"/>
      <c r="H65" s="283"/>
    </row>
    <row r="66" spans="1:8" ht="20.100000000000001" customHeight="1">
      <c r="A66" s="32"/>
      <c r="B66" s="26"/>
      <c r="C66" s="14" t="s">
        <v>78</v>
      </c>
      <c r="D66" s="224" t="s">
        <v>34</v>
      </c>
      <c r="E66" s="10" t="s">
        <v>18</v>
      </c>
      <c r="F66" s="281"/>
      <c r="G66" s="282"/>
      <c r="H66" s="283"/>
    </row>
    <row r="67" spans="1:8" ht="20.100000000000001" customHeight="1">
      <c r="A67" s="255"/>
      <c r="B67" s="256"/>
      <c r="C67" s="257" t="s">
        <v>79</v>
      </c>
      <c r="D67" s="258" t="s">
        <v>34</v>
      </c>
      <c r="E67" s="259"/>
      <c r="F67" s="290"/>
      <c r="G67" s="291"/>
      <c r="H67" s="292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N48"/>
  <sheetViews>
    <sheetView topLeftCell="A8" workbookViewId="0">
      <selection activeCell="R24" sqref="R2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6" width="12.5703125" customWidth="1"/>
    <col min="7" max="7" width="10.140625" customWidth="1"/>
    <col min="8" max="8" width="18.7109375" customWidth="1"/>
    <col min="9" max="11" width="15.140625" customWidth="1"/>
  </cols>
  <sheetData>
    <row r="1" spans="1:14" ht="18">
      <c r="A1" s="124" t="s">
        <v>0</v>
      </c>
      <c r="B1" s="54"/>
      <c r="C1" s="298" t="str">
        <f>Index!$C$1</f>
        <v>LOXTON SUPERANNUATION FUND</v>
      </c>
      <c r="D1" s="298"/>
      <c r="F1" s="57" t="s">
        <v>2</v>
      </c>
      <c r="G1" s="57" t="s">
        <v>3</v>
      </c>
    </row>
    <row r="2" spans="1:14" ht="18">
      <c r="A2" s="124" t="s">
        <v>4</v>
      </c>
      <c r="B2" s="54"/>
      <c r="C2" s="298" t="str">
        <f>Index!$C$2</f>
        <v>LOXA</v>
      </c>
      <c r="D2" s="298"/>
      <c r="E2" s="60" t="s">
        <v>6</v>
      </c>
      <c r="F2" s="61" t="str">
        <f>Index!$H$2</f>
        <v>Nehal.A</v>
      </c>
      <c r="G2" s="62" t="str">
        <f>Index!$I$2</f>
        <v>18/11/2022</v>
      </c>
    </row>
    <row r="3" spans="1:14" ht="18">
      <c r="A3" s="124" t="s">
        <v>9</v>
      </c>
      <c r="B3" s="54"/>
      <c r="C3" s="299">
        <f>Index!$C$3</f>
        <v>44742</v>
      </c>
      <c r="D3" s="298"/>
      <c r="E3" s="60" t="s">
        <v>10</v>
      </c>
      <c r="F3" s="61" t="str">
        <f>Index!$H$3</f>
        <v>DB</v>
      </c>
      <c r="G3" s="62">
        <f>Index!$I$3</f>
        <v>44887</v>
      </c>
    </row>
    <row r="4" spans="1:14" ht="18">
      <c r="D4" s="54"/>
      <c r="E4" s="66"/>
      <c r="G4" s="67"/>
    </row>
    <row r="5" spans="1:14" ht="18">
      <c r="A5" s="126" t="s">
        <v>209</v>
      </c>
      <c r="D5" s="54"/>
      <c r="E5" s="66"/>
      <c r="G5" s="67"/>
    </row>
    <row r="6" spans="1:14" ht="18">
      <c r="D6" s="54"/>
      <c r="E6" s="54"/>
      <c r="F6" s="65"/>
      <c r="G6" s="66"/>
      <c r="I6" s="67"/>
    </row>
    <row r="7" spans="1:14">
      <c r="F7" s="59"/>
    </row>
    <row r="8" spans="1:14" ht="30.75">
      <c r="A8" s="138" t="s">
        <v>107</v>
      </c>
      <c r="B8" s="300" t="s">
        <v>108</v>
      </c>
      <c r="C8" s="302"/>
      <c r="D8" s="139" t="s">
        <v>109</v>
      </c>
      <c r="E8" s="139"/>
      <c r="F8" s="139" t="s">
        <v>109</v>
      </c>
      <c r="G8" s="300" t="s">
        <v>157</v>
      </c>
      <c r="H8" s="309"/>
      <c r="I8" s="310"/>
      <c r="J8" s="70"/>
      <c r="K8" s="70"/>
      <c r="L8" s="70"/>
      <c r="M8" s="70"/>
      <c r="N8" s="70"/>
    </row>
    <row r="9" spans="1:14">
      <c r="F9" s="59"/>
    </row>
    <row r="10" spans="1:14">
      <c r="F10" s="71"/>
    </row>
    <row r="11" spans="1:14">
      <c r="D11" s="48" t="s">
        <v>210</v>
      </c>
      <c r="E11" s="48" t="s">
        <v>211</v>
      </c>
      <c r="F11" s="73" t="s">
        <v>86</v>
      </c>
      <c r="H11" s="78"/>
    </row>
    <row r="12" spans="1:14">
      <c r="D12" s="48" t="s">
        <v>141</v>
      </c>
      <c r="E12" s="48" t="s">
        <v>212</v>
      </c>
      <c r="F12" s="59"/>
    </row>
    <row r="13" spans="1:14">
      <c r="F13" s="59"/>
      <c r="I13" s="270" t="s">
        <v>213</v>
      </c>
      <c r="J13" s="270" t="s">
        <v>214</v>
      </c>
      <c r="K13" s="270" t="s">
        <v>175</v>
      </c>
    </row>
    <row r="14" spans="1:14">
      <c r="C14" s="267" t="s">
        <v>215</v>
      </c>
      <c r="D14" s="269">
        <v>122502.68</v>
      </c>
      <c r="E14" s="269">
        <v>6548.28</v>
      </c>
      <c r="F14" s="269">
        <f t="shared" ref="F14:F27" si="0">SUM(D14:E14)</f>
        <v>129050.95999999999</v>
      </c>
      <c r="H14" s="271" t="s">
        <v>216</v>
      </c>
      <c r="I14" s="94">
        <f>+F40</f>
        <v>129050.93999999999</v>
      </c>
      <c r="J14" s="94">
        <v>129050.94</v>
      </c>
      <c r="K14" s="94">
        <f>+I14-J14</f>
        <v>0</v>
      </c>
    </row>
    <row r="15" spans="1:14">
      <c r="C15" t="s">
        <v>217</v>
      </c>
      <c r="D15" s="94">
        <v>422.37</v>
      </c>
      <c r="E15" s="94"/>
      <c r="F15" s="94">
        <f>SUM(D15:E15)</f>
        <v>422.37</v>
      </c>
      <c r="H15" s="271" t="s">
        <v>218</v>
      </c>
      <c r="I15" s="94">
        <f>+F26</f>
        <v>51897.33</v>
      </c>
      <c r="J15" s="94">
        <v>51897.33</v>
      </c>
      <c r="K15" s="94">
        <f t="shared" ref="K15:K27" si="1">+I15-J15</f>
        <v>0</v>
      </c>
    </row>
    <row r="16" spans="1:14">
      <c r="C16" t="s">
        <v>219</v>
      </c>
      <c r="D16" s="94"/>
      <c r="E16" s="94"/>
      <c r="F16" s="94">
        <f t="shared" si="0"/>
        <v>0</v>
      </c>
      <c r="H16" s="271" t="s">
        <v>220</v>
      </c>
      <c r="I16" s="94">
        <f>+F24+F25</f>
        <v>4799.5300000000007</v>
      </c>
      <c r="J16" s="94">
        <v>4799.53</v>
      </c>
      <c r="K16" s="94">
        <f t="shared" si="1"/>
        <v>0</v>
      </c>
    </row>
    <row r="17" spans="3:12">
      <c r="C17" s="140" t="s">
        <v>221</v>
      </c>
      <c r="D17" s="94"/>
      <c r="E17" s="94"/>
      <c r="F17" s="94">
        <f t="shared" si="0"/>
        <v>0</v>
      </c>
      <c r="H17" s="271" t="s">
        <v>222</v>
      </c>
      <c r="I17" s="94">
        <f>+F15+F28</f>
        <v>1415.81</v>
      </c>
      <c r="J17" s="94">
        <v>1415.81</v>
      </c>
      <c r="K17" s="94">
        <f t="shared" si="1"/>
        <v>0</v>
      </c>
    </row>
    <row r="18" spans="3:12">
      <c r="C18" s="140" t="s">
        <v>223</v>
      </c>
      <c r="D18" s="94">
        <v>2.6</v>
      </c>
      <c r="E18" s="94"/>
      <c r="F18" s="94">
        <f t="shared" si="0"/>
        <v>2.6</v>
      </c>
      <c r="H18" s="271" t="s">
        <v>224</v>
      </c>
      <c r="I18" s="94">
        <f>+F27</f>
        <v>23549.43</v>
      </c>
      <c r="J18" s="94">
        <v>23549.43</v>
      </c>
      <c r="K18" s="94">
        <f t="shared" si="1"/>
        <v>0</v>
      </c>
    </row>
    <row r="19" spans="3:12">
      <c r="C19" t="s">
        <v>225</v>
      </c>
      <c r="D19" s="94"/>
      <c r="E19" s="94"/>
      <c r="F19" s="94">
        <f t="shared" si="0"/>
        <v>0</v>
      </c>
      <c r="H19" s="271" t="s">
        <v>226</v>
      </c>
      <c r="I19" s="94">
        <f>+F20+F21-F36</f>
        <v>32175.120000000003</v>
      </c>
      <c r="J19" s="94">
        <v>32175.119999999999</v>
      </c>
      <c r="K19" s="94">
        <f t="shared" si="1"/>
        <v>0</v>
      </c>
    </row>
    <row r="20" spans="3:12">
      <c r="C20" s="140" t="s">
        <v>221</v>
      </c>
      <c r="D20" s="94">
        <v>43.54</v>
      </c>
      <c r="E20" s="94">
        <v>711.84</v>
      </c>
      <c r="F20" s="94">
        <f t="shared" si="0"/>
        <v>755.38</v>
      </c>
      <c r="H20" s="271" t="s">
        <v>227</v>
      </c>
      <c r="I20" s="94">
        <f>+F20+F21</f>
        <v>32175.120000000003</v>
      </c>
      <c r="J20" s="94">
        <v>32175.09</v>
      </c>
      <c r="K20" s="94">
        <f t="shared" si="1"/>
        <v>3.0000000002473826E-2</v>
      </c>
    </row>
    <row r="21" spans="3:12">
      <c r="C21" s="140" t="s">
        <v>223</v>
      </c>
      <c r="D21" s="94">
        <v>31419.74</v>
      </c>
      <c r="E21" s="94"/>
      <c r="F21" s="94">
        <f t="shared" si="0"/>
        <v>31419.74</v>
      </c>
      <c r="H21" s="271" t="s">
        <v>228</v>
      </c>
      <c r="I21" s="94">
        <f>+F17+F18</f>
        <v>2.6</v>
      </c>
      <c r="J21" s="94">
        <v>2.6</v>
      </c>
      <c r="K21" s="94">
        <f t="shared" si="1"/>
        <v>0</v>
      </c>
    </row>
    <row r="22" spans="3:12">
      <c r="C22" t="s">
        <v>229</v>
      </c>
      <c r="D22" s="94">
        <v>1187.7</v>
      </c>
      <c r="E22" s="94"/>
      <c r="F22" s="94">
        <f t="shared" si="0"/>
        <v>1187.7</v>
      </c>
      <c r="H22" s="271" t="s">
        <v>230</v>
      </c>
      <c r="I22" s="94">
        <f>+F22-F35</f>
        <v>1118.72</v>
      </c>
      <c r="J22" s="94">
        <v>1118.72</v>
      </c>
      <c r="K22" s="94">
        <f t="shared" si="1"/>
        <v>0</v>
      </c>
    </row>
    <row r="23" spans="3:12">
      <c r="C23" t="s">
        <v>231</v>
      </c>
      <c r="D23" s="94"/>
      <c r="E23" s="94"/>
      <c r="F23" s="94">
        <f t="shared" si="0"/>
        <v>0</v>
      </c>
      <c r="H23" s="271" t="s">
        <v>232</v>
      </c>
      <c r="I23" s="94">
        <f>+F35+F36</f>
        <v>68.98</v>
      </c>
      <c r="J23" s="94">
        <v>68.98</v>
      </c>
      <c r="K23" s="94">
        <f t="shared" si="1"/>
        <v>0</v>
      </c>
    </row>
    <row r="24" spans="3:12">
      <c r="C24" s="140" t="s">
        <v>233</v>
      </c>
      <c r="D24" s="94">
        <v>1567.21</v>
      </c>
      <c r="E24" s="94"/>
      <c r="F24" s="94">
        <f t="shared" si="0"/>
        <v>1567.21</v>
      </c>
      <c r="H24" s="271" t="s">
        <v>234</v>
      </c>
      <c r="I24" s="94">
        <v>0</v>
      </c>
      <c r="J24" s="94"/>
      <c r="K24" s="94">
        <f t="shared" si="1"/>
        <v>0</v>
      </c>
    </row>
    <row r="25" spans="3:12">
      <c r="C25" s="140" t="s">
        <v>235</v>
      </c>
      <c r="D25" s="94">
        <v>3232.32</v>
      </c>
      <c r="E25" s="94"/>
      <c r="F25" s="94">
        <f t="shared" si="0"/>
        <v>3232.32</v>
      </c>
      <c r="H25" s="271" t="s">
        <v>236</v>
      </c>
      <c r="I25" s="94">
        <v>0</v>
      </c>
      <c r="J25" s="94"/>
      <c r="K25" s="94">
        <f t="shared" si="1"/>
        <v>0</v>
      </c>
    </row>
    <row r="26" spans="3:12">
      <c r="C26" s="140" t="s">
        <v>237</v>
      </c>
      <c r="D26" s="94">
        <v>51897.33</v>
      </c>
      <c r="E26" s="94"/>
      <c r="F26" s="94">
        <f t="shared" si="0"/>
        <v>51897.33</v>
      </c>
      <c r="H26" s="271" t="s">
        <v>238</v>
      </c>
      <c r="I26" s="94">
        <f>F31-F38</f>
        <v>5466.76</v>
      </c>
      <c r="J26" s="94">
        <v>5466.76</v>
      </c>
      <c r="K26" s="94">
        <f t="shared" si="1"/>
        <v>0</v>
      </c>
    </row>
    <row r="27" spans="3:12">
      <c r="C27" s="140" t="s">
        <v>239</v>
      </c>
      <c r="D27" s="94">
        <f>23550.84-1.41</f>
        <v>23549.43</v>
      </c>
      <c r="E27" s="94"/>
      <c r="F27" s="94">
        <f t="shared" si="0"/>
        <v>23549.43</v>
      </c>
      <c r="H27" s="271" t="s">
        <v>70</v>
      </c>
      <c r="I27" s="94">
        <f>+F33</f>
        <v>0</v>
      </c>
      <c r="J27" s="94"/>
      <c r="K27" s="94">
        <f t="shared" si="1"/>
        <v>0</v>
      </c>
    </row>
    <row r="28" spans="3:12">
      <c r="C28" t="s">
        <v>240</v>
      </c>
      <c r="D28" s="94">
        <v>231.56</v>
      </c>
      <c r="E28" s="94">
        <f>610.68+151.2</f>
        <v>761.87999999999988</v>
      </c>
      <c r="F28" s="94">
        <f t="shared" ref="F28:F33" si="2">SUM(D28:E28)</f>
        <v>993.43999999999983</v>
      </c>
      <c r="H28" s="271"/>
    </row>
    <row r="29" spans="3:12">
      <c r="C29" t="s">
        <v>227</v>
      </c>
      <c r="D29" s="94">
        <v>31463.25</v>
      </c>
      <c r="E29" s="94">
        <v>711.84</v>
      </c>
      <c r="F29" s="94">
        <f t="shared" si="2"/>
        <v>32175.09</v>
      </c>
      <c r="H29" s="272" t="s">
        <v>241</v>
      </c>
      <c r="I29" s="268">
        <f>+I15+I16+I17+I19+I20+I21+I22+I26-I14+I27</f>
        <v>5.0000000017462298E-2</v>
      </c>
      <c r="J29" s="269">
        <f>+J15+J16+J17+J19+J20+J21+J22+J26-J14+J27</f>
        <v>1.9999999989522621E-2</v>
      </c>
      <c r="K29" s="269">
        <f>+I29-J29</f>
        <v>3.0000000027939677E-2</v>
      </c>
      <c r="L29" s="78" t="s">
        <v>242</v>
      </c>
    </row>
    <row r="30" spans="3:12">
      <c r="C30" t="s">
        <v>236</v>
      </c>
      <c r="D30" s="94"/>
      <c r="E30" s="94"/>
      <c r="F30" s="94">
        <f t="shared" si="2"/>
        <v>0</v>
      </c>
    </row>
    <row r="31" spans="3:12">
      <c r="C31" t="s">
        <v>243</v>
      </c>
      <c r="D31" s="94"/>
      <c r="E31" s="94"/>
      <c r="F31" s="94">
        <f t="shared" si="2"/>
        <v>0</v>
      </c>
    </row>
    <row r="32" spans="3:12">
      <c r="C32" t="s">
        <v>234</v>
      </c>
      <c r="D32" s="94">
        <f>1104.04+D38</f>
        <v>0</v>
      </c>
      <c r="E32" s="94">
        <f>4362.72+E38</f>
        <v>0</v>
      </c>
      <c r="F32" s="94">
        <f t="shared" si="2"/>
        <v>0</v>
      </c>
      <c r="H32" s="141"/>
    </row>
    <row r="33" spans="3:8">
      <c r="C33" t="s">
        <v>70</v>
      </c>
      <c r="D33" s="94"/>
      <c r="E33" s="94"/>
      <c r="F33" s="94">
        <f t="shared" si="2"/>
        <v>0</v>
      </c>
    </row>
    <row r="34" spans="3:8">
      <c r="D34" s="94"/>
      <c r="E34" s="94"/>
      <c r="F34" s="94"/>
    </row>
    <row r="35" spans="3:8">
      <c r="C35" t="s">
        <v>232</v>
      </c>
      <c r="D35" s="94">
        <v>68.98</v>
      </c>
      <c r="E35" s="94"/>
      <c r="F35" s="94">
        <f>SUM(D35:E35)</f>
        <v>68.98</v>
      </c>
      <c r="H35" s="141"/>
    </row>
    <row r="36" spans="3:8">
      <c r="C36" t="s">
        <v>244</v>
      </c>
      <c r="D36" s="94"/>
      <c r="E36" s="94"/>
      <c r="F36" s="94">
        <f>SUM(D36:E36)</f>
        <v>0</v>
      </c>
    </row>
    <row r="37" spans="3:8">
      <c r="C37" t="s">
        <v>245</v>
      </c>
      <c r="D37" s="94">
        <v>0.02</v>
      </c>
      <c r="E37" s="94"/>
      <c r="F37" s="94">
        <f>SUM(D37:E37)</f>
        <v>0.02</v>
      </c>
    </row>
    <row r="38" spans="3:8">
      <c r="C38" t="s">
        <v>246</v>
      </c>
      <c r="D38" s="94">
        <v>-1104.04</v>
      </c>
      <c r="E38" s="94">
        <v>-4362.72</v>
      </c>
      <c r="F38" s="94">
        <f>SUM(D38:E38)</f>
        <v>-5466.76</v>
      </c>
    </row>
    <row r="39" spans="3:8">
      <c r="D39" s="94"/>
      <c r="E39" s="94"/>
      <c r="F39" s="94"/>
    </row>
    <row r="40" spans="3:8">
      <c r="C40" s="267" t="s">
        <v>247</v>
      </c>
      <c r="D40" s="268">
        <f>+D14-D37</f>
        <v>122502.65999999999</v>
      </c>
      <c r="E40" s="268">
        <f>+E14-E37</f>
        <v>6548.28</v>
      </c>
      <c r="F40" s="269">
        <f>SUM(D40:E40)</f>
        <v>129050.93999999999</v>
      </c>
    </row>
    <row r="41" spans="3:8">
      <c r="D41" s="80"/>
      <c r="E41" s="80"/>
      <c r="F41" s="94"/>
    </row>
    <row r="42" spans="3:8">
      <c r="D42" s="80"/>
      <c r="E42" s="80"/>
      <c r="F42" s="94"/>
    </row>
    <row r="43" spans="3:8">
      <c r="C43" s="78" t="s">
        <v>248</v>
      </c>
      <c r="D43" s="80">
        <f>SUM(D15:D33)-D27-D35-D37-D38-D36</f>
        <v>122502.65999999999</v>
      </c>
      <c r="E43" s="80">
        <f>SUM(E15:E33)-E27-E35-E37-E38-E36</f>
        <v>6548.2800000000007</v>
      </c>
      <c r="F43" s="59"/>
    </row>
    <row r="44" spans="3:8">
      <c r="C44" s="43" t="s">
        <v>175</v>
      </c>
      <c r="D44" s="95">
        <f>+D43-D40</f>
        <v>0</v>
      </c>
      <c r="E44" s="95">
        <f>+E43-E40</f>
        <v>0</v>
      </c>
      <c r="F44" s="96"/>
    </row>
    <row r="45" spans="3:8">
      <c r="D45" s="80"/>
      <c r="F45" s="59"/>
    </row>
    <row r="46" spans="3:8" ht="12" customHeight="1">
      <c r="D46" s="80"/>
      <c r="F46" s="59"/>
    </row>
    <row r="47" spans="3:8">
      <c r="F47" s="59"/>
    </row>
    <row r="48" spans="3:8">
      <c r="F48" s="59"/>
    </row>
  </sheetData>
  <mergeCells count="5">
    <mergeCell ref="B8:C8"/>
    <mergeCell ref="G8:I8"/>
    <mergeCell ref="C1:D1"/>
    <mergeCell ref="C2:D2"/>
    <mergeCell ref="C3:D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G1"/>
      <c r="H1" s="57" t="s">
        <v>2</v>
      </c>
      <c r="I1" s="57" t="s">
        <v>3</v>
      </c>
    </row>
    <row r="2" spans="1:10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10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10" ht="18">
      <c r="A4" s="124"/>
      <c r="B4" s="54"/>
      <c r="D4" s="54"/>
      <c r="E4" s="54"/>
      <c r="F4" s="56"/>
      <c r="G4" s="125"/>
      <c r="H4" s="66"/>
      <c r="I4" s="67"/>
    </row>
    <row r="5" spans="1:10" ht="18">
      <c r="A5" s="54" t="s">
        <v>249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30">
      <c r="A8" s="138" t="s">
        <v>107</v>
      </c>
      <c r="B8" s="300" t="s">
        <v>108</v>
      </c>
      <c r="C8" s="301"/>
      <c r="D8" s="301"/>
      <c r="E8" s="302"/>
      <c r="F8" s="139" t="s">
        <v>109</v>
      </c>
      <c r="G8" s="143"/>
      <c r="H8" s="300" t="s">
        <v>157</v>
      </c>
      <c r="I8" s="309"/>
      <c r="J8" s="310"/>
    </row>
    <row r="10" spans="1:10">
      <c r="A10" s="78" t="s">
        <v>250</v>
      </c>
      <c r="C10" s="48" t="s">
        <v>251</v>
      </c>
      <c r="D10" s="338" t="s">
        <v>252</v>
      </c>
      <c r="E10" s="338"/>
      <c r="F10" s="338"/>
      <c r="G10" s="103" t="s">
        <v>253</v>
      </c>
      <c r="H10" s="339" t="s">
        <v>254</v>
      </c>
      <c r="I10" s="339"/>
      <c r="J10" s="339"/>
    </row>
    <row r="11" spans="1:10">
      <c r="A11" s="72"/>
      <c r="B11" s="72"/>
      <c r="D11" s="48" t="s">
        <v>255</v>
      </c>
      <c r="E11" s="86" t="s">
        <v>256</v>
      </c>
      <c r="F11" s="73" t="s">
        <v>257</v>
      </c>
      <c r="G11" s="73"/>
      <c r="H11" s="48" t="s">
        <v>255</v>
      </c>
      <c r="I11" s="104" t="s">
        <v>256</v>
      </c>
      <c r="J11" s="105" t="s">
        <v>257</v>
      </c>
    </row>
    <row r="12" spans="1:10">
      <c r="A12" s="72"/>
      <c r="B12" s="72"/>
      <c r="D12" s="48"/>
      <c r="E12" s="86"/>
      <c r="F12" s="73"/>
      <c r="G12" s="73"/>
      <c r="H12" s="48"/>
      <c r="I12" s="104"/>
      <c r="J12" s="105"/>
    </row>
    <row r="13" spans="1:10">
      <c r="A13" s="72"/>
      <c r="C13" s="142"/>
      <c r="D13" s="81"/>
      <c r="E13" s="81"/>
      <c r="F13" s="81">
        <f>D13-E13</f>
        <v>0</v>
      </c>
      <c r="G13" s="106"/>
      <c r="H13" s="107">
        <f>D13*$G$13</f>
        <v>0</v>
      </c>
      <c r="I13" s="107">
        <f>E13*$G$13</f>
        <v>0</v>
      </c>
      <c r="J13" s="107">
        <f>F13*$G$13</f>
        <v>0</v>
      </c>
    </row>
    <row r="14" spans="1:10">
      <c r="C14" s="142"/>
      <c r="D14" s="81"/>
      <c r="E14" s="81"/>
      <c r="F14" s="81">
        <f>D14-E14</f>
        <v>0</v>
      </c>
      <c r="G14" s="106"/>
      <c r="H14" s="107">
        <f>D14*$G$14</f>
        <v>0</v>
      </c>
      <c r="I14" s="107">
        <f>E14*$G$14</f>
        <v>0</v>
      </c>
      <c r="J14" s="107">
        <f>F14*$G$14</f>
        <v>0</v>
      </c>
    </row>
    <row r="15" spans="1:10" ht="15.75" thickBot="1">
      <c r="D15" s="81"/>
      <c r="E15" s="81"/>
      <c r="F15" s="81"/>
      <c r="G15" s="71"/>
      <c r="H15" s="108">
        <f>SUM(H13:H14)</f>
        <v>0</v>
      </c>
      <c r="I15" s="108">
        <f>SUM(I13:I14)</f>
        <v>0</v>
      </c>
      <c r="J15" s="108">
        <f>SUM(J13:J14)</f>
        <v>0</v>
      </c>
    </row>
    <row r="16" spans="1:10">
      <c r="D16" s="81"/>
      <c r="E16" s="81"/>
      <c r="F16" s="81"/>
      <c r="G16" s="71"/>
      <c r="H16" s="107"/>
      <c r="I16" s="107"/>
      <c r="J16" s="107"/>
    </row>
    <row r="17" spans="1:10">
      <c r="D17" s="81"/>
      <c r="E17" s="81"/>
      <c r="F17" s="81"/>
      <c r="G17" s="71"/>
      <c r="H17" s="107"/>
      <c r="I17" s="107"/>
      <c r="J17" s="107"/>
    </row>
    <row r="18" spans="1:10">
      <c r="A18" s="78"/>
      <c r="C18" s="142"/>
      <c r="D18" s="81"/>
      <c r="E18" s="81"/>
      <c r="F18" s="81">
        <f>D18-E18</f>
        <v>0</v>
      </c>
      <c r="G18" s="106"/>
      <c r="H18" s="107">
        <f t="shared" ref="H18:J21" si="0">D18*$G$13</f>
        <v>0</v>
      </c>
      <c r="I18" s="107">
        <f t="shared" si="0"/>
        <v>0</v>
      </c>
      <c r="J18" s="107">
        <f t="shared" si="0"/>
        <v>0</v>
      </c>
    </row>
    <row r="19" spans="1:10">
      <c r="C19" s="142"/>
      <c r="D19" s="81"/>
      <c r="E19" s="81"/>
      <c r="F19" s="81">
        <f>D19-E19</f>
        <v>0</v>
      </c>
      <c r="G19" s="106"/>
      <c r="H19" s="107">
        <f t="shared" si="0"/>
        <v>0</v>
      </c>
      <c r="I19" s="107">
        <f t="shared" si="0"/>
        <v>0</v>
      </c>
      <c r="J19" s="107">
        <f t="shared" si="0"/>
        <v>0</v>
      </c>
    </row>
    <row r="20" spans="1:10">
      <c r="C20" s="142"/>
      <c r="D20" s="81"/>
      <c r="E20" s="81"/>
      <c r="F20" s="81">
        <f>D20-E20</f>
        <v>0</v>
      </c>
      <c r="G20" s="106"/>
      <c r="H20" s="107">
        <f t="shared" si="0"/>
        <v>0</v>
      </c>
      <c r="I20" s="107">
        <f t="shared" si="0"/>
        <v>0</v>
      </c>
      <c r="J20" s="107">
        <f t="shared" si="0"/>
        <v>0</v>
      </c>
    </row>
    <row r="21" spans="1:10">
      <c r="C21" s="142"/>
      <c r="D21" s="81"/>
      <c r="E21" s="81"/>
      <c r="F21" s="81">
        <f>D21-E21</f>
        <v>0</v>
      </c>
      <c r="G21" s="106"/>
      <c r="H21" s="107">
        <f t="shared" si="0"/>
        <v>0</v>
      </c>
      <c r="I21" s="107">
        <f t="shared" si="0"/>
        <v>0</v>
      </c>
      <c r="J21" s="107">
        <f t="shared" si="0"/>
        <v>0</v>
      </c>
    </row>
    <row r="22" spans="1:10" ht="15.75" thickBot="1">
      <c r="D22" s="81"/>
      <c r="E22" s="81"/>
      <c r="F22" s="81"/>
      <c r="G22" s="80"/>
      <c r="H22" s="108">
        <f t="shared" ref="H22:J22" si="1">SUM(H18:H21)</f>
        <v>0</v>
      </c>
      <c r="I22" s="108">
        <f t="shared" si="1"/>
        <v>0</v>
      </c>
      <c r="J22" s="108">
        <f t="shared" si="1"/>
        <v>0</v>
      </c>
    </row>
    <row r="23" spans="1:10">
      <c r="D23" s="81"/>
      <c r="E23" s="81"/>
      <c r="F23" s="81"/>
      <c r="G23" s="71"/>
      <c r="H23" s="94"/>
      <c r="I23" s="94"/>
      <c r="J23" s="94"/>
    </row>
    <row r="24" spans="1:10">
      <c r="D24" s="94"/>
      <c r="E24" s="94"/>
      <c r="F24" s="94"/>
      <c r="H24" s="94"/>
      <c r="I24" s="94"/>
      <c r="J24" s="94"/>
    </row>
    <row r="25" spans="1:10">
      <c r="D25" s="94"/>
      <c r="E25" s="94"/>
      <c r="F25" s="94"/>
      <c r="H25" s="94"/>
      <c r="I25" s="94"/>
      <c r="J25" s="94"/>
    </row>
    <row r="26" spans="1:10">
      <c r="D26" s="94"/>
      <c r="E26" s="94"/>
      <c r="F26" s="94"/>
      <c r="H26" s="94"/>
      <c r="I26" s="94"/>
      <c r="J26" s="94"/>
    </row>
    <row r="27" spans="1:10">
      <c r="D27" s="94"/>
      <c r="E27" s="94"/>
      <c r="F27" s="94"/>
      <c r="H27" s="94"/>
      <c r="I27" s="94"/>
      <c r="J27" s="94"/>
    </row>
    <row r="28" spans="1:10">
      <c r="C28" s="94"/>
      <c r="D28" s="94"/>
      <c r="E28" s="94"/>
      <c r="F28" s="94"/>
      <c r="H28" s="94"/>
      <c r="I28" s="94"/>
      <c r="J28" s="94"/>
    </row>
    <row r="29" spans="1:10">
      <c r="D29" s="94"/>
      <c r="E29" s="94"/>
      <c r="F29" s="94"/>
      <c r="H29" s="94"/>
      <c r="I29" s="94"/>
      <c r="J29" s="94"/>
    </row>
    <row r="30" spans="1:10">
      <c r="H30" s="94"/>
      <c r="I30" s="94"/>
      <c r="J30" s="94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56"/>
  <sheetViews>
    <sheetView workbookViewId="0">
      <selection activeCell="F5" sqref="F5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H1" s="57" t="s">
        <v>2</v>
      </c>
      <c r="I1" s="57" t="s">
        <v>3</v>
      </c>
    </row>
    <row r="2" spans="1:16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16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16" ht="18">
      <c r="D4" s="54"/>
      <c r="E4" s="54"/>
      <c r="F4" s="65"/>
      <c r="G4" s="66"/>
      <c r="I4" s="67"/>
    </row>
    <row r="5" spans="1:16" ht="18">
      <c r="A5" s="126" t="s">
        <v>258</v>
      </c>
      <c r="D5" s="54"/>
      <c r="E5" s="54"/>
      <c r="F5" s="65"/>
      <c r="G5" s="66"/>
      <c r="I5" s="67"/>
    </row>
    <row r="6" spans="1:16" ht="20.100000000000001" customHeight="1"/>
    <row r="7" spans="1:16" ht="20.100000000000001" customHeight="1" thickBot="1">
      <c r="A7" s="126" t="s">
        <v>259</v>
      </c>
    </row>
    <row r="8" spans="1:16" ht="30.75" thickBot="1">
      <c r="A8" s="185" t="s">
        <v>107</v>
      </c>
      <c r="B8" s="315" t="s">
        <v>108</v>
      </c>
      <c r="C8" s="317"/>
      <c r="D8" s="186" t="s">
        <v>260</v>
      </c>
      <c r="E8" s="187" t="s">
        <v>111</v>
      </c>
      <c r="F8" s="187" t="s">
        <v>136</v>
      </c>
      <c r="G8" s="315" t="s">
        <v>157</v>
      </c>
      <c r="H8" s="340"/>
      <c r="I8" s="341"/>
    </row>
    <row r="9" spans="1:16">
      <c r="A9" s="227"/>
      <c r="B9" s="350"/>
      <c r="C9" s="351"/>
      <c r="D9" s="228"/>
      <c r="E9" s="229"/>
      <c r="F9" s="229"/>
      <c r="G9" s="350"/>
      <c r="H9" s="352"/>
      <c r="I9" s="351"/>
    </row>
    <row r="10" spans="1:16">
      <c r="A10" s="191"/>
      <c r="B10" s="353" t="s">
        <v>261</v>
      </c>
      <c r="C10" s="354"/>
      <c r="D10" s="354"/>
      <c r="E10" s="354"/>
      <c r="F10" s="354"/>
      <c r="G10" s="354"/>
      <c r="H10" s="354"/>
      <c r="I10" s="355"/>
    </row>
    <row r="11" spans="1:16">
      <c r="A11" s="191"/>
      <c r="B11" s="356"/>
      <c r="C11" s="357"/>
      <c r="D11" s="231"/>
      <c r="E11" s="232"/>
      <c r="F11" s="232"/>
      <c r="G11" s="356"/>
      <c r="H11" s="358"/>
      <c r="I11" s="359"/>
    </row>
    <row r="12" spans="1:16">
      <c r="A12" s="191"/>
      <c r="B12" s="360" t="s">
        <v>262</v>
      </c>
      <c r="C12" s="361"/>
      <c r="D12" s="231"/>
      <c r="E12" s="232"/>
      <c r="F12" s="232"/>
      <c r="G12" s="356"/>
      <c r="H12" s="358"/>
      <c r="I12" s="359"/>
      <c r="N12" t="s">
        <v>263</v>
      </c>
      <c r="O12" t="s">
        <v>264</v>
      </c>
      <c r="P12" t="s">
        <v>265</v>
      </c>
    </row>
    <row r="13" spans="1:16">
      <c r="A13" s="191"/>
      <c r="B13" s="356" t="s">
        <v>266</v>
      </c>
      <c r="C13" s="357"/>
      <c r="D13" s="231">
        <f>+SUM(E13:F13)</f>
        <v>0</v>
      </c>
      <c r="E13" s="232">
        <f>+F13*0.1</f>
        <v>0</v>
      </c>
      <c r="F13" s="232"/>
      <c r="G13" s="356" t="s">
        <v>267</v>
      </c>
      <c r="H13" s="358"/>
      <c r="I13" s="359"/>
      <c r="K13" t="s">
        <v>268</v>
      </c>
      <c r="N13" s="59"/>
      <c r="O13" s="59">
        <f>+N13/12</f>
        <v>0</v>
      </c>
    </row>
    <row r="14" spans="1:16">
      <c r="A14" s="191"/>
      <c r="B14" s="362" t="s">
        <v>269</v>
      </c>
      <c r="C14" s="357"/>
      <c r="D14" s="231">
        <f>+SUM(E14:F14)</f>
        <v>0</v>
      </c>
      <c r="E14" s="232">
        <f>+F14*0.1</f>
        <v>0</v>
      </c>
      <c r="F14" s="232"/>
      <c r="G14" s="356" t="s">
        <v>267</v>
      </c>
      <c r="H14" s="358"/>
      <c r="I14" s="359"/>
      <c r="K14" t="s">
        <v>270</v>
      </c>
      <c r="N14" s="59"/>
      <c r="O14" s="59">
        <f>+N14/12</f>
        <v>0</v>
      </c>
    </row>
    <row r="15" spans="1:16">
      <c r="A15" s="191"/>
      <c r="B15" s="356"/>
      <c r="C15" s="357"/>
      <c r="D15" s="231"/>
      <c r="E15" s="232"/>
      <c r="F15" s="231"/>
      <c r="G15" s="356"/>
      <c r="H15" s="358"/>
      <c r="I15" s="359"/>
      <c r="K15" t="s">
        <v>271</v>
      </c>
      <c r="N15" s="59"/>
      <c r="O15" s="59">
        <f>+N15/12</f>
        <v>0</v>
      </c>
    </row>
    <row r="16" spans="1:16">
      <c r="A16" s="191"/>
      <c r="B16" s="356"/>
      <c r="C16" s="357"/>
      <c r="D16" s="231"/>
      <c r="E16" s="232"/>
      <c r="F16" s="231"/>
      <c r="G16" s="356"/>
      <c r="H16" s="358"/>
      <c r="I16" s="359"/>
      <c r="K16" s="226" t="s">
        <v>272</v>
      </c>
      <c r="L16" s="226"/>
      <c r="M16" s="226"/>
      <c r="N16" s="225"/>
      <c r="O16" s="225"/>
      <c r="P16" s="225">
        <f>+O16*1.1</f>
        <v>0</v>
      </c>
    </row>
    <row r="17" spans="1:13">
      <c r="A17" s="191"/>
      <c r="B17" s="360" t="s">
        <v>86</v>
      </c>
      <c r="C17" s="361"/>
      <c r="D17" s="234">
        <f>SUM(D13:D16)</f>
        <v>0</v>
      </c>
      <c r="E17" s="234">
        <f>SUM(E13:E16)</f>
        <v>0</v>
      </c>
      <c r="F17" s="234">
        <f>SUM(F13:F16)</f>
        <v>0</v>
      </c>
      <c r="G17" s="356"/>
      <c r="H17" s="358"/>
      <c r="I17" s="359"/>
    </row>
    <row r="18" spans="1:13">
      <c r="A18" s="191"/>
      <c r="B18" s="356"/>
      <c r="C18" s="357"/>
      <c r="D18" s="231"/>
      <c r="E18" s="232"/>
      <c r="F18" s="231"/>
      <c r="G18" s="356"/>
      <c r="H18" s="358"/>
      <c r="I18" s="359"/>
    </row>
    <row r="19" spans="1:13">
      <c r="A19" s="191"/>
      <c r="B19" s="360" t="s">
        <v>273</v>
      </c>
      <c r="C19" s="361"/>
      <c r="D19" s="231"/>
      <c r="E19" s="232"/>
      <c r="F19" s="231"/>
      <c r="G19" s="356"/>
      <c r="H19" s="358"/>
      <c r="I19" s="359"/>
    </row>
    <row r="20" spans="1:13">
      <c r="A20" s="191"/>
      <c r="B20" s="356" t="s">
        <v>274</v>
      </c>
      <c r="C20" s="357"/>
      <c r="D20" s="235">
        <f>+F20+E20</f>
        <v>0</v>
      </c>
      <c r="E20" s="236">
        <f>+F20*0.1</f>
        <v>0</v>
      </c>
      <c r="F20" s="231"/>
      <c r="G20" s="356"/>
      <c r="H20" s="358"/>
      <c r="I20" s="359"/>
    </row>
    <row r="21" spans="1:13">
      <c r="A21" s="191"/>
      <c r="B21" s="356" t="s">
        <v>274</v>
      </c>
      <c r="C21" s="357"/>
      <c r="D21" s="235">
        <f>+F21+E21</f>
        <v>0</v>
      </c>
      <c r="E21" s="236">
        <f>+F21*0.1</f>
        <v>0</v>
      </c>
      <c r="F21" s="235"/>
      <c r="G21" s="356"/>
      <c r="H21" s="358"/>
      <c r="I21" s="359"/>
    </row>
    <row r="22" spans="1:13">
      <c r="A22" s="191"/>
      <c r="B22" s="233" t="s">
        <v>275</v>
      </c>
      <c r="C22" s="230"/>
      <c r="D22" s="237">
        <f>SUM(D20:D21)</f>
        <v>0</v>
      </c>
      <c r="E22" s="237">
        <f>SUM(E20:E21)</f>
        <v>0</v>
      </c>
      <c r="F22" s="237">
        <f>SUM(F20:F21)</f>
        <v>0</v>
      </c>
      <c r="G22" s="356"/>
      <c r="H22" s="358"/>
      <c r="I22" s="359"/>
    </row>
    <row r="23" spans="1:13">
      <c r="A23" s="191"/>
      <c r="B23" s="356" t="s">
        <v>276</v>
      </c>
      <c r="C23" s="357"/>
      <c r="D23" s="235">
        <f>+F23+E23</f>
        <v>0</v>
      </c>
      <c r="E23" s="236">
        <f>+F23*0.1</f>
        <v>0</v>
      </c>
      <c r="F23" s="231"/>
      <c r="G23" s="356"/>
      <c r="H23" s="363"/>
      <c r="I23" s="357"/>
    </row>
    <row r="24" spans="1:13">
      <c r="A24" s="191"/>
      <c r="B24" s="356" t="s">
        <v>276</v>
      </c>
      <c r="C24" s="357"/>
      <c r="D24" s="235">
        <f>+F24+E24</f>
        <v>0</v>
      </c>
      <c r="E24" s="236">
        <f>+F24*0.1</f>
        <v>0</v>
      </c>
      <c r="F24" s="231"/>
      <c r="G24" s="356"/>
      <c r="H24" s="363"/>
      <c r="I24" s="357"/>
      <c r="L24" s="92"/>
      <c r="M24" s="92"/>
    </row>
    <row r="25" spans="1:13">
      <c r="A25" s="191"/>
      <c r="B25" s="356" t="s">
        <v>276</v>
      </c>
      <c r="C25" s="357"/>
      <c r="D25" s="235">
        <f>+F25+E25</f>
        <v>0</v>
      </c>
      <c r="E25" s="236">
        <f>+F25*0.1</f>
        <v>0</v>
      </c>
      <c r="F25" s="231"/>
      <c r="G25" s="356"/>
      <c r="H25" s="363"/>
      <c r="I25" s="357"/>
    </row>
    <row r="26" spans="1:13">
      <c r="A26" s="191"/>
      <c r="B26" s="233" t="s">
        <v>277</v>
      </c>
      <c r="C26" s="230"/>
      <c r="D26" s="237">
        <f>SUM(D23:D25)</f>
        <v>0</v>
      </c>
      <c r="E26" s="237">
        <f>SUM(E23:E25)</f>
        <v>0</v>
      </c>
      <c r="F26" s="237">
        <f>SUM(F23:F25)</f>
        <v>0</v>
      </c>
      <c r="G26" s="356"/>
      <c r="H26" s="358"/>
      <c r="I26" s="359"/>
    </row>
    <row r="27" spans="1:13">
      <c r="A27" s="191"/>
      <c r="B27" s="356" t="s">
        <v>278</v>
      </c>
      <c r="C27" s="357"/>
      <c r="D27" s="235">
        <f>+F27+E27</f>
        <v>0</v>
      </c>
      <c r="E27" s="236">
        <f>+F27*0.1</f>
        <v>0</v>
      </c>
      <c r="F27" s="231"/>
      <c r="G27" s="356"/>
      <c r="H27" s="358"/>
      <c r="I27" s="359"/>
    </row>
    <row r="28" spans="1:13">
      <c r="A28" s="191"/>
      <c r="B28" s="356" t="s">
        <v>278</v>
      </c>
      <c r="C28" s="357"/>
      <c r="D28" s="235">
        <f>+F28+E28</f>
        <v>0</v>
      </c>
      <c r="E28" s="236">
        <f>+F28*0.1</f>
        <v>0</v>
      </c>
      <c r="F28" s="235"/>
      <c r="G28" s="356"/>
      <c r="H28" s="358"/>
      <c r="I28" s="359"/>
    </row>
    <row r="29" spans="1:13">
      <c r="A29" s="191"/>
      <c r="B29" s="356" t="s">
        <v>278</v>
      </c>
      <c r="C29" s="357"/>
      <c r="D29" s="235">
        <f>+F29+E29</f>
        <v>0</v>
      </c>
      <c r="E29" s="236">
        <f>+F29*0.1</f>
        <v>0</v>
      </c>
      <c r="F29" s="231"/>
      <c r="G29" s="356"/>
      <c r="H29" s="363"/>
      <c r="I29" s="357"/>
    </row>
    <row r="30" spans="1:13">
      <c r="A30" s="191"/>
      <c r="B30" s="356" t="s">
        <v>278</v>
      </c>
      <c r="C30" s="357"/>
      <c r="D30" s="235">
        <f>+F30+E30</f>
        <v>0</v>
      </c>
      <c r="E30" s="236">
        <f>+F30*0.1</f>
        <v>0</v>
      </c>
      <c r="F30" s="235"/>
      <c r="G30" s="356"/>
      <c r="H30" s="363"/>
      <c r="I30" s="357"/>
    </row>
    <row r="31" spans="1:13">
      <c r="A31" s="191"/>
      <c r="B31" s="360" t="s">
        <v>279</v>
      </c>
      <c r="C31" s="361"/>
      <c r="D31" s="237">
        <f>SUM(D27:D30)</f>
        <v>0</v>
      </c>
      <c r="E31" s="237">
        <f>SUM(E27:E30)</f>
        <v>0</v>
      </c>
      <c r="F31" s="237">
        <f>SUM(F27:F30)</f>
        <v>0</v>
      </c>
      <c r="G31" s="356"/>
      <c r="H31" s="363"/>
      <c r="I31" s="357"/>
    </row>
    <row r="32" spans="1:13">
      <c r="A32" s="191"/>
      <c r="B32" s="360" t="s">
        <v>280</v>
      </c>
      <c r="C32" s="361"/>
      <c r="D32" s="237">
        <f>+D22+D26+D31</f>
        <v>0</v>
      </c>
      <c r="E32" s="237">
        <f>+E22+E26+E31</f>
        <v>0</v>
      </c>
      <c r="F32" s="237">
        <f>+F22+F26+F31</f>
        <v>0</v>
      </c>
      <c r="G32" s="356"/>
      <c r="H32" s="363"/>
      <c r="I32" s="357"/>
    </row>
    <row r="33" spans="1:18">
      <c r="A33" s="191"/>
      <c r="B33" s="356"/>
      <c r="C33" s="357"/>
      <c r="D33" s="235"/>
      <c r="E33" s="236"/>
      <c r="F33" s="230"/>
      <c r="G33" s="356"/>
      <c r="H33" s="363"/>
      <c r="I33" s="357"/>
    </row>
    <row r="34" spans="1:18">
      <c r="A34" s="191"/>
      <c r="B34" s="203" t="s">
        <v>281</v>
      </c>
      <c r="C34" s="204"/>
      <c r="D34" s="238"/>
      <c r="E34" s="239"/>
      <c r="F34" s="240">
        <f>+F32-F21-F28</f>
        <v>0</v>
      </c>
      <c r="G34" s="356"/>
      <c r="H34" s="363"/>
      <c r="I34" s="357"/>
    </row>
    <row r="35" spans="1:18">
      <c r="A35" s="191"/>
      <c r="B35" s="360"/>
      <c r="C35" s="361"/>
      <c r="D35" s="237"/>
      <c r="E35" s="237"/>
      <c r="F35" s="237"/>
      <c r="G35" s="356"/>
      <c r="H35" s="363"/>
      <c r="I35" s="357"/>
    </row>
    <row r="36" spans="1:18">
      <c r="A36" s="241" t="s">
        <v>282</v>
      </c>
      <c r="B36" s="323"/>
      <c r="C36" s="324"/>
      <c r="D36" s="324"/>
      <c r="E36" s="324"/>
      <c r="F36" s="324"/>
      <c r="G36" s="324"/>
      <c r="H36" s="324"/>
      <c r="I36" s="325"/>
    </row>
    <row r="37" spans="1:18">
      <c r="A37" s="241"/>
      <c r="B37" s="323"/>
      <c r="C37" s="324"/>
      <c r="D37" s="324"/>
      <c r="E37" s="324"/>
      <c r="F37" s="324"/>
      <c r="G37" s="324"/>
      <c r="H37" s="324"/>
      <c r="I37" s="325"/>
    </row>
    <row r="38" spans="1:18">
      <c r="A38" s="241"/>
      <c r="B38" s="323"/>
      <c r="C38" s="324"/>
      <c r="D38" s="324"/>
      <c r="E38" s="324"/>
      <c r="F38" s="324"/>
      <c r="G38" s="324"/>
      <c r="H38" s="324"/>
      <c r="I38" s="325"/>
    </row>
    <row r="39" spans="1:18" ht="15.75" thickBot="1">
      <c r="A39" s="212"/>
      <c r="B39" s="364"/>
      <c r="C39" s="365"/>
      <c r="D39" s="242"/>
      <c r="E39" s="242"/>
      <c r="F39" s="242"/>
      <c r="G39" s="364"/>
      <c r="H39" s="366"/>
      <c r="I39" s="365"/>
    </row>
    <row r="40" spans="1:18">
      <c r="E40" s="117"/>
      <c r="F40" s="117"/>
    </row>
    <row r="41" spans="1:18">
      <c r="E41" s="117"/>
      <c r="F41" s="117"/>
    </row>
    <row r="42" spans="1:18">
      <c r="E42" s="117"/>
      <c r="F42" s="117"/>
    </row>
    <row r="43" spans="1:18">
      <c r="D43" s="92"/>
      <c r="E43" s="117"/>
      <c r="F43" s="117"/>
    </row>
    <row r="44" spans="1:18" ht="18">
      <c r="A44" s="126" t="s">
        <v>283</v>
      </c>
      <c r="E44" s="117"/>
      <c r="F44" s="117"/>
    </row>
    <row r="45" spans="1:18">
      <c r="A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</row>
    <row r="46" spans="1:18">
      <c r="A46" s="243" t="s">
        <v>284</v>
      </c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</row>
    <row r="47" spans="1:18" ht="45">
      <c r="A47" s="243"/>
      <c r="B47" s="244"/>
      <c r="C47" s="244" t="s">
        <v>285</v>
      </c>
      <c r="D47" s="250" t="s">
        <v>286</v>
      </c>
      <c r="E47" s="250" t="s">
        <v>287</v>
      </c>
      <c r="F47" s="250" t="s">
        <v>288</v>
      </c>
      <c r="G47" s="250" t="s">
        <v>289</v>
      </c>
      <c r="H47" s="250" t="s">
        <v>290</v>
      </c>
      <c r="I47" s="250" t="s">
        <v>291</v>
      </c>
      <c r="J47" s="250" t="s">
        <v>292</v>
      </c>
      <c r="K47" s="250" t="s">
        <v>293</v>
      </c>
      <c r="L47" s="250" t="s">
        <v>294</v>
      </c>
      <c r="M47" s="250" t="s">
        <v>295</v>
      </c>
      <c r="N47" s="250" t="s">
        <v>296</v>
      </c>
      <c r="O47" s="250" t="s">
        <v>297</v>
      </c>
      <c r="P47" s="250" t="s">
        <v>298</v>
      </c>
      <c r="Q47" s="243"/>
      <c r="R47" s="243"/>
    </row>
    <row r="48" spans="1:18">
      <c r="A48" s="243" t="s">
        <v>299</v>
      </c>
      <c r="B48" s="243"/>
      <c r="C48" s="246" t="s">
        <v>300</v>
      </c>
      <c r="D48" s="247"/>
      <c r="E48" s="247"/>
      <c r="F48" s="247"/>
      <c r="G48" s="247"/>
      <c r="H48" s="247"/>
      <c r="I48" s="243"/>
      <c r="J48" s="247"/>
      <c r="K48" s="247"/>
      <c r="L48" s="247"/>
      <c r="M48" s="247"/>
      <c r="N48" s="247"/>
      <c r="O48" s="243"/>
      <c r="P48" s="247"/>
      <c r="Q48" s="243"/>
      <c r="R48" s="243"/>
    </row>
    <row r="49" spans="1:18">
      <c r="A49" s="243" t="s">
        <v>301</v>
      </c>
      <c r="B49" s="243"/>
      <c r="C49" s="246" t="s">
        <v>300</v>
      </c>
      <c r="D49" s="243"/>
      <c r="E49" s="243"/>
      <c r="F49" s="243"/>
      <c r="G49" s="243"/>
      <c r="H49" s="243"/>
      <c r="I49" s="243"/>
      <c r="J49" s="243"/>
      <c r="K49" s="243"/>
      <c r="L49" s="247"/>
      <c r="M49" s="243"/>
      <c r="N49" s="247"/>
      <c r="O49" s="243"/>
      <c r="P49" s="243"/>
      <c r="Q49" s="243"/>
      <c r="R49" s="243"/>
    </row>
    <row r="50" spans="1:18" ht="15.75" thickBot="1">
      <c r="A50" s="243"/>
      <c r="B50" s="243"/>
      <c r="C50" s="243"/>
      <c r="D50" s="248"/>
      <c r="E50" s="248"/>
      <c r="F50" s="248"/>
      <c r="G50" s="248"/>
      <c r="H50" s="248"/>
      <c r="I50" s="249"/>
      <c r="J50" s="248"/>
      <c r="K50" s="248"/>
      <c r="L50" s="248"/>
      <c r="M50" s="248"/>
      <c r="N50" s="248"/>
      <c r="O50" s="249"/>
      <c r="P50" s="248"/>
      <c r="Q50" s="243"/>
      <c r="R50" s="243"/>
    </row>
    <row r="51" spans="1:18" ht="15.75" thickTop="1">
      <c r="A51" s="243"/>
      <c r="B51" s="243"/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</row>
    <row r="52" spans="1:18">
      <c r="A52" s="243"/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</row>
    <row r="53" spans="1:18">
      <c r="A53" s="243"/>
      <c r="B53" s="243"/>
      <c r="C53" s="243"/>
      <c r="D53" s="342" t="s">
        <v>66</v>
      </c>
      <c r="E53" s="342"/>
      <c r="F53" s="342"/>
      <c r="G53" s="342" t="s">
        <v>273</v>
      </c>
      <c r="H53" s="342"/>
      <c r="I53" s="342"/>
      <c r="J53" s="342"/>
      <c r="K53" s="342"/>
      <c r="L53" s="342"/>
      <c r="M53" s="342"/>
      <c r="N53" s="342"/>
      <c r="O53" s="243"/>
      <c r="P53" s="243"/>
      <c r="Q53" s="243"/>
      <c r="R53" s="243"/>
    </row>
    <row r="54" spans="1:18" ht="54">
      <c r="A54" s="243" t="s">
        <v>302</v>
      </c>
      <c r="B54" s="254" t="s">
        <v>303</v>
      </c>
      <c r="C54" s="244" t="s">
        <v>285</v>
      </c>
      <c r="D54" s="250" t="s">
        <v>304</v>
      </c>
      <c r="E54" s="250" t="s">
        <v>305</v>
      </c>
      <c r="F54" s="250" t="s">
        <v>306</v>
      </c>
      <c r="G54" s="250" t="s">
        <v>307</v>
      </c>
      <c r="H54" s="250" t="s">
        <v>308</v>
      </c>
      <c r="I54" s="250" t="s">
        <v>291</v>
      </c>
      <c r="J54" s="250" t="s">
        <v>292</v>
      </c>
      <c r="K54" s="250" t="s">
        <v>309</v>
      </c>
      <c r="L54" s="250" t="s">
        <v>294</v>
      </c>
      <c r="M54" s="250" t="s">
        <v>295</v>
      </c>
      <c r="N54" s="250" t="s">
        <v>296</v>
      </c>
      <c r="O54" s="245" t="s">
        <v>297</v>
      </c>
      <c r="P54" s="245" t="s">
        <v>298</v>
      </c>
      <c r="Q54" s="243"/>
      <c r="R54" s="243"/>
    </row>
    <row r="55" spans="1:18">
      <c r="A55" s="243"/>
      <c r="B55" s="243">
        <v>1</v>
      </c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</row>
    <row r="56" spans="1:18">
      <c r="A56" s="243"/>
      <c r="B56" s="243">
        <v>2</v>
      </c>
      <c r="C56" s="243"/>
      <c r="D56" s="247"/>
      <c r="E56" s="243"/>
      <c r="F56" s="247"/>
      <c r="G56" s="247"/>
      <c r="H56" s="247"/>
      <c r="I56" s="243"/>
      <c r="J56" s="243"/>
      <c r="K56" s="247"/>
      <c r="L56" s="247"/>
      <c r="M56" s="243"/>
      <c r="N56" s="243"/>
      <c r="O56" s="243"/>
      <c r="P56" s="247"/>
      <c r="Q56" s="243"/>
      <c r="R56" s="243"/>
    </row>
    <row r="57" spans="1:18">
      <c r="A57" s="243"/>
      <c r="B57" s="243">
        <v>3</v>
      </c>
      <c r="C57" s="243"/>
      <c r="D57" s="247"/>
      <c r="E57" s="243"/>
      <c r="F57" s="243"/>
      <c r="G57" s="247"/>
      <c r="H57" s="247"/>
      <c r="I57" s="243"/>
      <c r="J57" s="243"/>
      <c r="K57" s="243"/>
      <c r="L57" s="243"/>
      <c r="M57" s="243"/>
      <c r="N57" s="243"/>
      <c r="O57" s="243"/>
      <c r="P57" s="247"/>
      <c r="Q57" s="243"/>
      <c r="R57" s="243"/>
    </row>
    <row r="58" spans="1:18">
      <c r="A58" s="243"/>
      <c r="B58" s="243">
        <v>4</v>
      </c>
      <c r="C58" s="243"/>
      <c r="D58" s="247"/>
      <c r="E58" s="247"/>
      <c r="F58" s="243"/>
      <c r="G58" s="243"/>
      <c r="H58" s="247"/>
      <c r="I58" s="243"/>
      <c r="J58" s="247"/>
      <c r="K58" s="243"/>
      <c r="L58" s="247"/>
      <c r="M58" s="243"/>
      <c r="N58" s="243"/>
      <c r="O58" s="243"/>
      <c r="P58" s="247"/>
      <c r="Q58" s="243"/>
      <c r="R58" s="243"/>
    </row>
    <row r="59" spans="1:18">
      <c r="A59" s="43"/>
      <c r="B59" s="243">
        <v>5</v>
      </c>
      <c r="C59" s="243"/>
      <c r="D59" s="247"/>
      <c r="E59" s="243"/>
      <c r="F59" s="243"/>
      <c r="G59" s="247"/>
      <c r="H59" s="247"/>
      <c r="I59" s="243"/>
      <c r="J59" s="243"/>
      <c r="K59" s="243"/>
      <c r="L59" s="243"/>
      <c r="M59" s="247"/>
      <c r="N59" s="243"/>
      <c r="O59" s="243"/>
      <c r="P59" s="247"/>
      <c r="Q59" s="243"/>
      <c r="R59" s="243"/>
    </row>
    <row r="60" spans="1:18">
      <c r="A60" s="43"/>
      <c r="B60" s="243">
        <v>6</v>
      </c>
      <c r="C60" s="243"/>
      <c r="D60" s="247"/>
      <c r="E60" s="243"/>
      <c r="F60" s="243"/>
      <c r="G60" s="247"/>
      <c r="H60" s="247"/>
      <c r="I60" s="243"/>
      <c r="J60" s="247"/>
      <c r="K60" s="243"/>
      <c r="L60" s="243"/>
      <c r="M60" s="243"/>
      <c r="N60" s="243"/>
      <c r="O60" s="243"/>
      <c r="P60" s="247"/>
      <c r="Q60" s="243"/>
      <c r="R60" s="243"/>
    </row>
    <row r="61" spans="1:18">
      <c r="A61" s="43"/>
      <c r="B61" s="243">
        <v>7</v>
      </c>
      <c r="C61" s="243"/>
      <c r="D61" s="243"/>
      <c r="E61" s="247"/>
      <c r="F61" s="243"/>
      <c r="G61" s="247"/>
      <c r="H61" s="247"/>
      <c r="I61" s="243"/>
      <c r="J61" s="243"/>
      <c r="K61" s="243"/>
      <c r="L61" s="247"/>
      <c r="M61" s="243"/>
      <c r="N61" s="247"/>
      <c r="O61" s="247"/>
      <c r="P61" s="243"/>
      <c r="Q61" s="243"/>
      <c r="R61" s="243"/>
    </row>
    <row r="62" spans="1:18">
      <c r="A62" s="43"/>
      <c r="B62" s="243">
        <v>8</v>
      </c>
      <c r="C62" s="243"/>
      <c r="D62" s="247"/>
      <c r="E62" s="243"/>
      <c r="F62" s="243"/>
      <c r="G62" s="247"/>
      <c r="H62" s="247"/>
      <c r="I62" s="243"/>
      <c r="J62" s="247"/>
      <c r="K62" s="243"/>
      <c r="L62" s="247"/>
      <c r="M62" s="247"/>
      <c r="N62" s="243"/>
      <c r="O62" s="247"/>
      <c r="P62" s="247"/>
      <c r="Q62" s="243"/>
      <c r="R62" s="243"/>
    </row>
    <row r="63" spans="1:18">
      <c r="A63" s="43"/>
      <c r="B63" s="243">
        <v>9</v>
      </c>
      <c r="C63" s="243"/>
      <c r="D63" s="243"/>
      <c r="E63" s="243"/>
      <c r="F63" s="243"/>
      <c r="G63" s="243"/>
      <c r="H63" s="243"/>
      <c r="I63" s="243"/>
      <c r="J63" s="243"/>
      <c r="K63" s="243"/>
      <c r="L63" s="243"/>
      <c r="M63" s="243"/>
      <c r="N63" s="243"/>
      <c r="O63" s="243"/>
      <c r="P63" s="243"/>
      <c r="Q63" s="243"/>
      <c r="R63" s="243"/>
    </row>
    <row r="64" spans="1:18">
      <c r="A64" s="43"/>
      <c r="B64" s="243">
        <v>10</v>
      </c>
      <c r="C64" s="243"/>
      <c r="D64" s="247"/>
      <c r="E64" s="247"/>
      <c r="F64" s="243"/>
      <c r="G64" s="247"/>
      <c r="H64" s="247"/>
      <c r="I64" s="243"/>
      <c r="J64" s="243"/>
      <c r="K64" s="243"/>
      <c r="L64" s="247"/>
      <c r="M64" s="247"/>
      <c r="N64" s="247"/>
      <c r="O64" s="247"/>
      <c r="P64" s="247"/>
      <c r="Q64" s="243"/>
      <c r="R64" s="243"/>
    </row>
    <row r="65" spans="1:18">
      <c r="A65" s="43"/>
      <c r="B65" s="243">
        <v>11</v>
      </c>
      <c r="C65" s="243"/>
      <c r="D65" s="247"/>
      <c r="E65" s="243"/>
      <c r="F65" s="243"/>
      <c r="G65" s="243"/>
      <c r="H65" s="247"/>
      <c r="I65" s="243"/>
      <c r="J65" s="247"/>
      <c r="K65" s="243"/>
      <c r="L65" s="243"/>
      <c r="M65" s="247"/>
      <c r="N65" s="247"/>
      <c r="O65" s="247"/>
      <c r="P65" s="247"/>
      <c r="Q65" s="243"/>
      <c r="R65" s="243"/>
    </row>
    <row r="66" spans="1:18">
      <c r="A66" s="43"/>
      <c r="B66" s="243"/>
      <c r="C66" s="243"/>
      <c r="D66" s="243"/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</row>
    <row r="67" spans="1:18">
      <c r="A67" s="43"/>
      <c r="B67" s="243"/>
      <c r="C67" s="243"/>
      <c r="D67" s="251"/>
      <c r="E67" s="251"/>
      <c r="F67" s="251"/>
      <c r="G67" s="251"/>
      <c r="H67" s="251"/>
      <c r="I67" s="251"/>
      <c r="J67" s="251"/>
      <c r="K67" s="251"/>
      <c r="L67" s="251"/>
      <c r="M67" s="251"/>
      <c r="N67" s="251"/>
      <c r="O67" s="251"/>
      <c r="P67" s="243"/>
      <c r="Q67" s="243"/>
      <c r="R67" s="243"/>
    </row>
    <row r="68" spans="1:18" ht="15.75" thickBot="1">
      <c r="A68" s="243"/>
      <c r="B68" s="243"/>
      <c r="C68" s="243"/>
      <c r="D68" s="252"/>
      <c r="E68" s="252"/>
      <c r="F68" s="252"/>
      <c r="G68" s="252"/>
      <c r="H68" s="252"/>
      <c r="I68" s="253"/>
      <c r="J68" s="252"/>
      <c r="K68" s="252"/>
      <c r="L68" s="252"/>
      <c r="M68" s="252"/>
      <c r="N68" s="252"/>
      <c r="O68" s="253"/>
      <c r="P68" s="252"/>
      <c r="Q68" s="243"/>
      <c r="R68" s="243"/>
    </row>
    <row r="69" spans="1:18" ht="15.75" thickTop="1">
      <c r="A69" s="243"/>
      <c r="B69" s="243"/>
      <c r="C69" s="243"/>
      <c r="D69" s="243"/>
      <c r="E69" s="243"/>
      <c r="F69" s="243"/>
      <c r="G69" s="243"/>
      <c r="H69" s="243"/>
      <c r="I69" s="243"/>
      <c r="J69" s="243"/>
      <c r="K69" s="243"/>
      <c r="L69" s="243"/>
      <c r="M69" s="243"/>
      <c r="N69" s="243"/>
      <c r="O69" s="243"/>
      <c r="P69" s="243"/>
      <c r="Q69" s="243"/>
      <c r="R69" s="243"/>
    </row>
    <row r="70" spans="1:18">
      <c r="A70" s="243"/>
      <c r="B70" s="243" t="s">
        <v>175</v>
      </c>
      <c r="C70" s="243"/>
      <c r="D70" s="243" t="s">
        <v>310</v>
      </c>
      <c r="E70" s="243" t="s">
        <v>311</v>
      </c>
      <c r="F70" s="243" t="s">
        <v>311</v>
      </c>
      <c r="G70" s="243" t="s">
        <v>311</v>
      </c>
      <c r="H70" s="243" t="s">
        <v>311</v>
      </c>
      <c r="I70" s="243" t="s">
        <v>311</v>
      </c>
      <c r="J70" s="243" t="s">
        <v>311</v>
      </c>
      <c r="K70" s="243" t="s">
        <v>311</v>
      </c>
      <c r="L70" s="243" t="s">
        <v>311</v>
      </c>
      <c r="M70" s="243" t="s">
        <v>311</v>
      </c>
      <c r="N70" s="243" t="s">
        <v>311</v>
      </c>
      <c r="O70" s="243" t="s">
        <v>311</v>
      </c>
      <c r="P70" s="243" t="s">
        <v>311</v>
      </c>
      <c r="Q70" s="243"/>
      <c r="R70" s="243"/>
    </row>
    <row r="71" spans="1:18">
      <c r="A71" s="243"/>
      <c r="B71" s="243"/>
      <c r="C71" s="243"/>
      <c r="D71" s="243"/>
      <c r="E71" s="243"/>
      <c r="F71" s="243"/>
      <c r="G71" s="243"/>
      <c r="H71" s="243"/>
      <c r="I71" s="243"/>
      <c r="J71" s="243"/>
      <c r="K71" s="243"/>
      <c r="L71" s="243"/>
      <c r="M71" s="243"/>
      <c r="N71" s="243"/>
      <c r="O71" s="243"/>
      <c r="P71" s="243"/>
      <c r="Q71" s="243"/>
      <c r="R71" s="243"/>
    </row>
    <row r="72" spans="1:18">
      <c r="A72" s="43"/>
      <c r="B72" s="43" t="s">
        <v>302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43"/>
      <c r="O72" s="243"/>
      <c r="P72" s="243"/>
      <c r="Q72" s="243"/>
      <c r="R72" s="243"/>
    </row>
    <row r="73" spans="1:18">
      <c r="E73" s="117"/>
      <c r="F73" s="117"/>
    </row>
    <row r="74" spans="1:18">
      <c r="E74" s="117"/>
      <c r="F74" s="117"/>
    </row>
    <row r="75" spans="1:18">
      <c r="E75" s="117"/>
      <c r="F75" s="117"/>
    </row>
    <row r="76" spans="1:18">
      <c r="E76" s="117"/>
      <c r="F76" s="117"/>
    </row>
    <row r="77" spans="1:18">
      <c r="E77" s="117"/>
      <c r="F77" s="117"/>
    </row>
    <row r="78" spans="1:18">
      <c r="E78" s="117"/>
      <c r="F78" s="117"/>
    </row>
    <row r="79" spans="1:18">
      <c r="E79" s="117"/>
      <c r="F79" s="117"/>
    </row>
    <row r="80" spans="1:18">
      <c r="E80" s="117"/>
      <c r="F80" s="117"/>
    </row>
    <row r="81" spans="5:6">
      <c r="E81" s="117"/>
      <c r="F81" s="117"/>
    </row>
    <row r="82" spans="5:6">
      <c r="E82" s="117"/>
      <c r="F82" s="117"/>
    </row>
    <row r="83" spans="5:6">
      <c r="E83" s="117"/>
      <c r="F83" s="117"/>
    </row>
    <row r="84" spans="5:6">
      <c r="E84" s="117"/>
      <c r="F84" s="117"/>
    </row>
    <row r="85" spans="5:6">
      <c r="E85" s="117"/>
      <c r="F85" s="117"/>
    </row>
    <row r="86" spans="5:6">
      <c r="E86" s="117"/>
      <c r="F86" s="117"/>
    </row>
    <row r="87" spans="5:6">
      <c r="E87" s="117"/>
      <c r="F87" s="117"/>
    </row>
    <row r="88" spans="5:6">
      <c r="E88" s="117"/>
      <c r="F88" s="117"/>
    </row>
    <row r="89" spans="5:6">
      <c r="E89" s="117"/>
      <c r="F89" s="117"/>
    </row>
    <row r="90" spans="5:6">
      <c r="E90" s="117"/>
      <c r="F90" s="117"/>
    </row>
    <row r="91" spans="5:6">
      <c r="E91" s="117"/>
      <c r="F91" s="117"/>
    </row>
    <row r="92" spans="5:6">
      <c r="E92" s="117"/>
      <c r="F92" s="117"/>
    </row>
    <row r="93" spans="5:6">
      <c r="E93" s="117"/>
      <c r="F93" s="117"/>
    </row>
    <row r="94" spans="5:6">
      <c r="E94" s="117"/>
      <c r="F94" s="117"/>
    </row>
    <row r="95" spans="5:6">
      <c r="E95" s="117"/>
      <c r="F95" s="117"/>
    </row>
    <row r="96" spans="5:6">
      <c r="E96" s="117"/>
      <c r="F96" s="117"/>
    </row>
    <row r="97" spans="5:6">
      <c r="E97" s="117"/>
      <c r="F97" s="117"/>
    </row>
    <row r="98" spans="5:6">
      <c r="E98" s="117"/>
      <c r="F98" s="117"/>
    </row>
    <row r="99" spans="5:6">
      <c r="E99" s="117"/>
      <c r="F99" s="117"/>
    </row>
    <row r="100" spans="5:6">
      <c r="E100" s="117"/>
      <c r="F100" s="117"/>
    </row>
    <row r="101" spans="5:6">
      <c r="E101" s="117"/>
      <c r="F101" s="117"/>
    </row>
    <row r="102" spans="5:6">
      <c r="E102" s="117"/>
      <c r="F102" s="117"/>
    </row>
    <row r="103" spans="5:6">
      <c r="E103" s="117"/>
      <c r="F103" s="117"/>
    </row>
    <row r="104" spans="5:6">
      <c r="E104" s="117"/>
      <c r="F104" s="117"/>
    </row>
    <row r="105" spans="5:6">
      <c r="E105" s="117"/>
      <c r="F105" s="117"/>
    </row>
    <row r="106" spans="5:6">
      <c r="E106" s="117"/>
      <c r="F106" s="117"/>
    </row>
    <row r="107" spans="5:6">
      <c r="E107" s="117"/>
      <c r="F107" s="117"/>
    </row>
    <row r="108" spans="5:6">
      <c r="E108" s="117"/>
      <c r="F108" s="117"/>
    </row>
    <row r="109" spans="5:6">
      <c r="E109" s="117"/>
      <c r="F109" s="117"/>
    </row>
    <row r="110" spans="5:6">
      <c r="E110" s="117"/>
      <c r="F110" s="117"/>
    </row>
    <row r="111" spans="5:6">
      <c r="E111" s="117"/>
      <c r="F111" s="117"/>
    </row>
    <row r="112" spans="5:6">
      <c r="E112" s="117"/>
      <c r="F112" s="117"/>
    </row>
    <row r="113" spans="5:6">
      <c r="E113" s="117"/>
      <c r="F113" s="117"/>
    </row>
    <row r="114" spans="5:6">
      <c r="E114" s="117"/>
      <c r="F114" s="117"/>
    </row>
    <row r="115" spans="5:6">
      <c r="E115" s="117"/>
      <c r="F115" s="117"/>
    </row>
    <row r="116" spans="5:6">
      <c r="E116" s="117"/>
      <c r="F116" s="117"/>
    </row>
    <row r="117" spans="5:6">
      <c r="E117" s="117"/>
      <c r="F117" s="117"/>
    </row>
    <row r="118" spans="5:6">
      <c r="E118" s="117"/>
      <c r="F118" s="117"/>
    </row>
    <row r="119" spans="5:6">
      <c r="E119" s="117"/>
      <c r="F119" s="117"/>
    </row>
    <row r="120" spans="5:6">
      <c r="E120" s="117"/>
      <c r="F120" s="117"/>
    </row>
    <row r="121" spans="5:6">
      <c r="E121" s="117"/>
      <c r="F121" s="117"/>
    </row>
    <row r="122" spans="5:6">
      <c r="E122" s="117"/>
      <c r="F122" s="117"/>
    </row>
    <row r="123" spans="5:6">
      <c r="E123" s="117"/>
      <c r="F123" s="117"/>
    </row>
    <row r="124" spans="5:6">
      <c r="E124" s="117"/>
      <c r="F124" s="117"/>
    </row>
    <row r="125" spans="5:6">
      <c r="E125" s="117"/>
      <c r="F125" s="117"/>
    </row>
    <row r="126" spans="5:6">
      <c r="E126" s="117"/>
      <c r="F126" s="117"/>
    </row>
    <row r="127" spans="5:6">
      <c r="E127" s="117"/>
      <c r="F127" s="117"/>
    </row>
    <row r="128" spans="5:6">
      <c r="E128" s="117"/>
      <c r="F128" s="117"/>
    </row>
    <row r="129" spans="5:6">
      <c r="E129" s="117"/>
      <c r="F129" s="117"/>
    </row>
    <row r="130" spans="5:6">
      <c r="E130" s="117"/>
      <c r="F130" s="117"/>
    </row>
    <row r="131" spans="5:6">
      <c r="E131" s="117"/>
      <c r="F131" s="117"/>
    </row>
    <row r="132" spans="5:6">
      <c r="E132" s="117"/>
      <c r="F132" s="117"/>
    </row>
    <row r="133" spans="5:6">
      <c r="E133" s="117"/>
      <c r="F133" s="117"/>
    </row>
    <row r="134" spans="5:6">
      <c r="E134" s="117"/>
      <c r="F134" s="117"/>
    </row>
    <row r="135" spans="5:6">
      <c r="E135" s="117"/>
      <c r="F135" s="117"/>
    </row>
    <row r="136" spans="5:6">
      <c r="E136" s="117"/>
      <c r="F136" s="117"/>
    </row>
    <row r="137" spans="5:6">
      <c r="E137" s="117"/>
      <c r="F137" s="117"/>
    </row>
    <row r="138" spans="5:6">
      <c r="E138" s="117"/>
      <c r="F138" s="117"/>
    </row>
    <row r="139" spans="5:6">
      <c r="E139" s="117"/>
      <c r="F139" s="117"/>
    </row>
    <row r="140" spans="5:6">
      <c r="E140" s="117"/>
      <c r="F140" s="117"/>
    </row>
    <row r="141" spans="5:6">
      <c r="E141" s="117"/>
      <c r="F141" s="117"/>
    </row>
    <row r="142" spans="5:6">
      <c r="E142" s="117"/>
      <c r="F142" s="117"/>
    </row>
    <row r="143" spans="5:6">
      <c r="E143" s="117"/>
      <c r="F143" s="117"/>
    </row>
    <row r="144" spans="5:6">
      <c r="E144" s="117"/>
      <c r="F144" s="117"/>
    </row>
    <row r="145" spans="5:6">
      <c r="E145" s="117"/>
      <c r="F145" s="117"/>
    </row>
    <row r="146" spans="5:6">
      <c r="E146" s="117"/>
      <c r="F146" s="117"/>
    </row>
    <row r="147" spans="5:6">
      <c r="E147" s="117"/>
      <c r="F147" s="117"/>
    </row>
    <row r="148" spans="5:6">
      <c r="E148" s="117"/>
      <c r="F148" s="117"/>
    </row>
    <row r="149" spans="5:6">
      <c r="E149" s="117"/>
      <c r="F149" s="117"/>
    </row>
    <row r="150" spans="5:6">
      <c r="E150" s="117"/>
      <c r="F150" s="117"/>
    </row>
    <row r="151" spans="5:6">
      <c r="E151" s="117"/>
      <c r="F151" s="117"/>
    </row>
    <row r="152" spans="5:6">
      <c r="E152" s="117"/>
      <c r="F152" s="117"/>
    </row>
    <row r="153" spans="5:6">
      <c r="E153" s="117"/>
      <c r="F153" s="117"/>
    </row>
    <row r="154" spans="5:6">
      <c r="E154" s="117"/>
      <c r="F154" s="117"/>
    </row>
    <row r="155" spans="5:6">
      <c r="E155" s="117"/>
      <c r="F155" s="117"/>
    </row>
    <row r="156" spans="5:6">
      <c r="E156" s="117"/>
      <c r="F156" s="117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L25" sqref="L2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H1" s="57" t="s">
        <v>2</v>
      </c>
      <c r="I1" s="57" t="s">
        <v>3</v>
      </c>
    </row>
    <row r="2" spans="1:14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">
        <v>11</v>
      </c>
      <c r="I2" s="62" t="s">
        <v>312</v>
      </c>
    </row>
    <row r="3" spans="1:14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14" ht="18">
      <c r="D4" s="54"/>
      <c r="E4" s="54"/>
      <c r="F4" s="65"/>
      <c r="G4" s="66"/>
      <c r="I4" s="67"/>
    </row>
    <row r="5" spans="1:14" ht="18">
      <c r="A5" s="126" t="s">
        <v>209</v>
      </c>
      <c r="D5" s="54"/>
      <c r="E5" s="54"/>
      <c r="F5" s="65"/>
      <c r="G5" s="66"/>
      <c r="I5" s="67"/>
    </row>
    <row r="6" spans="1:14" ht="18">
      <c r="D6" s="54"/>
      <c r="E6" s="54"/>
      <c r="F6" s="65"/>
      <c r="G6" s="66"/>
      <c r="I6" s="67"/>
    </row>
    <row r="8" spans="1:14" s="70" customFormat="1" ht="25.5">
      <c r="A8" s="68" t="s">
        <v>107</v>
      </c>
      <c r="B8" s="343" t="s">
        <v>108</v>
      </c>
      <c r="C8" s="344"/>
      <c r="D8" s="344"/>
      <c r="E8" s="345"/>
      <c r="F8" s="69" t="s">
        <v>109</v>
      </c>
      <c r="G8" s="343" t="s">
        <v>157</v>
      </c>
      <c r="H8" s="309"/>
      <c r="I8" s="310"/>
    </row>
    <row r="10" spans="1:14">
      <c r="F10" s="71"/>
    </row>
    <row r="11" spans="1:14">
      <c r="A11" s="66"/>
      <c r="B11" s="66"/>
      <c r="C11" s="66" t="s">
        <v>313</v>
      </c>
      <c r="G11" s="86" t="s">
        <v>86</v>
      </c>
      <c r="I11" s="48" t="s">
        <v>314</v>
      </c>
    </row>
    <row r="12" spans="1:14">
      <c r="A12" s="66"/>
      <c r="B12" s="66"/>
      <c r="C12" t="s">
        <v>315</v>
      </c>
      <c r="G12" s="87">
        <v>825</v>
      </c>
      <c r="I12" s="59">
        <v>0</v>
      </c>
    </row>
    <row r="13" spans="1:14">
      <c r="A13" s="66"/>
      <c r="B13" s="66"/>
      <c r="C13" t="s">
        <v>316</v>
      </c>
      <c r="G13" s="87">
        <v>176</v>
      </c>
      <c r="I13" s="59">
        <f>+G13/11*0.75</f>
        <v>12</v>
      </c>
    </row>
    <row r="14" spans="1:14">
      <c r="C14" t="s">
        <v>317</v>
      </c>
      <c r="G14" s="87">
        <v>1111</v>
      </c>
      <c r="I14" s="59">
        <v>0</v>
      </c>
    </row>
    <row r="15" spans="1:14">
      <c r="C15" t="s">
        <v>318</v>
      </c>
      <c r="G15" s="88">
        <v>968</v>
      </c>
      <c r="I15" s="89">
        <f>+G15/11*0.75</f>
        <v>66</v>
      </c>
      <c r="K15" t="s">
        <v>319</v>
      </c>
      <c r="N15" s="90">
        <f>+G15/G16</f>
        <v>0.31428571428571428</v>
      </c>
    </row>
    <row r="16" spans="1:14">
      <c r="G16" s="71">
        <f>SUM(G12:G15)</f>
        <v>3080</v>
      </c>
      <c r="I16" s="71">
        <f>SUM(I12:I15)</f>
        <v>78</v>
      </c>
      <c r="K16" t="s">
        <v>320</v>
      </c>
      <c r="N16" s="91">
        <v>759</v>
      </c>
    </row>
    <row r="17" spans="1:14">
      <c r="A17" s="66"/>
      <c r="B17" s="66"/>
      <c r="C17" s="66"/>
      <c r="F17" s="71"/>
      <c r="K17" t="s">
        <v>321</v>
      </c>
      <c r="N17">
        <f>ROUND(N16-N18,0)</f>
        <v>521</v>
      </c>
    </row>
    <row r="18" spans="1:14">
      <c r="A18" s="78"/>
      <c r="B18" s="78"/>
      <c r="C18" s="66"/>
      <c r="F18" s="71"/>
      <c r="K18" t="s">
        <v>322</v>
      </c>
      <c r="N18">
        <f>ROUNDDOWN(N16*N15,0)</f>
        <v>238</v>
      </c>
    </row>
    <row r="19" spans="1:14">
      <c r="C19" s="78" t="s">
        <v>323</v>
      </c>
      <c r="E19" s="48" t="s">
        <v>321</v>
      </c>
      <c r="F19" s="86" t="s">
        <v>322</v>
      </c>
      <c r="G19" s="48" t="s">
        <v>86</v>
      </c>
      <c r="I19" s="48" t="s">
        <v>324</v>
      </c>
    </row>
    <row r="20" spans="1:14">
      <c r="C20" s="74">
        <v>44105</v>
      </c>
      <c r="E20" s="87">
        <v>513</v>
      </c>
      <c r="F20" s="87">
        <v>213</v>
      </c>
      <c r="G20" s="92">
        <f>SUM(E20:F20)</f>
        <v>726</v>
      </c>
      <c r="I20" s="59">
        <f>+F20/11*0.75</f>
        <v>14.522727272727273</v>
      </c>
    </row>
    <row r="21" spans="1:14">
      <c r="C21" s="74">
        <v>44197</v>
      </c>
      <c r="E21" s="71">
        <f>+E20</f>
        <v>513</v>
      </c>
      <c r="F21" s="71">
        <f>+F20</f>
        <v>213</v>
      </c>
      <c r="G21" s="92">
        <f>SUM(E21:F21)</f>
        <v>726</v>
      </c>
      <c r="I21" s="59">
        <f>+F21/11*0.75</f>
        <v>14.522727272727273</v>
      </c>
    </row>
    <row r="22" spans="1:14">
      <c r="C22" s="74">
        <v>44287</v>
      </c>
      <c r="E22" s="71">
        <f>+E20</f>
        <v>513</v>
      </c>
      <c r="F22" s="71">
        <f>+F20</f>
        <v>213</v>
      </c>
      <c r="G22" s="92">
        <f>SUM(E22:F22)</f>
        <v>726</v>
      </c>
      <c r="I22" s="71">
        <f>+F22/11*0.75</f>
        <v>14.522727272727273</v>
      </c>
    </row>
    <row r="23" spans="1:14">
      <c r="C23" s="74">
        <v>44378</v>
      </c>
      <c r="E23" s="89">
        <f>+E20</f>
        <v>513</v>
      </c>
      <c r="F23" s="89">
        <f>+F20</f>
        <v>213</v>
      </c>
      <c r="G23" s="93">
        <f>SUM(E23:F23)</f>
        <v>726</v>
      </c>
      <c r="I23" s="89">
        <f>+F23/11*0.75</f>
        <v>14.522727272727273</v>
      </c>
    </row>
    <row r="24" spans="1:14">
      <c r="E24" s="92">
        <f t="shared" ref="E24:G24" si="0">SUM(E20:E23)</f>
        <v>2052</v>
      </c>
      <c r="F24" s="92">
        <f t="shared" si="0"/>
        <v>852</v>
      </c>
      <c r="G24" s="92">
        <f t="shared" si="0"/>
        <v>2904</v>
      </c>
      <c r="I24" s="92">
        <f>SUM(I20:I23)</f>
        <v>58.090909090909093</v>
      </c>
    </row>
    <row r="25" spans="1:14">
      <c r="F25" s="71"/>
    </row>
    <row r="26" spans="1:14">
      <c r="C26" s="78" t="s">
        <v>325</v>
      </c>
      <c r="F26" s="81"/>
    </row>
    <row r="27" spans="1:14">
      <c r="C27" t="s">
        <v>326</v>
      </c>
      <c r="G27" s="92">
        <f>+G12</f>
        <v>825</v>
      </c>
    </row>
    <row r="28" spans="1:14">
      <c r="C28" t="s">
        <v>327</v>
      </c>
      <c r="F28" s="81"/>
      <c r="G28" s="92">
        <f>+G13</f>
        <v>176</v>
      </c>
      <c r="I28" s="59">
        <f>+G28/11*0.75</f>
        <v>12</v>
      </c>
    </row>
    <row r="29" spans="1:14">
      <c r="C29" t="s">
        <v>321</v>
      </c>
      <c r="F29" s="80"/>
      <c r="G29" s="92">
        <f>+G14-E24</f>
        <v>-941</v>
      </c>
    </row>
    <row r="30" spans="1:14">
      <c r="C30" t="s">
        <v>322</v>
      </c>
      <c r="F30" s="71"/>
      <c r="G30" s="93">
        <f>+G15-F24</f>
        <v>116</v>
      </c>
      <c r="I30" s="89">
        <f>+G30/11*0.75</f>
        <v>7.9090909090909083</v>
      </c>
    </row>
    <row r="31" spans="1:14">
      <c r="G31" s="92">
        <f>SUM(G27:G30)</f>
        <v>176</v>
      </c>
      <c r="I31" s="59">
        <f>SUM(I27:I30)</f>
        <v>19.909090909090907</v>
      </c>
    </row>
    <row r="34" spans="3:3">
      <c r="C3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L27"/>
  <sheetViews>
    <sheetView topLeftCell="A4" workbookViewId="0">
      <selection activeCell="G20" sqref="G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24" bestFit="1" customWidth="1"/>
    <col min="11" max="11" width="14.28515625" customWidth="1"/>
  </cols>
  <sheetData>
    <row r="1" spans="1:12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H1" s="57" t="s">
        <v>2</v>
      </c>
      <c r="I1" s="57" t="s">
        <v>3</v>
      </c>
    </row>
    <row r="2" spans="1:12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12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12" ht="18">
      <c r="D4" s="54"/>
      <c r="E4" s="54"/>
      <c r="F4" s="65"/>
      <c r="G4" s="66"/>
      <c r="I4" s="67"/>
    </row>
    <row r="5" spans="1:12" ht="18">
      <c r="A5" s="126" t="s">
        <v>328</v>
      </c>
      <c r="D5" s="54"/>
      <c r="E5" s="54"/>
      <c r="F5" s="65"/>
      <c r="G5" s="66"/>
      <c r="I5" s="67"/>
    </row>
    <row r="6" spans="1:12" ht="18.75">
      <c r="D6" s="1"/>
      <c r="E6" s="1"/>
      <c r="F6" s="137"/>
      <c r="G6" s="4"/>
      <c r="I6" s="67"/>
    </row>
    <row r="8" spans="1:12" s="70" customFormat="1" ht="25.5">
      <c r="A8" s="131" t="s">
        <v>107</v>
      </c>
      <c r="B8" s="346" t="s">
        <v>108</v>
      </c>
      <c r="C8" s="347"/>
      <c r="D8" s="347"/>
      <c r="E8" s="348"/>
      <c r="F8" s="132" t="s">
        <v>109</v>
      </c>
      <c r="G8" s="346" t="s">
        <v>157</v>
      </c>
      <c r="H8" s="309"/>
      <c r="I8" s="310"/>
    </row>
    <row r="10" spans="1:12">
      <c r="F10" s="71"/>
    </row>
    <row r="11" spans="1:12">
      <c r="A11" s="78">
        <v>30900</v>
      </c>
      <c r="B11" s="78"/>
      <c r="C11" s="78" t="s">
        <v>329</v>
      </c>
      <c r="F11" s="71"/>
    </row>
    <row r="12" spans="1:12">
      <c r="C12" t="s">
        <v>330</v>
      </c>
      <c r="G12" s="264">
        <f>+K13</f>
        <v>19667.63</v>
      </c>
      <c r="J12" s="48" t="s">
        <v>331</v>
      </c>
      <c r="K12" s="48" t="s">
        <v>109</v>
      </c>
    </row>
    <row r="13" spans="1:12">
      <c r="C13" t="s">
        <v>332</v>
      </c>
      <c r="G13" s="71">
        <f>+G12/11*0.75</f>
        <v>1340.9747727272727</v>
      </c>
      <c r="J13" t="s">
        <v>333</v>
      </c>
      <c r="K13">
        <f>701.15+1824.49+1852.42+1783.76+1833.1+1677.11+1729.65+1724.68+1535.86+1689.81+1661.64+1653.96</f>
        <v>19667.63</v>
      </c>
    </row>
    <row r="14" spans="1:12">
      <c r="C14" t="s">
        <v>334</v>
      </c>
      <c r="G14" s="85">
        <f>+G12-G13</f>
        <v>18326.655227272728</v>
      </c>
      <c r="J14" t="s">
        <v>335</v>
      </c>
      <c r="K14">
        <f>67.07+173.26+95.01+147.56+152.14+147.55+152.45+152.45+137.66+152.37+147.45+152.37</f>
        <v>1677.3400000000001</v>
      </c>
    </row>
    <row r="15" spans="1:12">
      <c r="G15" s="71"/>
      <c r="J15" t="s">
        <v>336</v>
      </c>
      <c r="K15">
        <v>22.69</v>
      </c>
    </row>
    <row r="16" spans="1:12" ht="15.75" thickBot="1">
      <c r="G16" s="59"/>
      <c r="K16" s="263">
        <f>SUM(K13:K15)</f>
        <v>21367.66</v>
      </c>
      <c r="L16" t="s">
        <v>337</v>
      </c>
    </row>
    <row r="17" spans="1:8" ht="15.75" thickTop="1">
      <c r="A17" s="78">
        <v>37500</v>
      </c>
      <c r="B17" s="78"/>
      <c r="C17" s="78" t="s">
        <v>338</v>
      </c>
      <c r="G17" s="59"/>
    </row>
    <row r="18" spans="1:8">
      <c r="C18" t="s">
        <v>339</v>
      </c>
      <c r="G18" s="261">
        <f>+K14</f>
        <v>1677.3400000000001</v>
      </c>
    </row>
    <row r="19" spans="1:8">
      <c r="C19" t="s">
        <v>340</v>
      </c>
      <c r="G19" s="265">
        <f>+K15</f>
        <v>22.69</v>
      </c>
    </row>
    <row r="20" spans="1:8">
      <c r="G20" s="59">
        <f>SUM(G18:G19)</f>
        <v>1700.0300000000002</v>
      </c>
    </row>
    <row r="21" spans="1:8">
      <c r="C21" t="s">
        <v>332</v>
      </c>
      <c r="G21" s="71">
        <f>+G20/11*0.75</f>
        <v>115.91113636363637</v>
      </c>
    </row>
    <row r="22" spans="1:8">
      <c r="C22" t="s">
        <v>341</v>
      </c>
      <c r="G22" s="85">
        <f>+G20-G21</f>
        <v>1584.1188636363638</v>
      </c>
      <c r="H22" s="78" t="s">
        <v>342</v>
      </c>
    </row>
    <row r="27" spans="1:8">
      <c r="G27" s="260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BE7D3-FCB0-4B19-8012-71BC9F6B399D}">
  <dimension ref="A1:I11"/>
  <sheetViews>
    <sheetView tabSelected="1" workbookViewId="0">
      <selection activeCell="G19" sqref="G18:G19"/>
    </sheetView>
  </sheetViews>
  <sheetFormatPr defaultRowHeight="15"/>
  <cols>
    <col min="1" max="1" width="19.85546875" bestFit="1" customWidth="1"/>
    <col min="3" max="3" width="19.85546875" customWidth="1"/>
    <col min="4" max="4" width="18.42578125" bestFit="1" customWidth="1"/>
    <col min="5" max="5" width="15.85546875" bestFit="1" customWidth="1"/>
  </cols>
  <sheetData>
    <row r="1" spans="1:9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H1" s="57" t="s">
        <v>2</v>
      </c>
      <c r="I1" s="57" t="s">
        <v>3</v>
      </c>
    </row>
    <row r="2" spans="1:9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9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9" ht="18">
      <c r="D4" s="54"/>
      <c r="E4" s="54"/>
      <c r="F4" s="65"/>
      <c r="G4" s="66"/>
      <c r="I4" s="67"/>
    </row>
    <row r="5" spans="1:9">
      <c r="A5" s="243"/>
      <c r="B5" s="243"/>
      <c r="C5" s="243"/>
      <c r="D5" s="243"/>
      <c r="E5" s="243"/>
      <c r="F5" s="243"/>
      <c r="G5" s="243"/>
      <c r="H5" s="243"/>
      <c r="I5" s="243"/>
    </row>
    <row r="6" spans="1:9">
      <c r="A6" s="243"/>
      <c r="B6" s="243"/>
      <c r="C6" s="243"/>
      <c r="D6" s="243"/>
      <c r="E6" s="243"/>
      <c r="F6" s="243"/>
      <c r="G6" s="243"/>
      <c r="H6" s="243"/>
      <c r="I6" s="243"/>
    </row>
    <row r="7" spans="1:9">
      <c r="A7" s="243"/>
      <c r="B7" s="243"/>
      <c r="C7" s="243"/>
      <c r="D7" s="243"/>
      <c r="E7" s="243"/>
      <c r="F7" s="243"/>
      <c r="G7" s="243"/>
      <c r="H7" s="243"/>
      <c r="I7" s="243"/>
    </row>
    <row r="8" spans="1:9">
      <c r="A8" s="244" t="s">
        <v>343</v>
      </c>
      <c r="B8" s="243"/>
      <c r="C8" s="245" t="s">
        <v>344</v>
      </c>
      <c r="D8" s="245" t="s">
        <v>345</v>
      </c>
      <c r="E8" s="245"/>
      <c r="F8" s="245" t="s">
        <v>346</v>
      </c>
      <c r="G8" s="246"/>
      <c r="H8" s="244" t="s">
        <v>347</v>
      </c>
      <c r="I8" s="243"/>
    </row>
    <row r="9" spans="1:9">
      <c r="A9" s="243" t="s">
        <v>348</v>
      </c>
      <c r="B9" s="243"/>
      <c r="C9" s="247">
        <v>93775.46</v>
      </c>
      <c r="D9" s="247">
        <v>93775.46</v>
      </c>
      <c r="E9" s="243"/>
      <c r="F9" s="247">
        <f>C9-D9</f>
        <v>0</v>
      </c>
      <c r="G9" s="243"/>
      <c r="H9" s="243" t="s">
        <v>349</v>
      </c>
      <c r="I9" s="243"/>
    </row>
    <row r="10" spans="1:9">
      <c r="A10" s="243"/>
      <c r="B10" s="243"/>
      <c r="C10" s="247"/>
      <c r="D10" s="243"/>
      <c r="E10" s="243"/>
      <c r="F10" s="247"/>
      <c r="G10" s="243"/>
      <c r="H10" s="243"/>
      <c r="I10" s="243"/>
    </row>
    <row r="11" spans="1:9">
      <c r="A11" s="243"/>
      <c r="B11" s="243"/>
      <c r="C11" s="247"/>
      <c r="D11" s="243"/>
      <c r="E11" s="243"/>
      <c r="F11" s="247"/>
      <c r="G11" s="243"/>
      <c r="H11" s="243"/>
      <c r="I11" s="243"/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topLeftCell="A11" workbookViewId="0">
      <selection activeCell="K19" sqref="K19"/>
    </sheetView>
  </sheetViews>
  <sheetFormatPr defaultRowHeight="15"/>
  <cols>
    <col min="3" max="3" width="14" customWidth="1"/>
    <col min="4" max="4" width="15.5703125" bestFit="1" customWidth="1"/>
    <col min="5" max="7" width="12.42578125" customWidth="1"/>
    <col min="8" max="8" width="6.140625" customWidth="1"/>
    <col min="9" max="9" width="12.42578125" customWidth="1"/>
    <col min="10" max="10" width="15.7109375" bestFit="1" customWidth="1"/>
    <col min="11" max="11" width="15.5703125" bestFit="1" customWidth="1"/>
    <col min="12" max="12" width="12.42578125" customWidth="1"/>
    <col min="13" max="13" width="4.7109375" customWidth="1"/>
    <col min="14" max="14" width="13" customWidth="1"/>
  </cols>
  <sheetData>
    <row r="1" spans="1:14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H1" s="57" t="s">
        <v>2</v>
      </c>
      <c r="I1" s="57" t="s">
        <v>3</v>
      </c>
    </row>
    <row r="2" spans="1:14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14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14" ht="18">
      <c r="D4" s="54"/>
      <c r="E4" s="54"/>
      <c r="F4" s="65"/>
      <c r="G4" s="66"/>
      <c r="I4" s="67"/>
    </row>
    <row r="5" spans="1:14" ht="18">
      <c r="A5" s="126" t="s">
        <v>80</v>
      </c>
      <c r="D5" s="54"/>
      <c r="E5" s="54"/>
      <c r="F5" s="65"/>
      <c r="G5" s="66"/>
      <c r="I5" s="67"/>
    </row>
    <row r="6" spans="1:14" ht="18.75">
      <c r="B6" s="1"/>
      <c r="C6" s="3"/>
      <c r="D6" s="1"/>
      <c r="E6" s="1"/>
      <c r="F6" s="127"/>
    </row>
    <row r="8" spans="1:14">
      <c r="H8" s="48"/>
    </row>
    <row r="9" spans="1:14">
      <c r="B9" t="s">
        <v>81</v>
      </c>
      <c r="D9" s="297" t="s">
        <v>82</v>
      </c>
      <c r="E9" s="297"/>
      <c r="F9" s="297"/>
      <c r="G9" s="297"/>
      <c r="I9" s="297" t="s">
        <v>83</v>
      </c>
      <c r="J9" s="297"/>
      <c r="K9" s="297"/>
      <c r="L9" s="297"/>
      <c r="N9" s="296" t="s">
        <v>84</v>
      </c>
    </row>
    <row r="10" spans="1:14">
      <c r="B10" t="s">
        <v>85</v>
      </c>
      <c r="D10" s="128">
        <v>16497</v>
      </c>
      <c r="E10" s="129">
        <f>+D10</f>
        <v>16497</v>
      </c>
      <c r="F10" s="129">
        <f>+D10</f>
        <v>16497</v>
      </c>
      <c r="G10" s="48" t="s">
        <v>86</v>
      </c>
      <c r="I10" s="128">
        <v>18727</v>
      </c>
      <c r="J10" s="129">
        <f>+I10</f>
        <v>18727</v>
      </c>
      <c r="K10" s="129">
        <f>+I10</f>
        <v>18727</v>
      </c>
      <c r="L10" s="48" t="s">
        <v>86</v>
      </c>
      <c r="N10" s="296"/>
    </row>
    <row r="11" spans="1:14">
      <c r="B11" t="s">
        <v>87</v>
      </c>
      <c r="D11" s="130">
        <f>(D14-D10)/365.25</f>
        <v>77.333333333333329</v>
      </c>
      <c r="E11" s="130">
        <f>(E14-E10)/365.25</f>
        <v>77.333333333333329</v>
      </c>
      <c r="F11" s="130">
        <f>(F14-F10)/365.25</f>
        <v>77.333333333333329</v>
      </c>
      <c r="G11" s="130"/>
      <c r="I11" s="130">
        <f>(I14-I10)/365.25</f>
        <v>71.227926078028744</v>
      </c>
      <c r="J11" s="130">
        <f>(J14-J10)/365.25</f>
        <v>71.227926078028744</v>
      </c>
      <c r="K11" s="130">
        <f>(K14-K10)/365.25</f>
        <v>71.227926078028744</v>
      </c>
      <c r="N11" s="296"/>
    </row>
    <row r="14" spans="1:14">
      <c r="B14" t="s">
        <v>88</v>
      </c>
      <c r="D14" s="129">
        <v>44743</v>
      </c>
      <c r="E14" s="129">
        <v>44743</v>
      </c>
      <c r="F14" s="129">
        <v>44743</v>
      </c>
      <c r="G14" s="129"/>
      <c r="I14" s="129">
        <v>44743</v>
      </c>
      <c r="J14" s="129">
        <v>44743</v>
      </c>
      <c r="K14" s="129">
        <v>44743</v>
      </c>
    </row>
    <row r="16" spans="1:14">
      <c r="B16" t="s">
        <v>89</v>
      </c>
      <c r="D16" s="261" t="s">
        <v>90</v>
      </c>
      <c r="E16" s="261"/>
      <c r="F16" s="261"/>
      <c r="I16" s="261"/>
      <c r="J16" s="261" t="s">
        <v>91</v>
      </c>
      <c r="K16" s="261" t="s">
        <v>92</v>
      </c>
    </row>
    <row r="17" spans="1:14">
      <c r="B17" t="s">
        <v>93</v>
      </c>
      <c r="D17" s="261" t="s">
        <v>94</v>
      </c>
      <c r="E17" s="261" t="s">
        <v>94</v>
      </c>
      <c r="F17" s="261" t="s">
        <v>94</v>
      </c>
      <c r="I17" s="261" t="s">
        <v>95</v>
      </c>
      <c r="J17" s="261" t="s">
        <v>94</v>
      </c>
      <c r="K17" s="261" t="s">
        <v>94</v>
      </c>
    </row>
    <row r="18" spans="1:14">
      <c r="B18" t="s">
        <v>96</v>
      </c>
      <c r="D18" s="261">
        <v>1317325.4099999999</v>
      </c>
      <c r="E18" s="261"/>
      <c r="F18" s="261"/>
      <c r="G18" s="262"/>
      <c r="I18" s="261"/>
      <c r="J18" s="261"/>
      <c r="K18" s="261">
        <v>1778664.04</v>
      </c>
    </row>
    <row r="20" spans="1:14">
      <c r="B20" t="s">
        <v>97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0.06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0.06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0.06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0.05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0.05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0.05</v>
      </c>
    </row>
    <row r="22" spans="1:14">
      <c r="B22" t="s">
        <v>98</v>
      </c>
      <c r="D22" s="92">
        <f>D18*D20</f>
        <v>79039.52459999999</v>
      </c>
      <c r="E22" s="92">
        <f>E18*E20</f>
        <v>0</v>
      </c>
      <c r="F22" s="92">
        <f>F18*F20</f>
        <v>0</v>
      </c>
      <c r="G22" s="92"/>
      <c r="I22" s="92">
        <f>I18*I20</f>
        <v>0</v>
      </c>
      <c r="J22" s="92">
        <f>J18*J20</f>
        <v>0</v>
      </c>
      <c r="K22" s="92">
        <f>K18*K20</f>
        <v>88933.202000000005</v>
      </c>
    </row>
    <row r="23" spans="1:14" s="43" customFormat="1">
      <c r="B23" s="43" t="s">
        <v>99</v>
      </c>
      <c r="D23" s="44">
        <f>D18*(D20/2)</f>
        <v>39519.762299999995</v>
      </c>
      <c r="E23" s="44">
        <f>E18*(E20/2)</f>
        <v>0</v>
      </c>
      <c r="F23" s="44">
        <f>F18*(F20/2)</f>
        <v>0</v>
      </c>
      <c r="G23" s="44"/>
      <c r="I23" s="44">
        <f>I18*(I20/2)</f>
        <v>0</v>
      </c>
      <c r="J23" s="44">
        <f>J18*(J20/2)</f>
        <v>0</v>
      </c>
      <c r="K23" s="44">
        <f>K18*(K20/2)</f>
        <v>44466.601000000002</v>
      </c>
    </row>
    <row r="24" spans="1:14" s="45" customFormat="1" ht="15.75" thickBot="1">
      <c r="B24" s="45" t="s">
        <v>100</v>
      </c>
      <c r="D24" s="52">
        <f>ROUND(D23,-1)</f>
        <v>39520</v>
      </c>
      <c r="E24" s="52">
        <f>ROUND(E23,-1)</f>
        <v>0</v>
      </c>
      <c r="F24" s="52">
        <f>ROUND(F23,-1)</f>
        <v>0</v>
      </c>
      <c r="G24" s="47">
        <f>SUM(D24:F24)</f>
        <v>39520</v>
      </c>
      <c r="I24" s="52">
        <f>ROUND(I23,-1)</f>
        <v>0</v>
      </c>
      <c r="J24" s="52">
        <f>ROUND(J23,-1)</f>
        <v>0</v>
      </c>
      <c r="K24" s="52">
        <f>ROUND(K23,-1)</f>
        <v>44470</v>
      </c>
      <c r="L24" s="47">
        <f>SUM(I24:K24)</f>
        <v>44470</v>
      </c>
      <c r="N24" s="53">
        <f>G24+L24</f>
        <v>83990</v>
      </c>
    </row>
    <row r="25" spans="1:14" ht="15.75" thickTop="1"/>
    <row r="26" spans="1:14">
      <c r="B26" t="s">
        <v>101</v>
      </c>
      <c r="D26" s="92">
        <f>IF(D17="ABP",D18,D18*0.1)</f>
        <v>1317325.4099999999</v>
      </c>
      <c r="E26" s="92">
        <f t="shared" ref="E26:F26" si="0">IF(E17="ABP",E18,E18*0.1)</f>
        <v>0</v>
      </c>
      <c r="F26" s="92">
        <f t="shared" si="0"/>
        <v>0</v>
      </c>
      <c r="G26" s="92"/>
      <c r="I26" s="92">
        <f t="shared" ref="I26:K26" si="1">IF(I17="ABP",I18,I18*0.1)</f>
        <v>0</v>
      </c>
      <c r="J26" s="92">
        <f t="shared" si="1"/>
        <v>0</v>
      </c>
      <c r="K26" s="92">
        <f t="shared" si="1"/>
        <v>1778664.04</v>
      </c>
    </row>
    <row r="30" spans="1:14">
      <c r="A30" s="50" t="s">
        <v>102</v>
      </c>
      <c r="B30" s="50" t="s">
        <v>103</v>
      </c>
      <c r="C30" s="50" t="s">
        <v>104</v>
      </c>
      <c r="D30" s="50" t="s">
        <v>105</v>
      </c>
    </row>
    <row r="31" spans="1:14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4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4" sqref="D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H1" s="57" t="s">
        <v>2</v>
      </c>
      <c r="I1" s="57" t="s">
        <v>3</v>
      </c>
    </row>
    <row r="2" spans="1:9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9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9" ht="18">
      <c r="D4" s="54"/>
      <c r="E4" s="54"/>
      <c r="F4" s="65"/>
      <c r="G4" s="66"/>
      <c r="I4" s="67"/>
    </row>
    <row r="5" spans="1:9" ht="18">
      <c r="A5" s="126" t="s">
        <v>106</v>
      </c>
      <c r="D5" s="54"/>
      <c r="E5" s="54"/>
      <c r="F5" s="65"/>
      <c r="G5" s="66"/>
      <c r="I5" s="67"/>
    </row>
    <row r="6" spans="1:9" ht="18">
      <c r="A6" s="126"/>
      <c r="D6" s="54"/>
      <c r="E6" s="54"/>
      <c r="F6" s="65"/>
      <c r="G6" s="66"/>
      <c r="I6" s="67"/>
    </row>
    <row r="8" spans="1:9" s="70" customFormat="1" ht="30">
      <c r="A8" s="138" t="s">
        <v>107</v>
      </c>
      <c r="B8" s="300" t="s">
        <v>108</v>
      </c>
      <c r="C8" s="301"/>
      <c r="D8" s="301"/>
      <c r="E8" s="302"/>
      <c r="F8" s="139" t="s">
        <v>109</v>
      </c>
      <c r="G8" s="139" t="s">
        <v>109</v>
      </c>
      <c r="H8" s="139" t="s">
        <v>109</v>
      </c>
      <c r="I8" s="84"/>
    </row>
    <row r="10" spans="1:9">
      <c r="F10" s="71"/>
    </row>
    <row r="11" spans="1:9">
      <c r="A11" s="72"/>
      <c r="B11" s="72"/>
      <c r="C11" s="72" t="s">
        <v>110</v>
      </c>
      <c r="F11" s="73" t="s">
        <v>111</v>
      </c>
      <c r="G11" s="48" t="s">
        <v>112</v>
      </c>
      <c r="H11" s="48" t="s">
        <v>86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33">
        <v>0</v>
      </c>
      <c r="H13" s="134">
        <f>SUM(F13:G13)</f>
        <v>0</v>
      </c>
      <c r="I13" t="s">
        <v>113</v>
      </c>
    </row>
    <row r="14" spans="1:9">
      <c r="C14" s="74">
        <v>44896</v>
      </c>
      <c r="F14" s="75">
        <v>0</v>
      </c>
      <c r="G14" s="133">
        <v>0</v>
      </c>
      <c r="H14" s="134">
        <f>SUM(F14:G14)</f>
        <v>0</v>
      </c>
      <c r="I14" t="s">
        <v>114</v>
      </c>
    </row>
    <row r="15" spans="1:9">
      <c r="C15" s="74">
        <v>44986</v>
      </c>
      <c r="F15" s="75"/>
      <c r="G15" s="133"/>
      <c r="H15" s="134">
        <f>SUM(F15:G15)</f>
        <v>0</v>
      </c>
      <c r="I15" t="s">
        <v>115</v>
      </c>
    </row>
    <row r="16" spans="1:9">
      <c r="F16" s="76"/>
      <c r="G16" s="134"/>
      <c r="H16" s="134"/>
      <c r="I16" t="s">
        <v>116</v>
      </c>
    </row>
    <row r="17" spans="3:9" ht="15.75" thickBot="1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>
      <c r="C19" s="78" t="s">
        <v>117</v>
      </c>
      <c r="F19">
        <f>COUNT(F13:F15)</f>
        <v>2</v>
      </c>
      <c r="G19">
        <f>COUNT(G13:G15)</f>
        <v>2</v>
      </c>
    </row>
    <row r="21" spans="3:9">
      <c r="C21" t="s">
        <v>118</v>
      </c>
      <c r="F21" s="75"/>
      <c r="I21" t="s">
        <v>119</v>
      </c>
    </row>
    <row r="23" spans="3:9">
      <c r="C23" t="s">
        <v>120</v>
      </c>
      <c r="F23" s="79"/>
      <c r="G23" s="135"/>
      <c r="H23" s="80"/>
      <c r="I23" t="s">
        <v>121</v>
      </c>
    </row>
    <row r="24" spans="3:9">
      <c r="C24" t="s">
        <v>122</v>
      </c>
      <c r="F24" s="81"/>
      <c r="G24" s="135"/>
      <c r="H24" s="80"/>
    </row>
    <row r="25" spans="3:9">
      <c r="C25" t="s">
        <v>123</v>
      </c>
      <c r="F25" s="80"/>
      <c r="G25" s="136"/>
      <c r="H25" s="80"/>
    </row>
    <row r="26" spans="3:9">
      <c r="C26" t="s">
        <v>124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125</v>
      </c>
      <c r="F29" s="76">
        <f>ROUND(F21/4,0)</f>
        <v>0</v>
      </c>
      <c r="G29" s="134">
        <f>ROUND(G26/4,0)</f>
        <v>0</v>
      </c>
      <c r="H29" s="80"/>
    </row>
    <row r="30" spans="3:9">
      <c r="C30" t="s">
        <v>126</v>
      </c>
      <c r="F30" s="76">
        <f>(F29*F19)-F17</f>
        <v>0</v>
      </c>
      <c r="G30" s="76">
        <f>(G29*G19)-G17</f>
        <v>0</v>
      </c>
      <c r="H30" s="80"/>
    </row>
    <row r="31" spans="3:9">
      <c r="F31" s="79"/>
      <c r="G31" s="80"/>
      <c r="H31" s="80"/>
    </row>
    <row r="32" spans="3:9">
      <c r="C32" s="78" t="s">
        <v>127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0</v>
      </c>
      <c r="H33" s="134">
        <f t="shared" ref="H33:H36" si="0">SUM(F33:G33)</f>
        <v>0</v>
      </c>
      <c r="L33" s="134"/>
    </row>
    <row r="34" spans="3:12">
      <c r="C34" s="74">
        <v>44896</v>
      </c>
      <c r="F34" s="83">
        <f>IF(F19=1,F29+F30,F14)</f>
        <v>0</v>
      </c>
      <c r="G34" s="83">
        <f>IF(G19=1,G29+G30,G14)</f>
        <v>0</v>
      </c>
      <c r="H34" s="134">
        <f t="shared" si="0"/>
        <v>0</v>
      </c>
      <c r="L34" s="134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34">
        <f t="shared" si="0"/>
        <v>0</v>
      </c>
    </row>
    <row r="36" spans="3:12">
      <c r="C36" s="74">
        <v>45078</v>
      </c>
      <c r="F36" s="83">
        <f>F21-SUM(F33:F35)</f>
        <v>0</v>
      </c>
      <c r="G36" s="83">
        <f>ROUND(G26,0)-SUM(G33:G35)</f>
        <v>0</v>
      </c>
      <c r="H36" s="134">
        <f t="shared" si="0"/>
        <v>0</v>
      </c>
    </row>
    <row r="38" spans="3:12" ht="15.7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L31" sqref="L31"/>
    </sheetView>
  </sheetViews>
  <sheetFormatPr defaultColWidth="11.42578125" defaultRowHeight="16.5"/>
  <cols>
    <col min="1" max="1" width="13.7109375" style="112" customWidth="1"/>
    <col min="2" max="2" width="34.7109375" style="109" customWidth="1"/>
    <col min="3" max="8" width="14.5703125" style="109" customWidth="1"/>
    <col min="9" max="9" width="14.5703125" style="113" customWidth="1"/>
    <col min="10" max="10" width="15.28515625" style="109" customWidth="1"/>
    <col min="11" max="16384" width="11.42578125" style="109"/>
  </cols>
  <sheetData>
    <row r="1" spans="1:10" customFormat="1" ht="18">
      <c r="A1" s="124" t="s">
        <v>0</v>
      </c>
      <c r="B1" s="298" t="str">
        <f>Index!$C$1</f>
        <v>LOXTON SUPERANNUATION FUND</v>
      </c>
      <c r="C1" s="298"/>
      <c r="D1" s="298"/>
      <c r="F1" s="55"/>
      <c r="H1" s="57" t="s">
        <v>2</v>
      </c>
      <c r="I1" s="57" t="s">
        <v>3</v>
      </c>
    </row>
    <row r="2" spans="1:10" customFormat="1" ht="18">
      <c r="A2" s="124" t="s">
        <v>4</v>
      </c>
      <c r="B2" s="298" t="str">
        <f>Index!$C$2</f>
        <v>LOXA</v>
      </c>
      <c r="C2" s="298"/>
      <c r="D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10" customFormat="1" ht="18">
      <c r="A3" s="124" t="s">
        <v>9</v>
      </c>
      <c r="B3" s="299">
        <f>Index!$C$3</f>
        <v>44742</v>
      </c>
      <c r="C3" s="299"/>
      <c r="D3" s="299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10" customFormat="1" ht="18">
      <c r="A4" s="124"/>
      <c r="B4" s="54"/>
      <c r="D4" s="54"/>
      <c r="E4" s="54"/>
      <c r="F4" s="56"/>
      <c r="G4" s="125"/>
      <c r="H4" s="66"/>
      <c r="I4" s="67"/>
    </row>
    <row r="5" spans="1:10" customFormat="1" ht="18">
      <c r="A5" s="54" t="s">
        <v>128</v>
      </c>
      <c r="C5" s="58"/>
      <c r="F5" s="59"/>
      <c r="G5" s="59"/>
      <c r="H5" s="66"/>
      <c r="J5" s="67"/>
    </row>
    <row r="6" spans="1:10" ht="18">
      <c r="A6" s="63"/>
      <c r="B6" s="64"/>
      <c r="C6" s="110"/>
      <c r="D6" s="54"/>
      <c r="E6" s="54"/>
      <c r="F6" s="66"/>
      <c r="G6" s="66"/>
      <c r="H6" s="66"/>
      <c r="I6" s="111"/>
    </row>
    <row r="7" spans="1:10" s="146" customFormat="1" ht="15.75" thickBot="1">
      <c r="A7" s="148"/>
      <c r="C7" s="165"/>
      <c r="D7" s="165"/>
      <c r="E7" s="165"/>
      <c r="F7" s="117"/>
      <c r="G7" s="165"/>
      <c r="H7" s="165"/>
      <c r="I7" s="165"/>
    </row>
    <row r="8" spans="1:10" s="146" customFormat="1" ht="30.75" thickBot="1">
      <c r="A8" s="305" t="s">
        <v>129</v>
      </c>
      <c r="B8" s="306"/>
      <c r="C8" s="166" t="s">
        <v>130</v>
      </c>
      <c r="D8" s="166" t="s">
        <v>131</v>
      </c>
      <c r="E8" s="166" t="s">
        <v>132</v>
      </c>
      <c r="F8" s="166" t="s">
        <v>133</v>
      </c>
      <c r="G8" s="166" t="s">
        <v>134</v>
      </c>
      <c r="H8" s="166" t="s">
        <v>135</v>
      </c>
      <c r="I8" s="167" t="s">
        <v>136</v>
      </c>
    </row>
    <row r="9" spans="1:10" s="146" customFormat="1" ht="15">
      <c r="A9" s="168" t="s">
        <v>137</v>
      </c>
      <c r="B9" s="169"/>
      <c r="C9" s="170">
        <v>0</v>
      </c>
      <c r="D9" s="170">
        <v>0</v>
      </c>
      <c r="E9" s="170"/>
      <c r="F9" s="171">
        <v>0</v>
      </c>
      <c r="G9" s="170"/>
      <c r="H9" s="170"/>
      <c r="I9" s="170">
        <f>C9-D9+E9+F9+G9+H9</f>
        <v>0</v>
      </c>
    </row>
    <row r="10" spans="1:10" s="146" customFormat="1" ht="15">
      <c r="A10" s="172" t="s">
        <v>138</v>
      </c>
      <c r="B10" s="173"/>
      <c r="C10" s="170">
        <v>0</v>
      </c>
      <c r="D10" s="174">
        <v>0</v>
      </c>
      <c r="E10" s="174"/>
      <c r="F10" s="175">
        <v>0</v>
      </c>
      <c r="G10" s="174"/>
      <c r="H10" s="174"/>
      <c r="I10" s="170">
        <f>C10-D10+E10+F10+G10+H10</f>
        <v>0</v>
      </c>
    </row>
    <row r="11" spans="1:10" s="146" customFormat="1" ht="15">
      <c r="A11" s="172" t="s">
        <v>139</v>
      </c>
      <c r="B11" s="173"/>
      <c r="C11" s="170">
        <v>0</v>
      </c>
      <c r="D11" s="174">
        <v>0</v>
      </c>
      <c r="E11" s="174"/>
      <c r="F11" s="175">
        <v>0</v>
      </c>
      <c r="G11" s="174"/>
      <c r="H11" s="174"/>
      <c r="I11" s="170">
        <f>C11-D11+E11+F11+G11+H11</f>
        <v>0</v>
      </c>
    </row>
    <row r="12" spans="1:10" s="146" customFormat="1" ht="15">
      <c r="A12" s="172" t="s">
        <v>140</v>
      </c>
      <c r="B12" s="173"/>
      <c r="C12" s="170">
        <v>0</v>
      </c>
      <c r="D12" s="174">
        <v>0</v>
      </c>
      <c r="E12" s="174"/>
      <c r="F12" s="175">
        <v>0</v>
      </c>
      <c r="G12" s="174"/>
      <c r="H12" s="174"/>
      <c r="I12" s="170">
        <f>C12-D12+E12+F12+G12+H12</f>
        <v>0</v>
      </c>
    </row>
    <row r="13" spans="1:10" s="146" customFormat="1" ht="15">
      <c r="A13" s="176"/>
      <c r="B13" s="165" t="s">
        <v>141</v>
      </c>
      <c r="C13" s="177">
        <f t="shared" ref="C13:I13" si="0">SUM(C9:C12)</f>
        <v>0</v>
      </c>
      <c r="D13" s="177">
        <v>1565</v>
      </c>
      <c r="E13" s="177">
        <f t="shared" si="0"/>
        <v>0</v>
      </c>
      <c r="F13" s="177">
        <f t="shared" si="0"/>
        <v>0</v>
      </c>
      <c r="G13" s="177">
        <f t="shared" si="0"/>
        <v>0</v>
      </c>
      <c r="H13" s="177">
        <f t="shared" si="0"/>
        <v>0</v>
      </c>
      <c r="I13" s="177">
        <f t="shared" si="0"/>
        <v>0</v>
      </c>
    </row>
    <row r="14" spans="1:10" s="146" customFormat="1" ht="15.75" thickBot="1">
      <c r="A14" s="176"/>
      <c r="B14" s="176"/>
      <c r="C14" s="165"/>
      <c r="D14" s="165"/>
      <c r="E14" s="165"/>
      <c r="F14" s="117"/>
      <c r="G14" s="165"/>
      <c r="H14" s="165"/>
      <c r="I14" s="165"/>
    </row>
    <row r="15" spans="1:10" s="146" customFormat="1" ht="30.75" thickBot="1">
      <c r="A15" s="305" t="s">
        <v>142</v>
      </c>
      <c r="B15" s="349"/>
      <c r="C15" s="166" t="s">
        <v>130</v>
      </c>
      <c r="D15" s="166" t="s">
        <v>131</v>
      </c>
      <c r="E15" s="166" t="s">
        <v>132</v>
      </c>
      <c r="F15" s="166" t="s">
        <v>133</v>
      </c>
      <c r="G15" s="166" t="s">
        <v>134</v>
      </c>
      <c r="H15" s="166" t="s">
        <v>135</v>
      </c>
      <c r="I15" s="167" t="s">
        <v>136</v>
      </c>
    </row>
    <row r="16" spans="1:10" s="146" customFormat="1" ht="15">
      <c r="A16" s="178" t="s">
        <v>137</v>
      </c>
      <c r="B16" s="169"/>
      <c r="C16" s="170"/>
      <c r="D16" s="170"/>
      <c r="E16" s="170"/>
      <c r="F16" s="171"/>
      <c r="G16" s="170"/>
      <c r="H16" s="170"/>
      <c r="I16" s="170">
        <f>C16-D16+E16+F16+G16+H16</f>
        <v>0</v>
      </c>
    </row>
    <row r="17" spans="1:9" s="146" customFormat="1" ht="15">
      <c r="A17" s="179" t="s">
        <v>138</v>
      </c>
      <c r="B17" s="173"/>
      <c r="C17" s="170"/>
      <c r="D17" s="174"/>
      <c r="E17" s="174"/>
      <c r="F17" s="175"/>
      <c r="G17" s="174"/>
      <c r="H17" s="174"/>
      <c r="I17" s="170">
        <f>C17-D17+E17+F17+G17+H17</f>
        <v>0</v>
      </c>
    </row>
    <row r="18" spans="1:9" s="146" customFormat="1" ht="15">
      <c r="A18" s="179" t="s">
        <v>139</v>
      </c>
      <c r="B18" s="173"/>
      <c r="C18" s="170"/>
      <c r="D18" s="174"/>
      <c r="E18" s="174"/>
      <c r="F18" s="175"/>
      <c r="G18" s="174"/>
      <c r="H18" s="174"/>
      <c r="I18" s="170">
        <f>C18-D18+E18+F18+G18+H18</f>
        <v>0</v>
      </c>
    </row>
    <row r="19" spans="1:9" s="146" customFormat="1" ht="15">
      <c r="A19" s="179" t="s">
        <v>143</v>
      </c>
      <c r="B19" s="173"/>
      <c r="C19" s="170"/>
      <c r="D19" s="174">
        <v>1565.27</v>
      </c>
      <c r="E19" s="174"/>
      <c r="F19" s="175"/>
      <c r="G19" s="174"/>
      <c r="H19" s="174"/>
      <c r="I19" s="170">
        <f>C19-D19+E19+F19+G19+H19</f>
        <v>-1565.27</v>
      </c>
    </row>
    <row r="20" spans="1:9" s="146" customFormat="1" ht="15">
      <c r="A20" s="176"/>
      <c r="B20" s="165" t="s">
        <v>141</v>
      </c>
      <c r="C20" s="180">
        <f t="shared" ref="C20:I20" si="1">SUM(C16:C19)</f>
        <v>0</v>
      </c>
      <c r="D20" s="180">
        <f t="shared" si="1"/>
        <v>1565.27</v>
      </c>
      <c r="E20" s="180">
        <f t="shared" si="1"/>
        <v>0</v>
      </c>
      <c r="F20" s="180">
        <f t="shared" si="1"/>
        <v>0</v>
      </c>
      <c r="G20" s="180">
        <f t="shared" si="1"/>
        <v>0</v>
      </c>
      <c r="H20" s="180">
        <f t="shared" si="1"/>
        <v>0</v>
      </c>
      <c r="I20" s="180">
        <f t="shared" si="1"/>
        <v>-1565.27</v>
      </c>
    </row>
    <row r="21" spans="1:9" s="146" customFormat="1" ht="15">
      <c r="A21" s="148"/>
    </row>
    <row r="22" spans="1:9" s="146" customFormat="1" ht="15">
      <c r="A22" s="307" t="s">
        <v>144</v>
      </c>
      <c r="B22" s="308"/>
      <c r="C22" s="181">
        <f t="shared" ref="C22:I22" si="2">+C13-C20</f>
        <v>0</v>
      </c>
      <c r="D22" s="181">
        <f>+D13-D20</f>
        <v>-0.26999999999998181</v>
      </c>
      <c r="E22" s="181">
        <f t="shared" si="2"/>
        <v>0</v>
      </c>
      <c r="F22" s="181">
        <f t="shared" si="2"/>
        <v>0</v>
      </c>
      <c r="G22" s="181">
        <f t="shared" si="2"/>
        <v>0</v>
      </c>
      <c r="H22" s="181">
        <f t="shared" si="2"/>
        <v>0</v>
      </c>
      <c r="I22" s="181">
        <f t="shared" si="2"/>
        <v>1565.27</v>
      </c>
    </row>
    <row r="23" spans="1:9" s="146" customFormat="1" ht="15">
      <c r="A23" s="148"/>
    </row>
    <row r="24" spans="1:9" s="146" customFormat="1" ht="15">
      <c r="A24" s="146" t="s">
        <v>145</v>
      </c>
      <c r="B24" s="147"/>
      <c r="G24" s="147"/>
    </row>
    <row r="25" spans="1:9" s="146" customFormat="1" ht="15">
      <c r="B25" s="147"/>
      <c r="C25" s="303" t="s">
        <v>146</v>
      </c>
      <c r="D25" s="303"/>
      <c r="E25" s="303" t="s">
        <v>147</v>
      </c>
      <c r="F25" s="303"/>
      <c r="G25" s="304" t="s">
        <v>148</v>
      </c>
      <c r="H25" s="304"/>
    </row>
    <row r="26" spans="1:9" s="146" customFormat="1" ht="15">
      <c r="A26" s="148" t="s">
        <v>3</v>
      </c>
      <c r="B26" s="146" t="s">
        <v>149</v>
      </c>
      <c r="C26" s="146" t="s">
        <v>130</v>
      </c>
      <c r="D26" s="146" t="s">
        <v>131</v>
      </c>
      <c r="E26" s="146" t="s">
        <v>130</v>
      </c>
      <c r="F26" s="146" t="s">
        <v>131</v>
      </c>
      <c r="G26" s="146" t="s">
        <v>130</v>
      </c>
      <c r="H26" s="146" t="s">
        <v>131</v>
      </c>
    </row>
    <row r="27" spans="1:9" s="146" customFormat="1" ht="15">
      <c r="A27" s="149"/>
      <c r="C27" s="150"/>
      <c r="D27" s="150"/>
      <c r="E27" s="150"/>
      <c r="F27" s="150"/>
      <c r="G27" s="150"/>
      <c r="H27" s="150">
        <f>D27-F27</f>
        <v>0</v>
      </c>
    </row>
    <row r="28" spans="1:9" s="146" customFormat="1" ht="15">
      <c r="A28" s="151"/>
      <c r="C28" s="150"/>
      <c r="D28" s="150"/>
      <c r="E28" s="150"/>
      <c r="F28" s="150"/>
      <c r="G28" s="150"/>
      <c r="H28" s="150">
        <f t="shared" ref="H28:H40" si="3">D28-F28</f>
        <v>0</v>
      </c>
    </row>
    <row r="29" spans="1:9" s="146" customFormat="1" ht="15">
      <c r="A29" s="149"/>
      <c r="B29" s="152"/>
      <c r="C29" s="150"/>
      <c r="D29" s="150"/>
      <c r="E29" s="150"/>
      <c r="F29" s="150"/>
      <c r="G29" s="150"/>
      <c r="H29" s="150">
        <f t="shared" si="3"/>
        <v>0</v>
      </c>
    </row>
    <row r="30" spans="1:9" s="146" customFormat="1" ht="15">
      <c r="A30" s="151"/>
      <c r="C30" s="150"/>
      <c r="D30" s="150"/>
      <c r="E30" s="150"/>
      <c r="F30" s="150"/>
      <c r="G30" s="150"/>
      <c r="H30" s="150">
        <f t="shared" si="3"/>
        <v>0</v>
      </c>
    </row>
    <row r="31" spans="1:9" s="146" customFormat="1" ht="15">
      <c r="A31" s="149"/>
      <c r="B31" s="152"/>
      <c r="C31" s="150"/>
      <c r="D31" s="150"/>
      <c r="E31" s="150"/>
      <c r="F31" s="150"/>
      <c r="G31" s="150"/>
      <c r="H31" s="150">
        <f t="shared" si="3"/>
        <v>0</v>
      </c>
    </row>
    <row r="32" spans="1:9" s="146" customFormat="1" ht="15">
      <c r="A32" s="151"/>
      <c r="B32" s="152"/>
      <c r="C32" s="150"/>
      <c r="D32" s="150"/>
      <c r="E32" s="150"/>
      <c r="F32" s="150"/>
      <c r="G32" s="150"/>
      <c r="H32" s="150">
        <f t="shared" si="3"/>
        <v>0</v>
      </c>
    </row>
    <row r="33" spans="1:8" s="146" customFormat="1" ht="15">
      <c r="A33" s="149"/>
      <c r="B33" s="152"/>
      <c r="C33" s="150"/>
      <c r="D33" s="150"/>
      <c r="E33" s="150"/>
      <c r="F33" s="150"/>
      <c r="G33" s="150"/>
      <c r="H33" s="150">
        <f t="shared" si="3"/>
        <v>0</v>
      </c>
    </row>
    <row r="34" spans="1:8" s="146" customFormat="1" ht="15">
      <c r="A34" s="148"/>
      <c r="B34" s="152"/>
      <c r="C34" s="150"/>
      <c r="D34" s="150"/>
      <c r="E34" s="150"/>
      <c r="F34" s="150"/>
      <c r="G34" s="150"/>
      <c r="H34" s="150">
        <f t="shared" si="3"/>
        <v>0</v>
      </c>
    </row>
    <row r="35" spans="1:8" s="146" customFormat="1" ht="15">
      <c r="A35" s="149"/>
      <c r="C35" s="150"/>
      <c r="D35" s="150"/>
      <c r="E35" s="150"/>
      <c r="F35" s="150"/>
      <c r="G35" s="150"/>
      <c r="H35" s="150">
        <f t="shared" si="3"/>
        <v>0</v>
      </c>
    </row>
    <row r="36" spans="1:8" s="146" customFormat="1" ht="15">
      <c r="A36" s="148"/>
      <c r="C36" s="150"/>
      <c r="D36" s="150"/>
      <c r="E36" s="150"/>
      <c r="F36" s="150"/>
      <c r="G36" s="150"/>
      <c r="H36" s="150">
        <f t="shared" si="3"/>
        <v>0</v>
      </c>
    </row>
    <row r="37" spans="1:8" s="146" customFormat="1" ht="15">
      <c r="A37" s="148"/>
      <c r="B37" s="152"/>
      <c r="C37" s="150"/>
      <c r="D37" s="150"/>
      <c r="E37" s="150"/>
      <c r="F37" s="150"/>
      <c r="G37" s="150"/>
      <c r="H37" s="150">
        <f>E37-C37</f>
        <v>0</v>
      </c>
    </row>
    <row r="38" spans="1:8" s="146" customFormat="1" ht="15">
      <c r="A38" s="148"/>
      <c r="C38" s="150"/>
      <c r="D38" s="150"/>
      <c r="E38" s="150"/>
      <c r="F38" s="150"/>
      <c r="G38" s="150"/>
      <c r="H38" s="150">
        <f t="shared" si="3"/>
        <v>0</v>
      </c>
    </row>
    <row r="39" spans="1:8" s="146" customFormat="1" ht="15">
      <c r="A39" s="148"/>
      <c r="B39" s="153" t="s">
        <v>86</v>
      </c>
      <c r="H39" s="154">
        <f>SUM(H27:H38)</f>
        <v>0</v>
      </c>
    </row>
    <row r="40" spans="1:8" s="146" customFormat="1" ht="15">
      <c r="A40" s="148"/>
      <c r="H40" s="146">
        <f t="shared" si="3"/>
        <v>0</v>
      </c>
    </row>
    <row r="41" spans="1:8" s="146" customFormat="1" ht="15.75" thickBot="1">
      <c r="A41" s="148"/>
      <c r="G41" s="146" t="s">
        <v>150</v>
      </c>
      <c r="H41" s="155">
        <f>I22+H39</f>
        <v>1565.27</v>
      </c>
    </row>
    <row r="42" spans="1:8" s="146" customFormat="1" ht="15">
      <c r="A42" s="148"/>
      <c r="B42" s="156" t="s">
        <v>151</v>
      </c>
      <c r="C42" s="157">
        <f>I13</f>
        <v>0</v>
      </c>
      <c r="D42" s="158"/>
    </row>
    <row r="43" spans="1:8" s="146" customFormat="1" ht="15">
      <c r="A43" s="148"/>
      <c r="B43" s="159" t="s">
        <v>152</v>
      </c>
      <c r="C43" s="154">
        <f>I20</f>
        <v>-1565.27</v>
      </c>
      <c r="D43" s="160"/>
    </row>
    <row r="44" spans="1:8" s="146" customFormat="1" ht="15">
      <c r="A44" s="148"/>
      <c r="B44" s="161" t="s">
        <v>148</v>
      </c>
      <c r="C44" s="155">
        <f>C42-C43</f>
        <v>1565.27</v>
      </c>
      <c r="D44" s="160"/>
    </row>
    <row r="45" spans="1:8" s="146" customFormat="1" ht="15">
      <c r="A45" s="148"/>
      <c r="B45" s="159"/>
      <c r="D45" s="160"/>
    </row>
    <row r="46" spans="1:8" s="146" customFormat="1" ht="15">
      <c r="A46" s="148"/>
      <c r="B46" s="159" t="s">
        <v>153</v>
      </c>
      <c r="C46" s="273">
        <v>1565.56</v>
      </c>
      <c r="D46" s="160"/>
    </row>
    <row r="47" spans="1:8" s="146" customFormat="1" ht="15.75" thickBot="1">
      <c r="A47" s="148"/>
      <c r="B47" s="162" t="s">
        <v>154</v>
      </c>
      <c r="C47" s="163">
        <f>C46-C44</f>
        <v>0.28999999999996362</v>
      </c>
      <c r="D47" s="164" t="s">
        <v>155</v>
      </c>
    </row>
    <row r="48" spans="1:8" s="146" customFormat="1" ht="15">
      <c r="A48" s="148"/>
    </row>
    <row r="49" spans="1:1" s="146" customFormat="1" ht="15">
      <c r="A49" s="148"/>
    </row>
    <row r="50" spans="1:1" s="146" customFormat="1" ht="15">
      <c r="A50" s="148"/>
    </row>
    <row r="51" spans="1:1" s="146" customFormat="1" ht="15">
      <c r="A51" s="148"/>
    </row>
    <row r="52" spans="1:1" s="146" customFormat="1" ht="15">
      <c r="A52" s="148"/>
    </row>
    <row r="53" spans="1:1" s="146" customFormat="1" ht="15">
      <c r="A53" s="148"/>
    </row>
    <row r="54" spans="1:1" s="146" customFormat="1" ht="15">
      <c r="A54" s="148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33"/>
  <sheetViews>
    <sheetView topLeftCell="A4" workbookViewId="0">
      <selection activeCell="J32" sqref="J3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H1" s="57" t="s">
        <v>2</v>
      </c>
      <c r="I1" s="57" t="s">
        <v>3</v>
      </c>
    </row>
    <row r="2" spans="1:10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10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10" ht="18">
      <c r="A4" s="124"/>
      <c r="B4" s="54"/>
      <c r="D4" s="54"/>
      <c r="E4" s="54"/>
      <c r="F4" s="56"/>
      <c r="G4" s="125"/>
      <c r="H4" s="66"/>
      <c r="I4" s="67"/>
    </row>
    <row r="5" spans="1:10" ht="18">
      <c r="A5" s="54" t="s">
        <v>156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5"/>
      <c r="G7" s="145"/>
    </row>
    <row r="8" spans="1:10" s="70" customFormat="1" ht="30">
      <c r="A8" s="138" t="s">
        <v>107</v>
      </c>
      <c r="B8" s="300" t="s">
        <v>108</v>
      </c>
      <c r="C8" s="301"/>
      <c r="D8" s="301"/>
      <c r="E8" s="302"/>
      <c r="F8" s="139" t="s">
        <v>109</v>
      </c>
      <c r="G8" s="300" t="s">
        <v>157</v>
      </c>
      <c r="H8" s="309"/>
      <c r="I8" s="310"/>
    </row>
    <row r="10" spans="1:10">
      <c r="F10" s="71"/>
    </row>
    <row r="11" spans="1:10">
      <c r="C11" t="s">
        <v>158</v>
      </c>
      <c r="F11" s="59">
        <v>3021502.76</v>
      </c>
      <c r="G11" s="43" t="s">
        <v>159</v>
      </c>
    </row>
    <row r="12" spans="1:10">
      <c r="C12" t="s">
        <v>160</v>
      </c>
      <c r="F12" s="59">
        <v>97159.679999999993</v>
      </c>
      <c r="G12" s="43"/>
    </row>
    <row r="13" spans="1:10">
      <c r="C13" t="s">
        <v>161</v>
      </c>
      <c r="F13" s="274">
        <f>SUM(F11:F12)</f>
        <v>3118662.44</v>
      </c>
      <c r="G13" s="43"/>
    </row>
    <row r="14" spans="1:10">
      <c r="F14" s="275"/>
      <c r="G14" s="43"/>
    </row>
    <row r="15" spans="1:10">
      <c r="C15" t="s">
        <v>162</v>
      </c>
      <c r="F15" s="277">
        <v>3118664.9</v>
      </c>
    </row>
    <row r="16" spans="1:10">
      <c r="C16" t="s">
        <v>163</v>
      </c>
      <c r="F16" s="59">
        <f>F13-F15</f>
        <v>-2.4599999999627471</v>
      </c>
      <c r="H16" t="s">
        <v>164</v>
      </c>
      <c r="I16" s="97">
        <f>+F16/F15</f>
        <v>-7.8879907872203493E-7</v>
      </c>
    </row>
    <row r="17" spans="3:10">
      <c r="C17" t="s">
        <v>165</v>
      </c>
      <c r="F17" s="59">
        <f>G32</f>
        <v>2.4600000000209548</v>
      </c>
    </row>
    <row r="18" spans="3:10">
      <c r="C18" t="s">
        <v>166</v>
      </c>
      <c r="F18" s="276">
        <f>SUM(F16:F17)</f>
        <v>5.8207660913467407E-11</v>
      </c>
      <c r="H18" s="43" t="s">
        <v>167</v>
      </c>
      <c r="I18" s="98">
        <f>+F18/F15</f>
        <v>1.8664288334879266E-17</v>
      </c>
      <c r="J18" s="43" t="s">
        <v>168</v>
      </c>
    </row>
    <row r="19" spans="3:10">
      <c r="F19" s="96"/>
      <c r="H19" s="43"/>
      <c r="I19" s="98"/>
    </row>
    <row r="20" spans="3:10">
      <c r="C20" t="s">
        <v>169</v>
      </c>
      <c r="F20"/>
    </row>
    <row r="21" spans="3:10">
      <c r="C21" t="s">
        <v>170</v>
      </c>
    </row>
    <row r="22" spans="3:10">
      <c r="C22" t="s">
        <v>171</v>
      </c>
    </row>
    <row r="25" spans="3:10">
      <c r="C25" s="99" t="s">
        <v>172</v>
      </c>
      <c r="E25" s="48" t="s">
        <v>173</v>
      </c>
      <c r="F25" s="48" t="s">
        <v>174</v>
      </c>
      <c r="G25" s="100" t="s">
        <v>175</v>
      </c>
    </row>
    <row r="26" spans="3:10">
      <c r="C26" s="99"/>
      <c r="E26" s="48"/>
      <c r="F26" s="48"/>
      <c r="G26" s="100"/>
    </row>
    <row r="27" spans="3:10">
      <c r="C27" t="s">
        <v>176</v>
      </c>
      <c r="E27" s="101">
        <v>974325.87</v>
      </c>
      <c r="F27" s="101">
        <v>974324.06</v>
      </c>
      <c r="G27" s="92">
        <f>+E27-F27</f>
        <v>1.809999999939464</v>
      </c>
    </row>
    <row r="28" spans="3:10">
      <c r="C28" t="s">
        <v>177</v>
      </c>
      <c r="E28" s="101">
        <v>473170.36</v>
      </c>
      <c r="F28" s="101">
        <v>473169.91999999998</v>
      </c>
      <c r="G28" s="92">
        <f>+E28-F28</f>
        <v>0.44000000000232831</v>
      </c>
    </row>
    <row r="29" spans="3:10">
      <c r="C29" t="s">
        <v>178</v>
      </c>
      <c r="E29" s="101">
        <v>449680.88</v>
      </c>
      <c r="F29" s="101">
        <v>449681.03</v>
      </c>
      <c r="G29" s="92">
        <f>+E29-F29</f>
        <v>-0.15000000002328306</v>
      </c>
    </row>
    <row r="30" spans="3:10">
      <c r="C30" t="s">
        <v>179</v>
      </c>
      <c r="E30" s="101">
        <v>1124328.1100000001</v>
      </c>
      <c r="F30" s="101">
        <v>1124327.75</v>
      </c>
      <c r="G30" s="92">
        <f>+E30-F30</f>
        <v>0.36000000010244548</v>
      </c>
    </row>
    <row r="31" spans="3:10">
      <c r="E31" s="102"/>
      <c r="F31" s="102"/>
      <c r="G31" s="92"/>
    </row>
    <row r="32" spans="3:10" ht="15.75" thickBot="1">
      <c r="E32" s="144">
        <f>SUM(E27:E31)</f>
        <v>3021505.2199999997</v>
      </c>
      <c r="F32" s="144">
        <f>SUM(F27:F31)</f>
        <v>3021502.76</v>
      </c>
      <c r="G32" s="144">
        <f>SUM(G27:G31)</f>
        <v>2.4600000000209548</v>
      </c>
    </row>
    <row r="33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/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H1" s="57" t="s">
        <v>2</v>
      </c>
      <c r="I1" s="57" t="s">
        <v>3</v>
      </c>
    </row>
    <row r="2" spans="1:12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12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12" ht="18">
      <c r="A4" s="124"/>
      <c r="B4" s="54"/>
      <c r="D4" s="56"/>
      <c r="G4" s="125"/>
      <c r="H4" s="66"/>
      <c r="I4" s="67"/>
    </row>
    <row r="5" spans="1:12" ht="18">
      <c r="A5" s="54" t="s">
        <v>156</v>
      </c>
      <c r="C5" s="58"/>
      <c r="F5" s="59"/>
      <c r="G5" s="59"/>
      <c r="H5" s="66"/>
      <c r="J5" s="67"/>
    </row>
    <row r="6" spans="1:12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7" spans="1:12" ht="20.100000000000001" customHeight="1" thickBot="1">
      <c r="A7" s="184"/>
      <c r="H7" s="314"/>
      <c r="I7" s="314"/>
      <c r="J7" s="314"/>
      <c r="K7" s="314"/>
      <c r="L7" s="314"/>
    </row>
    <row r="8" spans="1:12" ht="42.75" customHeight="1" thickBot="1">
      <c r="A8" s="185" t="s">
        <v>107</v>
      </c>
      <c r="B8" s="315" t="s">
        <v>180</v>
      </c>
      <c r="C8" s="316"/>
      <c r="D8" s="317"/>
      <c r="E8" s="187" t="s">
        <v>181</v>
      </c>
      <c r="F8" s="187" t="s">
        <v>182</v>
      </c>
      <c r="G8" s="188" t="s">
        <v>183</v>
      </c>
      <c r="H8" s="189"/>
      <c r="I8" s="189"/>
      <c r="J8" s="189"/>
      <c r="K8" s="190"/>
      <c r="L8" s="190"/>
    </row>
    <row r="9" spans="1:12" ht="15.95" customHeight="1">
      <c r="A9" s="191"/>
      <c r="B9" s="318"/>
      <c r="C9" s="318"/>
      <c r="D9" s="318"/>
      <c r="E9" s="192"/>
      <c r="F9" s="193"/>
      <c r="G9" s="194" t="str">
        <f t="shared" ref="G9:G20" si="0">IF(E9=0,IF(F9=0,"",F9),F9*E9)</f>
        <v/>
      </c>
      <c r="H9" s="195"/>
      <c r="I9" s="195"/>
      <c r="J9" s="195"/>
      <c r="K9" s="195"/>
      <c r="L9" s="195"/>
    </row>
    <row r="10" spans="1:12" ht="15.95" customHeight="1">
      <c r="A10" s="191"/>
      <c r="B10" s="319" t="s">
        <v>184</v>
      </c>
      <c r="C10" s="319"/>
      <c r="D10" s="319"/>
      <c r="E10" s="192"/>
      <c r="F10" s="193"/>
      <c r="G10" s="196" t="str">
        <f t="shared" si="0"/>
        <v/>
      </c>
      <c r="H10" s="195"/>
      <c r="I10" s="195"/>
      <c r="J10" s="195"/>
      <c r="K10" s="195"/>
      <c r="L10" s="195"/>
    </row>
    <row r="11" spans="1:12" ht="15.95" customHeight="1">
      <c r="A11" s="191"/>
      <c r="B11" s="311"/>
      <c r="C11" s="312"/>
      <c r="D11" s="313"/>
      <c r="E11" s="198"/>
      <c r="F11" s="193">
        <v>1</v>
      </c>
      <c r="G11" s="199">
        <f t="shared" si="0"/>
        <v>1</v>
      </c>
      <c r="H11" s="195"/>
      <c r="I11" s="195"/>
      <c r="J11" s="195"/>
      <c r="K11" s="195"/>
      <c r="L11" s="195"/>
    </row>
    <row r="12" spans="1:12" ht="15.95" customHeight="1">
      <c r="A12" s="191"/>
      <c r="B12" s="311"/>
      <c r="C12" s="312"/>
      <c r="D12" s="313"/>
      <c r="E12" s="198">
        <v>0</v>
      </c>
      <c r="F12" s="193">
        <v>1</v>
      </c>
      <c r="G12" s="199">
        <v>0</v>
      </c>
      <c r="H12" s="195"/>
      <c r="I12" s="195"/>
      <c r="J12" s="195"/>
      <c r="K12" s="195"/>
      <c r="L12" s="195"/>
    </row>
    <row r="13" spans="1:12" ht="15.95" customHeight="1">
      <c r="A13" s="191"/>
      <c r="B13" s="311"/>
      <c r="C13" s="312"/>
      <c r="D13" s="313"/>
      <c r="E13" s="198">
        <v>1</v>
      </c>
      <c r="F13" s="193"/>
      <c r="G13" s="199">
        <f t="shared" si="0"/>
        <v>0</v>
      </c>
      <c r="H13" s="195"/>
      <c r="I13" s="195"/>
      <c r="J13" s="195"/>
      <c r="K13" s="195"/>
      <c r="L13" s="195"/>
    </row>
    <row r="14" spans="1:12" ht="15.95" customHeight="1">
      <c r="A14" s="191"/>
      <c r="B14" s="320" t="s">
        <v>185</v>
      </c>
      <c r="C14" s="321"/>
      <c r="D14" s="322"/>
      <c r="E14" s="200"/>
      <c r="F14" s="201"/>
      <c r="G14" s="202">
        <f>SUM(G11:G13)</f>
        <v>1</v>
      </c>
      <c r="H14" s="195"/>
      <c r="I14" s="195"/>
      <c r="J14" s="195"/>
      <c r="K14" s="195"/>
      <c r="L14" s="195"/>
    </row>
    <row r="15" spans="1:12" ht="15.95" customHeight="1">
      <c r="A15" s="191"/>
      <c r="B15" s="323"/>
      <c r="C15" s="324"/>
      <c r="D15" s="325"/>
      <c r="E15" s="192"/>
      <c r="F15" s="193"/>
      <c r="G15" s="199" t="str">
        <f t="shared" si="0"/>
        <v/>
      </c>
      <c r="H15" s="195"/>
      <c r="I15" s="195"/>
      <c r="J15" s="195"/>
      <c r="K15" s="195"/>
      <c r="L15" s="195"/>
    </row>
    <row r="16" spans="1:12" ht="15.95" customHeight="1">
      <c r="A16" s="191"/>
      <c r="B16" s="319" t="s">
        <v>58</v>
      </c>
      <c r="C16" s="319"/>
      <c r="D16" s="319"/>
      <c r="E16" s="192"/>
      <c r="F16" s="193"/>
      <c r="G16" s="199" t="str">
        <f t="shared" si="0"/>
        <v/>
      </c>
      <c r="H16" s="195"/>
      <c r="I16" s="195"/>
      <c r="J16" s="195"/>
      <c r="K16" s="195"/>
      <c r="L16" s="195"/>
    </row>
    <row r="17" spans="1:12" ht="15.95" customHeight="1">
      <c r="A17" s="191"/>
      <c r="B17" s="326"/>
      <c r="C17" s="326"/>
      <c r="D17" s="326"/>
      <c r="E17" s="192"/>
      <c r="F17" s="193">
        <v>1</v>
      </c>
      <c r="G17" s="199">
        <f t="shared" si="0"/>
        <v>1</v>
      </c>
      <c r="H17" s="195"/>
      <c r="I17" s="195"/>
      <c r="J17" s="195"/>
      <c r="K17" s="195"/>
      <c r="L17" s="195"/>
    </row>
    <row r="18" spans="1:12" ht="15.95" customHeight="1">
      <c r="A18" s="191"/>
      <c r="B18" s="311"/>
      <c r="C18" s="312"/>
      <c r="D18" s="313"/>
      <c r="E18" s="192"/>
      <c r="F18" s="193">
        <v>1</v>
      </c>
      <c r="G18" s="199">
        <f t="shared" si="0"/>
        <v>1</v>
      </c>
      <c r="H18" s="195"/>
      <c r="I18" s="195"/>
      <c r="J18" s="195"/>
      <c r="K18" s="195"/>
      <c r="L18" s="195"/>
    </row>
    <row r="19" spans="1:12" ht="15.95" customHeight="1">
      <c r="A19" s="191"/>
      <c r="B19" s="331" t="s">
        <v>186</v>
      </c>
      <c r="C19" s="331"/>
      <c r="D19" s="331"/>
      <c r="E19" s="200"/>
      <c r="F19" s="201"/>
      <c r="G19" s="205">
        <f>SUM(G17:G18)</f>
        <v>2</v>
      </c>
      <c r="H19" s="195"/>
      <c r="I19" s="195"/>
      <c r="J19" s="195"/>
      <c r="K19" s="195"/>
      <c r="L19" s="195"/>
    </row>
    <row r="20" spans="1:12" ht="15.95" customHeight="1">
      <c r="A20" s="191"/>
      <c r="B20" s="323"/>
      <c r="C20" s="324"/>
      <c r="D20" s="325"/>
      <c r="E20" s="192"/>
      <c r="F20" s="193"/>
      <c r="G20" s="206" t="str">
        <f t="shared" si="0"/>
        <v/>
      </c>
      <c r="H20" s="195"/>
      <c r="I20" s="195"/>
      <c r="J20" s="195"/>
      <c r="K20" s="195"/>
      <c r="L20" s="195"/>
    </row>
    <row r="21" spans="1:12" ht="15.95" customHeight="1">
      <c r="A21" s="191"/>
      <c r="B21" s="332" t="s">
        <v>187</v>
      </c>
      <c r="C21" s="333"/>
      <c r="D21" s="334"/>
      <c r="E21" s="200"/>
      <c r="F21" s="201"/>
      <c r="G21" s="205">
        <f>G14-G19</f>
        <v>-1</v>
      </c>
      <c r="H21" s="195"/>
      <c r="I21" s="195"/>
      <c r="J21" s="195"/>
      <c r="K21" s="195"/>
      <c r="L21" s="195"/>
    </row>
    <row r="22" spans="1:12" ht="15.95" customHeight="1" thickBot="1">
      <c r="A22" s="191"/>
      <c r="B22" s="335"/>
      <c r="C22" s="335"/>
      <c r="D22" s="335"/>
      <c r="E22" s="192"/>
      <c r="F22" s="193"/>
      <c r="G22" s="207" t="str">
        <f t="shared" ref="G22:G32" si="1">IF(E22=0,IF(F22=0,"",F22),F22*E22)</f>
        <v/>
      </c>
      <c r="H22" s="195"/>
      <c r="I22" s="195"/>
      <c r="J22" s="195"/>
      <c r="K22" s="195"/>
      <c r="L22" s="195"/>
    </row>
    <row r="23" spans="1:12" ht="15.95" customHeight="1">
      <c r="A23" s="208"/>
      <c r="B23" s="328" t="s">
        <v>188</v>
      </c>
      <c r="C23" s="329"/>
      <c r="D23" s="330"/>
      <c r="E23" s="209"/>
      <c r="F23" s="193"/>
      <c r="G23" s="207" t="str">
        <f t="shared" si="1"/>
        <v/>
      </c>
      <c r="H23" s="195"/>
      <c r="I23" s="195"/>
      <c r="J23" s="195"/>
      <c r="K23" s="195"/>
      <c r="L23" s="195"/>
    </row>
    <row r="24" spans="1:12" ht="15.95" customHeight="1">
      <c r="A24" s="208"/>
      <c r="B24" s="191" t="s">
        <v>189</v>
      </c>
      <c r="C24" s="210"/>
      <c r="D24" s="211"/>
      <c r="E24" s="209"/>
      <c r="F24" s="193"/>
      <c r="G24" s="207" t="str">
        <f t="shared" si="1"/>
        <v/>
      </c>
      <c r="H24" s="195"/>
      <c r="I24" s="195"/>
      <c r="J24" s="195"/>
      <c r="K24" s="195"/>
      <c r="L24" s="195"/>
    </row>
    <row r="25" spans="1:12" ht="15.95" customHeight="1" thickBot="1">
      <c r="A25" s="208"/>
      <c r="B25" s="212" t="s">
        <v>190</v>
      </c>
      <c r="C25" s="213"/>
      <c r="D25" s="214" t="e">
        <f>G21/D24</f>
        <v>#DIV/0!</v>
      </c>
      <c r="E25" s="209"/>
      <c r="F25" s="193"/>
      <c r="G25" s="207" t="str">
        <f t="shared" si="1"/>
        <v/>
      </c>
      <c r="H25" s="195"/>
      <c r="I25" s="195"/>
      <c r="J25" s="195"/>
      <c r="K25" s="195"/>
      <c r="L25" s="195"/>
    </row>
    <row r="26" spans="1:12" ht="15.95" customHeight="1" thickBot="1">
      <c r="A26" s="191"/>
      <c r="B26" s="336"/>
      <c r="C26" s="336"/>
      <c r="D26" s="336"/>
      <c r="E26" s="192"/>
      <c r="F26" s="193"/>
      <c r="G26" s="207" t="str">
        <f t="shared" si="1"/>
        <v/>
      </c>
      <c r="H26" s="195"/>
      <c r="I26" s="195"/>
      <c r="J26" s="195"/>
      <c r="K26" s="195"/>
      <c r="L26" s="195"/>
    </row>
    <row r="27" spans="1:12" ht="15.95" customHeight="1">
      <c r="A27" s="208"/>
      <c r="B27" s="328" t="s">
        <v>191</v>
      </c>
      <c r="C27" s="329"/>
      <c r="D27" s="330"/>
      <c r="E27" s="209"/>
      <c r="F27" s="193"/>
      <c r="G27" s="207" t="str">
        <f t="shared" si="1"/>
        <v/>
      </c>
      <c r="H27" s="195"/>
      <c r="I27" s="195"/>
      <c r="J27" s="195"/>
      <c r="K27" s="195"/>
      <c r="L27" s="195"/>
    </row>
    <row r="28" spans="1:12" ht="15.95" customHeight="1">
      <c r="A28" s="208"/>
      <c r="B28" s="215" t="s">
        <v>35</v>
      </c>
      <c r="C28" s="197"/>
      <c r="D28" s="216">
        <f>(SUM(G11:G12))/G14</f>
        <v>1</v>
      </c>
      <c r="E28" s="209"/>
      <c r="F28" s="193"/>
      <c r="G28" s="207" t="str">
        <f t="shared" si="1"/>
        <v/>
      </c>
      <c r="H28" s="195"/>
      <c r="I28" s="195"/>
      <c r="J28" s="195"/>
      <c r="K28" s="195"/>
      <c r="L28" s="195"/>
    </row>
    <row r="29" spans="1:12" ht="15.95" customHeight="1" thickBot="1">
      <c r="A29" s="208"/>
      <c r="B29" s="217" t="s">
        <v>50</v>
      </c>
      <c r="C29" s="218"/>
      <c r="D29" s="219">
        <f>G13/G14</f>
        <v>0</v>
      </c>
      <c r="E29" s="209"/>
      <c r="F29" s="193"/>
      <c r="G29" s="207" t="str">
        <f t="shared" si="1"/>
        <v/>
      </c>
      <c r="H29" s="195"/>
      <c r="I29" s="195"/>
      <c r="J29" s="195"/>
      <c r="K29" s="195"/>
      <c r="L29" s="195"/>
    </row>
    <row r="30" spans="1:12" ht="15.95" customHeight="1">
      <c r="A30" s="191"/>
      <c r="B30" s="323"/>
      <c r="C30" s="324"/>
      <c r="D30" s="325"/>
      <c r="E30" s="192"/>
      <c r="F30" s="193"/>
      <c r="G30" s="207" t="str">
        <f t="shared" si="1"/>
        <v/>
      </c>
      <c r="H30" s="195"/>
      <c r="I30" s="195"/>
      <c r="J30" s="195"/>
      <c r="K30" s="195"/>
      <c r="L30" s="195"/>
    </row>
    <row r="31" spans="1:12" ht="15.95" customHeight="1">
      <c r="A31" s="191"/>
      <c r="B31" s="323"/>
      <c r="C31" s="324"/>
      <c r="D31" s="325"/>
      <c r="E31" s="192"/>
      <c r="F31" s="193"/>
      <c r="G31" s="207" t="str">
        <f t="shared" si="1"/>
        <v/>
      </c>
      <c r="H31" s="195"/>
      <c r="I31" s="195"/>
      <c r="J31" s="195"/>
      <c r="K31" s="195"/>
      <c r="L31" s="195"/>
    </row>
    <row r="32" spans="1:12" ht="15.95" customHeight="1">
      <c r="A32" s="191"/>
      <c r="B32" s="318"/>
      <c r="C32" s="318"/>
      <c r="D32" s="318"/>
      <c r="E32" s="192"/>
      <c r="F32" s="193"/>
      <c r="G32" s="207" t="str">
        <f t="shared" si="1"/>
        <v/>
      </c>
      <c r="H32" s="195"/>
      <c r="I32" s="195"/>
      <c r="J32" s="195"/>
      <c r="K32" s="195"/>
      <c r="L32" s="195"/>
    </row>
    <row r="33" spans="1:12">
      <c r="A33" s="191"/>
      <c r="B33" s="318"/>
      <c r="C33" s="318"/>
      <c r="D33" s="318"/>
      <c r="E33" s="192"/>
      <c r="F33" s="193"/>
      <c r="G33" s="207"/>
      <c r="H33" s="195"/>
      <c r="I33" s="195"/>
      <c r="J33" s="195"/>
      <c r="K33" s="195"/>
      <c r="L33" s="195"/>
    </row>
    <row r="34" spans="1:12">
      <c r="A34" s="191"/>
      <c r="B34" s="318"/>
      <c r="C34" s="318"/>
      <c r="D34" s="318"/>
      <c r="E34" s="192"/>
      <c r="F34" s="193"/>
      <c r="G34" s="207"/>
      <c r="H34" s="195"/>
      <c r="I34" s="195"/>
      <c r="J34" s="195"/>
      <c r="K34" s="195"/>
      <c r="L34" s="195"/>
    </row>
    <row r="35" spans="1:12" ht="15.75" thickBot="1">
      <c r="A35" s="212"/>
      <c r="B35" s="327"/>
      <c r="C35" s="327"/>
      <c r="D35" s="327"/>
      <c r="E35" s="220"/>
      <c r="F35" s="221"/>
      <c r="G35" s="222"/>
      <c r="H35" s="195"/>
      <c r="I35" s="195"/>
      <c r="J35" s="195"/>
      <c r="K35" s="195"/>
      <c r="L35" s="195"/>
    </row>
    <row r="36" spans="1:12" ht="15.95" customHeight="1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</row>
    <row r="37" spans="1:12" ht="15.95" customHeight="1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</row>
    <row r="38" spans="1:12" ht="15.95" customHeight="1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</row>
    <row r="39" spans="1:12" ht="15.95" customHeight="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</row>
    <row r="40" spans="1:12" ht="15.95" customHeight="1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</row>
    <row r="41" spans="1:12" ht="15.95" customHeight="1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</row>
    <row r="42" spans="1:12" ht="15.95" customHeight="1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</row>
    <row r="43" spans="1:12" ht="15.95" customHeight="1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</row>
    <row r="44" spans="1:12" ht="15.95" customHeight="1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</row>
    <row r="45" spans="1:12" ht="15.95" customHeight="1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</row>
    <row r="46" spans="1:12" ht="15.95" customHeight="1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</row>
    <row r="47" spans="1:12" ht="15.95" customHeight="1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</row>
    <row r="48" spans="1:12" ht="15.95" customHeight="1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</row>
    <row r="49" spans="1:11" ht="15.95" customHeight="1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</row>
    <row r="50" spans="1:11" ht="15.95" customHeight="1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</row>
    <row r="51" spans="1:11" ht="15.95" customHeight="1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</row>
    <row r="52" spans="1:11" ht="15.95" customHeight="1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</row>
    <row r="53" spans="1:11" ht="15.95" customHeight="1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</row>
    <row r="54" spans="1:11" ht="15.95" customHeight="1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</row>
    <row r="55" spans="1:11" ht="15.95" customHeight="1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</row>
    <row r="56" spans="1:11" ht="15.95" customHeight="1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</row>
    <row r="57" spans="1:11" ht="15.95" customHeight="1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1" ht="15.95" customHeight="1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1" ht="15.95" customHeight="1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1" ht="15.95" customHeight="1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1" ht="15.95" customHeight="1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</row>
    <row r="62" spans="1:11" ht="15.95" customHeight="1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</row>
    <row r="63" spans="1:11" ht="15.95" customHeight="1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</row>
    <row r="64" spans="1:11" ht="15.95" customHeight="1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</row>
    <row r="65" spans="1:11" ht="15.95" customHeight="1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</row>
    <row r="66" spans="1:11" ht="15.95" customHeight="1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</row>
    <row r="67" spans="1:11" ht="15.95" customHeight="1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.95" customHeight="1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</row>
    <row r="69" spans="1:11" ht="15.95" customHeight="1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</row>
    <row r="70" spans="1:11" ht="15.95" customHeight="1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</row>
    <row r="71" spans="1:11" ht="15.95" customHeight="1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</row>
    <row r="72" spans="1:11" ht="15.95" customHeight="1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</row>
    <row r="73" spans="1:11" ht="15.95" customHeight="1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</row>
    <row r="74" spans="1:11" ht="15.95" customHeight="1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</row>
    <row r="75" spans="1:11" ht="15.95" customHeight="1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</row>
    <row r="76" spans="1:11" ht="15.95" customHeight="1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</row>
    <row r="77" spans="1:11" ht="15.95" customHeight="1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</row>
    <row r="78" spans="1:11" ht="15.95" customHeight="1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</row>
    <row r="79" spans="1:11" ht="15.95" customHeight="1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</row>
    <row r="80" spans="1:11" ht="15.95" customHeight="1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</row>
    <row r="81" spans="1:11" ht="15.95" customHeight="1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</row>
    <row r="82" spans="1:11" ht="15.95" customHeight="1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</row>
    <row r="83" spans="1:11" ht="15.95" customHeight="1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</row>
    <row r="84" spans="1:11" ht="15.95" customHeight="1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</row>
    <row r="85" spans="1:11" ht="15.95" customHeight="1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</row>
    <row r="86" spans="1:11" ht="15.95" customHeight="1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</row>
    <row r="87" spans="1:11" ht="15.95" customHeight="1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</row>
    <row r="88" spans="1:11" ht="15.95" customHeight="1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</row>
    <row r="89" spans="1:11" ht="15.95" customHeight="1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</row>
    <row r="90" spans="1:11" ht="15.95" customHeight="1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1" ht="15.95" customHeight="1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1" ht="15.95" customHeight="1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1" ht="15.95" customHeight="1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</row>
    <row r="94" spans="1:11" ht="15.95" customHeight="1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</row>
    <row r="95" spans="1:11" ht="15.95" customHeight="1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</row>
    <row r="96" spans="1:11" ht="15.95" customHeight="1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</row>
    <row r="97" spans="1:11" ht="15.95" customHeight="1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</row>
    <row r="98" spans="1:11" ht="15.95" customHeight="1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</row>
    <row r="99" spans="1:11" ht="15.95" customHeight="1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</row>
    <row r="100" spans="1:11" ht="15.95" customHeight="1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</row>
    <row r="101" spans="1:11" ht="15.95" customHeight="1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</row>
    <row r="102" spans="1:11" ht="15.95" customHeight="1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</row>
    <row r="103" spans="1:11" ht="15.95" customHeight="1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</row>
    <row r="104" spans="1:11" ht="15.95" customHeight="1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</row>
    <row r="105" spans="1:11" ht="15.95" customHeight="1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</row>
    <row r="106" spans="1:11" ht="15.95" customHeight="1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</row>
    <row r="107" spans="1:11" ht="15.95" customHeight="1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</row>
    <row r="108" spans="1:11" ht="15.95" customHeight="1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</row>
    <row r="109" spans="1:11" ht="15.95" customHeight="1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</row>
    <row r="110" spans="1:11" ht="15.95" customHeight="1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</row>
    <row r="111" spans="1:11" ht="15.95" customHeight="1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</row>
    <row r="112" spans="1:11" ht="15.95" customHeight="1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</row>
    <row r="113" spans="1:11" ht="15.95" customHeight="1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</row>
    <row r="114" spans="1:11" ht="15.95" customHeight="1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</row>
    <row r="115" spans="1:11" ht="15.95" customHeight="1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</row>
    <row r="116" spans="1:11" ht="15.95" customHeight="1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</row>
    <row r="117" spans="1:11" ht="15.95" customHeight="1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</row>
    <row r="118" spans="1:11" ht="15.95" customHeight="1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1" ht="15.95" customHeight="1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</row>
    <row r="120" spans="1:11" ht="15.95" customHeight="1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</row>
    <row r="121" spans="1:11" ht="15.95" customHeight="1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</row>
    <row r="122" spans="1:11" ht="15.95" customHeight="1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</row>
    <row r="123" spans="1:11" ht="15.95" customHeight="1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</row>
    <row r="124" spans="1:11" ht="15.95" customHeight="1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</row>
    <row r="125" spans="1:11" ht="15.95" customHeight="1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</row>
    <row r="126" spans="1:11" ht="15.95" customHeight="1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</row>
    <row r="127" spans="1:11" ht="15.95" customHeight="1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</row>
    <row r="128" spans="1:11" ht="15.95" customHeight="1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</row>
    <row r="129" spans="1:11" ht="15.95" customHeight="1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</row>
    <row r="130" spans="1:11" ht="15.95" customHeight="1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</row>
    <row r="131" spans="1:11" ht="15.95" customHeight="1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</row>
    <row r="132" spans="1:11" ht="15.95" customHeight="1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</row>
    <row r="133" spans="1:11" ht="15.95" customHeight="1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</row>
    <row r="134" spans="1:11" ht="15.95" customHeight="1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</row>
    <row r="135" spans="1:11" ht="15.95" customHeight="1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</row>
    <row r="136" spans="1:11" ht="15.95" customHeight="1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</row>
    <row r="137" spans="1:11" ht="15.95" customHeight="1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</row>
    <row r="138" spans="1:11" ht="15.95" customHeight="1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</row>
    <row r="139" spans="1:11" ht="15.95" customHeight="1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</row>
    <row r="140" spans="1:11" ht="15.95" customHeight="1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</row>
    <row r="141" spans="1:11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</row>
    <row r="142" spans="1:11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</row>
    <row r="143" spans="1:11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</row>
    <row r="144" spans="1:11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</row>
    <row r="145" spans="1:11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</row>
    <row r="146" spans="1:11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</row>
    <row r="147" spans="1:11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</row>
    <row r="148" spans="1:11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</row>
    <row r="149" spans="1:11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</row>
    <row r="150" spans="1:11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</row>
    <row r="151" spans="1:11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</row>
    <row r="152" spans="1:11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</row>
    <row r="153" spans="1:11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</row>
    <row r="154" spans="1:11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</row>
    <row r="155" spans="1:11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</row>
    <row r="156" spans="1:11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</row>
    <row r="157" spans="1:11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</row>
    <row r="158" spans="1:11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</row>
    <row r="159" spans="1:11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</row>
    <row r="160" spans="1:11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</row>
    <row r="161" spans="1:11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</row>
    <row r="162" spans="1:11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</row>
    <row r="163" spans="1:11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</row>
    <row r="164" spans="1:11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</row>
    <row r="165" spans="1:11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</row>
    <row r="166" spans="1:11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</row>
    <row r="167" spans="1:11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</row>
    <row r="168" spans="1:11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</row>
    <row r="169" spans="1:11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</row>
    <row r="170" spans="1:11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</row>
    <row r="171" spans="1:11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</row>
    <row r="172" spans="1:11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</row>
    <row r="173" spans="1:11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</row>
    <row r="174" spans="1:11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</row>
    <row r="175" spans="1:11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</row>
    <row r="176" spans="1:11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</row>
    <row r="177" spans="1:11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</row>
    <row r="178" spans="1:11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</row>
    <row r="179" spans="1:11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</row>
    <row r="180" spans="1:11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</row>
    <row r="181" spans="1:11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</row>
    <row r="182" spans="1:11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</row>
    <row r="183" spans="1:11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</row>
    <row r="184" spans="1:11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</row>
    <row r="185" spans="1:11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</row>
    <row r="186" spans="1:11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</row>
    <row r="187" spans="1:11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</row>
    <row r="188" spans="1:11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</row>
    <row r="189" spans="1:11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</row>
    <row r="190" spans="1:11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</row>
    <row r="191" spans="1:11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</row>
    <row r="192" spans="1:11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</row>
    <row r="193" spans="1:11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</row>
    <row r="194" spans="1:11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</row>
    <row r="195" spans="1:11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</row>
    <row r="196" spans="1:11">
      <c r="A196" s="117"/>
      <c r="B196" s="117"/>
      <c r="C196" s="117"/>
      <c r="D196" s="117"/>
      <c r="E196" s="117"/>
      <c r="F196" s="117"/>
      <c r="G196" s="117"/>
      <c r="H196" s="117"/>
    </row>
    <row r="197" spans="1:11">
      <c r="A197" s="117"/>
      <c r="B197" s="117"/>
      <c r="C197" s="117"/>
      <c r="D197" s="117"/>
      <c r="E197" s="117"/>
      <c r="F197" s="117"/>
      <c r="G197" s="117"/>
      <c r="H197" s="117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K34"/>
  <sheetViews>
    <sheetView workbookViewId="0">
      <selection activeCell="C21" sqref="C21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</cols>
  <sheetData>
    <row r="1" spans="1:11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H1" s="57" t="s">
        <v>2</v>
      </c>
      <c r="I1" s="57" t="s">
        <v>3</v>
      </c>
    </row>
    <row r="2" spans="1:11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11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11" ht="18">
      <c r="A4" s="124"/>
      <c r="B4" s="54"/>
      <c r="D4" s="56"/>
      <c r="E4"/>
      <c r="G4" s="125"/>
      <c r="H4" s="66"/>
      <c r="I4" s="67"/>
    </row>
    <row r="5" spans="1:11" ht="18">
      <c r="A5" s="54" t="s">
        <v>192</v>
      </c>
      <c r="C5" s="58"/>
      <c r="E5"/>
      <c r="F5" s="59"/>
      <c r="G5" s="59"/>
      <c r="H5" s="66"/>
      <c r="J5" s="67"/>
    </row>
    <row r="6" spans="1:11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1" s="70" customFormat="1" ht="30">
      <c r="A8" s="138" t="s">
        <v>107</v>
      </c>
      <c r="B8" s="300" t="s">
        <v>108</v>
      </c>
      <c r="C8" s="301"/>
      <c r="D8" s="302"/>
      <c r="E8" s="139" t="s">
        <v>109</v>
      </c>
      <c r="F8" s="300" t="s">
        <v>157</v>
      </c>
      <c r="G8" s="309"/>
      <c r="H8" s="310"/>
    </row>
    <row r="10" spans="1:11">
      <c r="D10" s="337" t="s">
        <v>147</v>
      </c>
      <c r="E10" s="337"/>
      <c r="F10" s="337"/>
    </row>
    <row r="11" spans="1:11" ht="30">
      <c r="D11" s="115" t="s">
        <v>193</v>
      </c>
      <c r="E11" s="182" t="s">
        <v>194</v>
      </c>
      <c r="F11" s="182" t="s">
        <v>86</v>
      </c>
      <c r="H11" t="s">
        <v>195</v>
      </c>
      <c r="J11" s="182" t="s">
        <v>196</v>
      </c>
      <c r="K11" s="182" t="s">
        <v>197</v>
      </c>
    </row>
    <row r="12" spans="1:11">
      <c r="A12" s="72"/>
      <c r="B12" s="72"/>
      <c r="E12" s="71"/>
    </row>
    <row r="13" spans="1:11">
      <c r="A13" t="s">
        <v>198</v>
      </c>
      <c r="B13" s="72"/>
      <c r="C13" t="s">
        <v>199</v>
      </c>
      <c r="D13" s="183"/>
      <c r="E13" s="92">
        <f>+H13-D13</f>
        <v>0</v>
      </c>
      <c r="F13" s="92">
        <f>+D13+E13</f>
        <v>0</v>
      </c>
      <c r="H13" s="59">
        <f>SUM(J13:K13)/2</f>
        <v>0</v>
      </c>
      <c r="J13" s="116"/>
      <c r="K13" s="116"/>
    </row>
    <row r="14" spans="1:11">
      <c r="A14" t="s">
        <v>200</v>
      </c>
      <c r="B14" s="72"/>
      <c r="C14" t="s">
        <v>201</v>
      </c>
      <c r="D14" s="183"/>
      <c r="E14" s="92">
        <f>+H14-D14</f>
        <v>0</v>
      </c>
      <c r="F14" s="92">
        <f>+D14+E14</f>
        <v>0</v>
      </c>
      <c r="H14" s="59">
        <f>SUM(J14:K14)/2</f>
        <v>0</v>
      </c>
      <c r="J14" s="116"/>
      <c r="K14" s="116"/>
    </row>
    <row r="15" spans="1:11">
      <c r="A15" t="s">
        <v>202</v>
      </c>
      <c r="B15" s="72"/>
      <c r="C15" t="s">
        <v>203</v>
      </c>
      <c r="D15" s="183"/>
      <c r="E15" s="92">
        <f>+H15-D15</f>
        <v>0</v>
      </c>
      <c r="F15" s="92">
        <f>+D15+E15</f>
        <v>0</v>
      </c>
      <c r="H15" s="59">
        <f>SUM(J15:K15)/2</f>
        <v>0</v>
      </c>
      <c r="J15" s="116"/>
      <c r="K15" s="116"/>
    </row>
    <row r="17" spans="1:8" ht="15.75" thickBot="1">
      <c r="D17" s="114">
        <f>SUM(D13:D16)</f>
        <v>0</v>
      </c>
      <c r="E17" s="114">
        <f>SUM(E13:E16)</f>
        <v>0</v>
      </c>
      <c r="F17" s="114">
        <f>SUM(F13:F16)</f>
        <v>0</v>
      </c>
      <c r="H17" s="114">
        <f>SUM(H13:H16)</f>
        <v>0</v>
      </c>
    </row>
    <row r="18" spans="1:8">
      <c r="E18" s="71"/>
    </row>
    <row r="19" spans="1:8">
      <c r="A19" s="72"/>
      <c r="B19" s="72"/>
      <c r="C19" s="72"/>
      <c r="E19" s="71"/>
    </row>
    <row r="20" spans="1:8">
      <c r="A20" s="78"/>
      <c r="B20" s="78"/>
      <c r="C20" s="72"/>
      <c r="E20" s="71"/>
    </row>
    <row r="21" spans="1:8">
      <c r="E21" s="71"/>
    </row>
    <row r="22" spans="1:8">
      <c r="E22" s="71"/>
    </row>
    <row r="23" spans="1:8">
      <c r="E23" s="71"/>
    </row>
    <row r="24" spans="1:8">
      <c r="E24" s="71"/>
    </row>
    <row r="25" spans="1:8">
      <c r="E25" s="71"/>
    </row>
    <row r="26" spans="1:8">
      <c r="E26" s="71"/>
    </row>
    <row r="27" spans="1:8">
      <c r="E27" s="81"/>
    </row>
    <row r="28" spans="1:8">
      <c r="E28" s="80"/>
    </row>
    <row r="29" spans="1:8">
      <c r="E29" s="71"/>
    </row>
    <row r="34" spans="3:3">
      <c r="C34" s="94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40"/>
  <sheetViews>
    <sheetView workbookViewId="0">
      <selection activeCell="G17" sqref="G1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H1" s="57" t="s">
        <v>2</v>
      </c>
      <c r="I1" s="57" t="s">
        <v>3</v>
      </c>
    </row>
    <row r="2" spans="1:10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10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10" ht="18">
      <c r="A4" s="124"/>
      <c r="B4" s="54"/>
      <c r="D4" s="56"/>
      <c r="F4"/>
      <c r="G4" s="125"/>
      <c r="H4" s="66"/>
      <c r="I4" s="67"/>
    </row>
    <row r="5" spans="1:10" ht="18">
      <c r="A5" s="54" t="s">
        <v>204</v>
      </c>
      <c r="C5" s="58"/>
      <c r="G5" s="59"/>
      <c r="H5" s="66"/>
      <c r="J5" s="67"/>
    </row>
    <row r="6" spans="1:10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0" s="70" customFormat="1" ht="30">
      <c r="A8" s="138" t="s">
        <v>107</v>
      </c>
      <c r="B8" s="300" t="s">
        <v>108</v>
      </c>
      <c r="C8" s="301"/>
      <c r="D8" s="301"/>
      <c r="E8" s="302"/>
      <c r="F8" s="139" t="s">
        <v>109</v>
      </c>
      <c r="G8" s="300" t="s">
        <v>157</v>
      </c>
      <c r="H8" s="309"/>
      <c r="I8" s="310"/>
    </row>
    <row r="10" spans="1:10">
      <c r="F10" s="71"/>
    </row>
    <row r="11" spans="1:10">
      <c r="A11" s="72">
        <v>61800</v>
      </c>
      <c r="B11" s="72"/>
      <c r="C11" s="72" t="s">
        <v>39</v>
      </c>
    </row>
    <row r="12" spans="1:10">
      <c r="A12" s="72"/>
      <c r="B12" s="72"/>
      <c r="C12" s="117" t="s">
        <v>205</v>
      </c>
      <c r="E12" s="266">
        <v>100719.74</v>
      </c>
    </row>
    <row r="13" spans="1:10">
      <c r="A13" s="72"/>
      <c r="B13" s="72"/>
      <c r="C13" s="117" t="s">
        <v>206</v>
      </c>
      <c r="E13" s="118">
        <f>F22</f>
        <v>0</v>
      </c>
      <c r="F13" s="59">
        <f>+E12-E13</f>
        <v>100719.74</v>
      </c>
    </row>
    <row r="14" spans="1:10">
      <c r="A14" s="72"/>
      <c r="B14" s="72"/>
      <c r="C14" s="117" t="s">
        <v>207</v>
      </c>
      <c r="F14" s="59">
        <v>545.69000000000005</v>
      </c>
    </row>
    <row r="15" spans="1:10">
      <c r="A15" s="72"/>
      <c r="B15" s="72"/>
      <c r="C15" s="117"/>
      <c r="F15" s="59">
        <v>0</v>
      </c>
    </row>
    <row r="17" spans="1:6">
      <c r="F17" s="114">
        <f>SUM(F12:F16)</f>
        <v>101265.43000000001</v>
      </c>
    </row>
    <row r="18" spans="1:6" ht="15" customHeight="1"/>
    <row r="19" spans="1:6" ht="15" customHeight="1">
      <c r="A19" s="72"/>
      <c r="B19" s="72"/>
      <c r="C19" s="78"/>
    </row>
    <row r="20" spans="1:6" ht="15" customHeight="1">
      <c r="F20"/>
    </row>
    <row r="21" spans="1:6" ht="15" customHeight="1">
      <c r="F21"/>
    </row>
    <row r="22" spans="1:6" ht="15" customHeight="1">
      <c r="F22"/>
    </row>
    <row r="23" spans="1:6" ht="15" customHeight="1">
      <c r="F23"/>
    </row>
    <row r="24" spans="1:6" ht="15" customHeight="1">
      <c r="F24"/>
    </row>
    <row r="25" spans="1:6">
      <c r="F25"/>
    </row>
    <row r="26" spans="1:6">
      <c r="A26" s="78"/>
      <c r="B26" s="78"/>
      <c r="C26" s="72"/>
    </row>
    <row r="33" spans="3:6">
      <c r="F33" s="81"/>
    </row>
    <row r="34" spans="3:6">
      <c r="F34" s="80"/>
    </row>
    <row r="35" spans="3:6">
      <c r="F35" s="71"/>
    </row>
    <row r="40" spans="3:6">
      <c r="C40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I18" sqref="I1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4"/>
      <c r="C1" s="298" t="str">
        <f>Index!$C$1</f>
        <v>LOXTON SUPERANNUATION FUND</v>
      </c>
      <c r="D1" s="298"/>
      <c r="E1" s="298"/>
      <c r="F1" s="55"/>
      <c r="H1" s="57" t="s">
        <v>2</v>
      </c>
      <c r="I1" s="57" t="s">
        <v>3</v>
      </c>
    </row>
    <row r="2" spans="1:10" ht="18">
      <c r="A2" s="124" t="s">
        <v>4</v>
      </c>
      <c r="B2" s="54"/>
      <c r="C2" s="298" t="str">
        <f>Index!$C$2</f>
        <v>LOXA</v>
      </c>
      <c r="D2" s="298"/>
      <c r="E2" s="298"/>
      <c r="F2" s="56"/>
      <c r="G2" s="60" t="s">
        <v>6</v>
      </c>
      <c r="H2" s="61" t="str">
        <f>Index!$H$2</f>
        <v>Nehal.A</v>
      </c>
      <c r="I2" s="62" t="str">
        <f>Index!$I$2</f>
        <v>18/11/2022</v>
      </c>
    </row>
    <row r="3" spans="1:10" ht="18">
      <c r="A3" s="124" t="s">
        <v>9</v>
      </c>
      <c r="B3" s="54"/>
      <c r="C3" s="299">
        <f>Index!$C$3</f>
        <v>44742</v>
      </c>
      <c r="D3" s="298"/>
      <c r="E3" s="298"/>
      <c r="F3" s="56"/>
      <c r="G3" s="60" t="s">
        <v>10</v>
      </c>
      <c r="H3" s="61" t="str">
        <f>Index!$H$3</f>
        <v>DB</v>
      </c>
      <c r="I3" s="62">
        <f>Index!$I$3</f>
        <v>44887</v>
      </c>
    </row>
    <row r="4" spans="1:10" ht="18">
      <c r="A4" s="124"/>
      <c r="B4" s="54"/>
      <c r="D4" s="54"/>
      <c r="E4" s="54"/>
      <c r="F4" s="56"/>
      <c r="G4" s="125"/>
      <c r="H4" s="66"/>
      <c r="I4" s="67"/>
    </row>
    <row r="5" spans="1:10" ht="18">
      <c r="A5" s="54" t="s">
        <v>208</v>
      </c>
      <c r="C5" s="58"/>
      <c r="G5" s="59"/>
      <c r="H5" s="66"/>
      <c r="J5" s="67"/>
    </row>
    <row r="6" spans="1:10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0" s="70" customFormat="1" ht="30">
      <c r="A8" s="138" t="s">
        <v>107</v>
      </c>
      <c r="B8" s="300" t="s">
        <v>108</v>
      </c>
      <c r="C8" s="301"/>
      <c r="D8" s="301"/>
      <c r="E8" s="302"/>
      <c r="F8" s="139" t="s">
        <v>109</v>
      </c>
      <c r="G8" s="300" t="s">
        <v>157</v>
      </c>
      <c r="H8" s="309"/>
      <c r="I8" s="310"/>
    </row>
    <row r="10" spans="1:10">
      <c r="F10" s="71"/>
    </row>
    <row r="11" spans="1:10">
      <c r="A11" s="72">
        <v>88000</v>
      </c>
      <c r="B11" s="72"/>
      <c r="C11" s="72" t="s">
        <v>59</v>
      </c>
    </row>
    <row r="12" spans="1:10">
      <c r="F12" s="59">
        <v>0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.75" thickBot="1">
      <c r="F17" s="114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C9D2DC-4118-4448-8C98-C6BBEEB275CD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2022-11-28T04:10:33Z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