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BTS\Best Tax Strategies\client info\Infensus Superannuation Fund\"/>
    </mc:Choice>
  </mc:AlternateContent>
  <bookViews>
    <workbookView xWindow="720" yWindow="660" windowWidth="19572" windowHeight="9912" tabRatio="938" activeTab="7"/>
  </bookViews>
  <sheets>
    <sheet name="Cover" sheetId="8" r:id="rId1"/>
    <sheet name="Contents" sheetId="9" r:id="rId2"/>
    <sheet name="Balance" sheetId="10" r:id="rId3"/>
    <sheet name="Profit &amp; Loss" sheetId="11" r:id="rId4"/>
    <sheet name="Notes" sheetId="5" r:id="rId5"/>
    <sheet name="Trustee Declaration" sheetId="13" r:id="rId6"/>
    <sheet name="Compilation Report" sheetId="14" r:id="rId7"/>
    <sheet name="Sheet1" sheetId="15" r:id="rId8"/>
    <sheet name="Detailed P &amp; L" sheetId="7" state="hidden" r:id="rId9"/>
    <sheet name="Income Tax Return Adds" sheetId="16" r:id="rId10"/>
  </sheets>
  <definedNames>
    <definedName name="_xlnm.Print_Area" localSheetId="2">Balance!$B:$J</definedName>
    <definedName name="_xlnm.Print_Area" localSheetId="6">'Compilation Report'!$B:$K</definedName>
    <definedName name="_xlnm.Print_Area" localSheetId="1">Contents!$B:$J</definedName>
    <definedName name="_xlnm.Print_Area" localSheetId="0">Cover!$B:$I</definedName>
    <definedName name="_xlnm.Print_Area" localSheetId="8">'Detailed P &amp; L'!$B:$J</definedName>
    <definedName name="_xlnm.Print_Area" localSheetId="9">'Income Tax Return Adds'!$A:$G</definedName>
    <definedName name="_xlnm.Print_Area" localSheetId="4">Notes!$B:$J</definedName>
    <definedName name="_xlnm.Print_Area" localSheetId="3">'Profit &amp; Loss'!$B:$J</definedName>
    <definedName name="_xlnm.Print_Area" localSheetId="5">'Trustee Declaration'!$B:$J</definedName>
    <definedName name="_xlnm.Print_Titles" localSheetId="8">'Detailed P &amp; L'!$1:$8</definedName>
    <definedName name="_xlnm.Print_Titles" localSheetId="4">Notes!$1:$8</definedName>
  </definedNames>
  <calcPr calcId="152511"/>
</workbook>
</file>

<file path=xl/calcChain.xml><?xml version="1.0" encoding="utf-8"?>
<calcChain xmlns="http://schemas.openxmlformats.org/spreadsheetml/2006/main">
  <c r="O10" i="16" l="1"/>
  <c r="O9" i="16"/>
  <c r="AA144" i="5" l="1"/>
  <c r="Y144" i="5"/>
  <c r="AQ246" i="5" l="1"/>
  <c r="AP246" i="5"/>
  <c r="AO246" i="5"/>
  <c r="AN246" i="5"/>
  <c r="AM246" i="5"/>
  <c r="AL246" i="5"/>
  <c r="AK246" i="5"/>
  <c r="AJ246" i="5"/>
  <c r="AG246" i="5"/>
  <c r="AF246" i="5"/>
  <c r="AE246" i="5"/>
  <c r="AD246" i="5"/>
  <c r="AC246" i="5"/>
  <c r="AB246" i="5"/>
  <c r="AA246" i="5"/>
  <c r="Z246" i="5"/>
  <c r="Y246" i="5"/>
  <c r="X246" i="5"/>
  <c r="W246" i="5"/>
  <c r="V246" i="5"/>
  <c r="U246" i="5"/>
  <c r="T246" i="5"/>
  <c r="S246" i="5"/>
  <c r="R246" i="5"/>
  <c r="Q246" i="5"/>
  <c r="P246" i="5"/>
  <c r="O246" i="5"/>
  <c r="N246" i="5"/>
  <c r="S148" i="5"/>
  <c r="R148" i="5"/>
  <c r="Q148" i="5"/>
  <c r="P148" i="5"/>
  <c r="O148" i="5"/>
  <c r="N148" i="5"/>
  <c r="AQ136" i="5"/>
  <c r="AP136" i="5"/>
  <c r="AO136" i="5"/>
  <c r="AN136" i="5"/>
  <c r="AM136" i="5"/>
  <c r="AL136" i="5"/>
  <c r="AK136" i="5"/>
  <c r="AJ136" i="5"/>
  <c r="AG136" i="5"/>
  <c r="AF136" i="5"/>
  <c r="AE136" i="5"/>
  <c r="AD136" i="5"/>
  <c r="AC136" i="5"/>
  <c r="AB136" i="5"/>
  <c r="AA136" i="5"/>
  <c r="Z136" i="5"/>
  <c r="Y136" i="5"/>
  <c r="X136" i="5"/>
  <c r="W136" i="5"/>
  <c r="V136" i="5"/>
  <c r="U136" i="5"/>
  <c r="T136" i="5"/>
  <c r="S136" i="5"/>
  <c r="R136" i="5"/>
  <c r="Q136" i="5"/>
  <c r="P136" i="5"/>
  <c r="N136" i="5"/>
  <c r="AF12" i="11"/>
  <c r="D23" i="16" l="1"/>
  <c r="AG13" i="11"/>
  <c r="AD209" i="5" l="1"/>
  <c r="AD12" i="11"/>
  <c r="AA24" i="11" l="1"/>
  <c r="AE12" i="11"/>
  <c r="B6" i="14" l="1"/>
  <c r="C14" i="13"/>
  <c r="C10" i="13"/>
  <c r="AC218" i="5"/>
  <c r="AB212" i="5"/>
  <c r="AB210" i="5"/>
  <c r="AB12" i="11"/>
  <c r="AC12" i="11"/>
  <c r="E24" i="16" l="1"/>
  <c r="E11" i="16"/>
  <c r="E10" i="16"/>
  <c r="E9" i="16"/>
  <c r="E8" i="16"/>
  <c r="E7" i="16"/>
  <c r="E6" i="16"/>
  <c r="E5" i="16"/>
  <c r="E4" i="16"/>
  <c r="E3" i="16"/>
  <c r="E17" i="16"/>
  <c r="E15" i="16"/>
  <c r="E13" i="16"/>
  <c r="E18" i="16"/>
  <c r="C23" i="16"/>
  <c r="C12" i="16"/>
  <c r="C14" i="16" s="1"/>
  <c r="C19" i="16" s="1"/>
  <c r="Y222" i="5"/>
  <c r="Y218" i="5"/>
  <c r="X126" i="5"/>
  <c r="X127" i="5" s="1"/>
  <c r="X12" i="11"/>
  <c r="E14" i="16" l="1"/>
  <c r="C20" i="16"/>
  <c r="C21" i="16" s="1"/>
  <c r="C22" i="16" s="1"/>
  <c r="C25" i="16" s="1"/>
  <c r="Y12" i="11"/>
  <c r="V190" i="5" l="1"/>
  <c r="V191" i="5" s="1"/>
  <c r="V126" i="5"/>
  <c r="V127" i="5" s="1"/>
  <c r="F279" i="5" l="1"/>
  <c r="F281" i="5" s="1"/>
  <c r="E36" i="16" l="1"/>
  <c r="E42" i="16" s="1"/>
  <c r="D36" i="16"/>
  <c r="D42" i="16" s="1"/>
  <c r="B36" i="16"/>
  <c r="B42" i="16" s="1"/>
  <c r="F42" i="16" s="1"/>
  <c r="E23" i="16"/>
  <c r="B23" i="16"/>
  <c r="B25" i="16" s="1"/>
  <c r="D19" i="16"/>
  <c r="D12" i="16"/>
  <c r="B12" i="16"/>
  <c r="T197" i="5"/>
  <c r="T198" i="5" s="1"/>
  <c r="T190" i="5"/>
  <c r="T191" i="5" s="1"/>
  <c r="T126" i="5"/>
  <c r="T127" i="5" s="1"/>
  <c r="B19" i="16" l="1"/>
  <c r="B20" i="16" s="1"/>
  <c r="D20" i="16"/>
  <c r="D21" i="16" s="1"/>
  <c r="E21" i="16" s="1"/>
  <c r="E19" i="16"/>
  <c r="E12" i="16"/>
  <c r="AQ235" i="5"/>
  <c r="AQ236" i="5" s="1"/>
  <c r="AP235" i="5"/>
  <c r="AP236" i="5" s="1"/>
  <c r="AO235" i="5"/>
  <c r="AO236" i="5" s="1"/>
  <c r="AN235" i="5"/>
  <c r="AN236" i="5" s="1"/>
  <c r="AM235" i="5"/>
  <c r="AM236" i="5" s="1"/>
  <c r="AL235" i="5"/>
  <c r="AL236" i="5" s="1"/>
  <c r="AK235" i="5"/>
  <c r="AK236" i="5" s="1"/>
  <c r="AJ235" i="5"/>
  <c r="AJ236" i="5" s="1"/>
  <c r="AI235" i="5"/>
  <c r="AI236" i="5" s="1"/>
  <c r="AH235" i="5"/>
  <c r="AH236" i="5" s="1"/>
  <c r="AG235" i="5"/>
  <c r="AG236" i="5" s="1"/>
  <c r="AF235" i="5"/>
  <c r="AF236" i="5" s="1"/>
  <c r="AE235" i="5"/>
  <c r="AE236" i="5" s="1"/>
  <c r="AD235" i="5"/>
  <c r="AD236" i="5" s="1"/>
  <c r="AC235" i="5"/>
  <c r="AC236" i="5" s="1"/>
  <c r="AB235" i="5"/>
  <c r="AB236" i="5" s="1"/>
  <c r="AA235" i="5"/>
  <c r="AA236" i="5" s="1"/>
  <c r="Z235" i="5"/>
  <c r="Z236" i="5" s="1"/>
  <c r="Y235" i="5"/>
  <c r="Y236" i="5" s="1"/>
  <c r="X235" i="5"/>
  <c r="X236" i="5" s="1"/>
  <c r="W235" i="5"/>
  <c r="W236" i="5" s="1"/>
  <c r="V235" i="5"/>
  <c r="V236" i="5" s="1"/>
  <c r="U235" i="5"/>
  <c r="U236" i="5" s="1"/>
  <c r="T235" i="5"/>
  <c r="T236" i="5" s="1"/>
  <c r="S235" i="5"/>
  <c r="S236" i="5" s="1"/>
  <c r="R235" i="5"/>
  <c r="R236" i="5" s="1"/>
  <c r="Q235" i="5"/>
  <c r="Q236" i="5" s="1"/>
  <c r="P235" i="5"/>
  <c r="P236" i="5" s="1"/>
  <c r="O235" i="5"/>
  <c r="O236" i="5" s="1"/>
  <c r="N235" i="5"/>
  <c r="N236" i="5" s="1"/>
  <c r="AQ85" i="7"/>
  <c r="AP85" i="7"/>
  <c r="AO85" i="7"/>
  <c r="AN85" i="7"/>
  <c r="AM85" i="7"/>
  <c r="AL85" i="7"/>
  <c r="AK85" i="7"/>
  <c r="AJ85" i="7"/>
  <c r="AI85" i="7"/>
  <c r="AH85" i="7"/>
  <c r="AG85" i="7"/>
  <c r="AF85" i="7"/>
  <c r="AE85" i="7"/>
  <c r="AD85" i="7"/>
  <c r="AC85" i="7"/>
  <c r="AB85" i="7"/>
  <c r="AA85" i="7"/>
  <c r="Z85" i="7"/>
  <c r="Y85" i="7"/>
  <c r="X85" i="7"/>
  <c r="W85" i="7"/>
  <c r="V85" i="7"/>
  <c r="U85" i="7"/>
  <c r="T85" i="7"/>
  <c r="S85" i="7"/>
  <c r="R85" i="7"/>
  <c r="Q85" i="7"/>
  <c r="P85" i="7"/>
  <c r="O85" i="7"/>
  <c r="N85" i="7"/>
  <c r="AQ60" i="7"/>
  <c r="AP60" i="7"/>
  <c r="AO60" i="7"/>
  <c r="AN60" i="7"/>
  <c r="AM60" i="7"/>
  <c r="AL60" i="7"/>
  <c r="AK60" i="7"/>
  <c r="AJ60" i="7"/>
  <c r="AI60" i="7"/>
  <c r="AH60" i="7"/>
  <c r="AG60" i="7"/>
  <c r="AF60" i="7"/>
  <c r="AE60" i="7"/>
  <c r="AD60" i="7"/>
  <c r="AC60" i="7"/>
  <c r="AB60" i="7"/>
  <c r="AA60" i="7"/>
  <c r="Z60" i="7"/>
  <c r="Y60" i="7"/>
  <c r="X60" i="7"/>
  <c r="W60" i="7"/>
  <c r="V60" i="7"/>
  <c r="U60" i="7"/>
  <c r="T60" i="7"/>
  <c r="S60" i="7"/>
  <c r="R60" i="7"/>
  <c r="Q60" i="7"/>
  <c r="P60" i="7"/>
  <c r="O60" i="7"/>
  <c r="N60" i="7"/>
  <c r="AQ14"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P14" i="7"/>
  <c r="O14" i="7"/>
  <c r="N14" i="7"/>
  <c r="R190" i="5"/>
  <c r="R191" i="5" s="1"/>
  <c r="R126" i="5"/>
  <c r="R127" i="5" s="1"/>
  <c r="I10" i="9"/>
  <c r="I11" i="9" s="1"/>
  <c r="I12" i="9" s="1"/>
  <c r="I13" i="9" s="1"/>
  <c r="I14" i="9" s="1"/>
  <c r="I15" i="9" s="1"/>
  <c r="AQ1" i="7"/>
  <c r="AP1" i="7"/>
  <c r="AO1" i="7"/>
  <c r="AN1" i="7"/>
  <c r="AM1" i="7"/>
  <c r="AL1" i="7"/>
  <c r="AK1" i="7"/>
  <c r="AJ1" i="7"/>
  <c r="AI1" i="7"/>
  <c r="AH1" i="7"/>
  <c r="AG1" i="7"/>
  <c r="AF1" i="7"/>
  <c r="AE1" i="7"/>
  <c r="AD1" i="7"/>
  <c r="AC1" i="7"/>
  <c r="AB1" i="7"/>
  <c r="AA1" i="7"/>
  <c r="Z1" i="7"/>
  <c r="Y1" i="7"/>
  <c r="X1" i="7"/>
  <c r="W1" i="7"/>
  <c r="V1" i="7"/>
  <c r="U1" i="7"/>
  <c r="T1" i="7"/>
  <c r="S1" i="7"/>
  <c r="R1" i="7"/>
  <c r="Q1" i="7"/>
  <c r="P1" i="7"/>
  <c r="O1" i="7"/>
  <c r="N1" i="7"/>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AQ1" i="11"/>
  <c r="AP1" i="11"/>
  <c r="AO1" i="11"/>
  <c r="AN1" i="11"/>
  <c r="AM1" i="11"/>
  <c r="AL1" i="11"/>
  <c r="AK1" i="11"/>
  <c r="AJ1" i="11"/>
  <c r="AI1" i="11"/>
  <c r="AH1" i="11"/>
  <c r="AG1" i="11"/>
  <c r="AF1" i="11"/>
  <c r="AE1" i="11"/>
  <c r="AD1" i="11"/>
  <c r="AC1" i="11"/>
  <c r="AB1" i="11"/>
  <c r="AA1" i="11"/>
  <c r="Z1" i="11"/>
  <c r="Y1" i="11"/>
  <c r="X1" i="11"/>
  <c r="W1" i="11"/>
  <c r="V1" i="11"/>
  <c r="U1" i="11"/>
  <c r="T1" i="11"/>
  <c r="S1" i="11"/>
  <c r="R1" i="11"/>
  <c r="Q1" i="11"/>
  <c r="P1" i="11"/>
  <c r="O1" i="11"/>
  <c r="N1" i="11"/>
  <c r="AQ1" i="10"/>
  <c r="AP1" i="10"/>
  <c r="AO1" i="10"/>
  <c r="AN1" i="10"/>
  <c r="AM1" i="10"/>
  <c r="AL1" i="10"/>
  <c r="AK1" i="10"/>
  <c r="AJ1" i="10"/>
  <c r="AI1" i="10"/>
  <c r="AH1" i="10"/>
  <c r="AG1" i="10"/>
  <c r="AF1" i="10"/>
  <c r="AE1" i="10"/>
  <c r="AD1" i="10"/>
  <c r="AC1" i="10"/>
  <c r="AB1" i="10"/>
  <c r="AA1" i="10"/>
  <c r="Z1" i="10"/>
  <c r="Y1" i="10"/>
  <c r="X1" i="10"/>
  <c r="W1" i="10"/>
  <c r="V1" i="10"/>
  <c r="U1" i="10"/>
  <c r="T1" i="10"/>
  <c r="S1" i="10"/>
  <c r="R1" i="10"/>
  <c r="Q1" i="10"/>
  <c r="P1" i="10"/>
  <c r="O1" i="10"/>
  <c r="N1" i="10"/>
  <c r="J280" i="5"/>
  <c r="F275" i="5" s="1"/>
  <c r="J279" i="5"/>
  <c r="F274" i="5" s="1"/>
  <c r="B1" i="14"/>
  <c r="B1" i="13"/>
  <c r="AQ265" i="5"/>
  <c r="AP265" i="5"/>
  <c r="AO265" i="5"/>
  <c r="AN265" i="5"/>
  <c r="AM265" i="5"/>
  <c r="AL265" i="5"/>
  <c r="AK265" i="5"/>
  <c r="AJ265" i="5"/>
  <c r="AI265" i="5"/>
  <c r="AH265" i="5"/>
  <c r="AG265" i="5"/>
  <c r="AF265" i="5"/>
  <c r="AE265" i="5"/>
  <c r="AD265" i="5"/>
  <c r="AC265" i="5"/>
  <c r="AB265" i="5"/>
  <c r="AA265" i="5"/>
  <c r="Z265" i="5"/>
  <c r="Y265" i="5"/>
  <c r="X265" i="5"/>
  <c r="W265" i="5"/>
  <c r="V265" i="5"/>
  <c r="U265" i="5"/>
  <c r="T265" i="5"/>
  <c r="S265" i="5"/>
  <c r="R265" i="5"/>
  <c r="Q265" i="5"/>
  <c r="P265" i="5"/>
  <c r="O265" i="5"/>
  <c r="AQ245" i="5"/>
  <c r="AP245" i="5"/>
  <c r="AO245" i="5"/>
  <c r="AN245" i="5"/>
  <c r="AM245" i="5"/>
  <c r="AL245" i="5"/>
  <c r="AK245" i="5"/>
  <c r="AJ245" i="5"/>
  <c r="AI245" i="5"/>
  <c r="AI246" i="5" s="1"/>
  <c r="AH245" i="5"/>
  <c r="AH246" i="5" s="1"/>
  <c r="AG245" i="5"/>
  <c r="AF245" i="5"/>
  <c r="AE245" i="5"/>
  <c r="AD245" i="5"/>
  <c r="AC245" i="5"/>
  <c r="AB245" i="5"/>
  <c r="AA245" i="5"/>
  <c r="Z245" i="5"/>
  <c r="Y245" i="5"/>
  <c r="X245" i="5"/>
  <c r="W245" i="5"/>
  <c r="V245" i="5"/>
  <c r="U245" i="5"/>
  <c r="T245" i="5"/>
  <c r="S245" i="5"/>
  <c r="R245" i="5"/>
  <c r="Q245" i="5"/>
  <c r="P245" i="5"/>
  <c r="O245" i="5"/>
  <c r="N265" i="5"/>
  <c r="N245" i="5"/>
  <c r="AQ197" i="5"/>
  <c r="AQ198" i="5" s="1"/>
  <c r="AP197" i="5"/>
  <c r="AP198" i="5" s="1"/>
  <c r="AO197" i="5"/>
  <c r="AO198" i="5" s="1"/>
  <c r="AN197" i="5"/>
  <c r="AN198" i="5" s="1"/>
  <c r="AM197" i="5"/>
  <c r="AM198" i="5" s="1"/>
  <c r="AL197" i="5"/>
  <c r="AL198" i="5" s="1"/>
  <c r="AK197" i="5"/>
  <c r="AK198" i="5" s="1"/>
  <c r="AJ197" i="5"/>
  <c r="AJ198" i="5" s="1"/>
  <c r="AI197" i="5"/>
  <c r="AI198" i="5" s="1"/>
  <c r="AH197" i="5"/>
  <c r="AH198" i="5" s="1"/>
  <c r="AG197" i="5"/>
  <c r="AG198" i="5" s="1"/>
  <c r="AF197" i="5"/>
  <c r="AF198" i="5" s="1"/>
  <c r="AE197" i="5"/>
  <c r="AE198" i="5" s="1"/>
  <c r="AD197" i="5"/>
  <c r="AD198" i="5" s="1"/>
  <c r="AC197" i="5"/>
  <c r="AC198" i="5" s="1"/>
  <c r="AB197" i="5"/>
  <c r="AB198" i="5" s="1"/>
  <c r="AA197" i="5"/>
  <c r="AA198" i="5" s="1"/>
  <c r="Z197" i="5"/>
  <c r="Z198" i="5" s="1"/>
  <c r="Y197" i="5"/>
  <c r="Y198" i="5" s="1"/>
  <c r="X197" i="5"/>
  <c r="X198" i="5" s="1"/>
  <c r="W197" i="5"/>
  <c r="W198" i="5" s="1"/>
  <c r="V197" i="5"/>
  <c r="V198" i="5" s="1"/>
  <c r="U197" i="5"/>
  <c r="U198" i="5" s="1"/>
  <c r="S197" i="5"/>
  <c r="S198" i="5" s="1"/>
  <c r="R197" i="5"/>
  <c r="R198" i="5" s="1"/>
  <c r="Q197" i="5"/>
  <c r="Q198" i="5" s="1"/>
  <c r="P197" i="5"/>
  <c r="P198" i="5" s="1"/>
  <c r="O197" i="5"/>
  <c r="O198" i="5" s="1"/>
  <c r="AQ190" i="5"/>
  <c r="AQ191" i="5" s="1"/>
  <c r="AP190" i="5"/>
  <c r="AP191" i="5" s="1"/>
  <c r="AO190" i="5"/>
  <c r="AO191" i="5" s="1"/>
  <c r="AN190" i="5"/>
  <c r="AN191" i="5" s="1"/>
  <c r="AM190" i="5"/>
  <c r="AM191" i="5" s="1"/>
  <c r="AL190" i="5"/>
  <c r="AL191" i="5" s="1"/>
  <c r="AK190" i="5"/>
  <c r="AK191" i="5" s="1"/>
  <c r="AJ190" i="5"/>
  <c r="AJ191" i="5" s="1"/>
  <c r="AI190" i="5"/>
  <c r="AI191" i="5" s="1"/>
  <c r="AH190" i="5"/>
  <c r="AH191" i="5" s="1"/>
  <c r="AG190" i="5"/>
  <c r="AG191" i="5" s="1"/>
  <c r="AF190" i="5"/>
  <c r="AF191" i="5" s="1"/>
  <c r="AE190" i="5"/>
  <c r="AE191" i="5" s="1"/>
  <c r="AD190" i="5"/>
  <c r="AD191" i="5" s="1"/>
  <c r="AC190" i="5"/>
  <c r="AC191" i="5" s="1"/>
  <c r="AB190" i="5"/>
  <c r="AB191" i="5" s="1"/>
  <c r="AA190" i="5"/>
  <c r="AA191" i="5" s="1"/>
  <c r="Z190" i="5"/>
  <c r="Z191" i="5" s="1"/>
  <c r="Y190" i="5"/>
  <c r="Y191" i="5" s="1"/>
  <c r="X190" i="5"/>
  <c r="X191" i="5" s="1"/>
  <c r="W190" i="5"/>
  <c r="W191" i="5" s="1"/>
  <c r="U190" i="5"/>
  <c r="U191" i="5" s="1"/>
  <c r="S190" i="5"/>
  <c r="S191" i="5" s="1"/>
  <c r="Q190" i="5"/>
  <c r="Q191" i="5" s="1"/>
  <c r="P190" i="5"/>
  <c r="P191" i="5" s="1"/>
  <c r="O190" i="5"/>
  <c r="O191" i="5" s="1"/>
  <c r="N197" i="5"/>
  <c r="N198" i="5" s="1"/>
  <c r="N190" i="5"/>
  <c r="N191" i="5" s="1"/>
  <c r="S146" i="5"/>
  <c r="R146" i="5"/>
  <c r="Q146" i="5"/>
  <c r="P146" i="5"/>
  <c r="O146" i="5"/>
  <c r="AQ135" i="5"/>
  <c r="AP135" i="5"/>
  <c r="AO135" i="5"/>
  <c r="AN135" i="5"/>
  <c r="AM135" i="5"/>
  <c r="AL135" i="5"/>
  <c r="AK135" i="5"/>
  <c r="AJ135" i="5"/>
  <c r="AI135" i="5"/>
  <c r="AI136" i="5" s="1"/>
  <c r="AH135" i="5"/>
  <c r="AH136" i="5" s="1"/>
  <c r="AG135" i="5"/>
  <c r="AF135" i="5"/>
  <c r="AE135" i="5"/>
  <c r="AD135" i="5"/>
  <c r="AC135" i="5"/>
  <c r="AB135" i="5"/>
  <c r="AA135" i="5"/>
  <c r="Z135" i="5"/>
  <c r="Y135" i="5"/>
  <c r="X135" i="5"/>
  <c r="W135" i="5"/>
  <c r="V135" i="5"/>
  <c r="U135" i="5"/>
  <c r="T135" i="5"/>
  <c r="S135" i="5"/>
  <c r="R135" i="5"/>
  <c r="Q135" i="5"/>
  <c r="P135" i="5"/>
  <c r="O135" i="5"/>
  <c r="O136" i="5" s="1"/>
  <c r="AQ126" i="5"/>
  <c r="AQ127" i="5" s="1"/>
  <c r="AP126" i="5"/>
  <c r="AP127" i="5" s="1"/>
  <c r="AO126" i="5"/>
  <c r="AO127" i="5" s="1"/>
  <c r="AN126" i="5"/>
  <c r="AN127" i="5" s="1"/>
  <c r="AM126" i="5"/>
  <c r="AM127" i="5" s="1"/>
  <c r="AL126" i="5"/>
  <c r="AL127" i="5" s="1"/>
  <c r="AK126" i="5"/>
  <c r="AK127" i="5" s="1"/>
  <c r="AJ126" i="5"/>
  <c r="AJ127" i="5" s="1"/>
  <c r="AI126" i="5"/>
  <c r="AI127" i="5" s="1"/>
  <c r="AH126" i="5"/>
  <c r="AH127" i="5" s="1"/>
  <c r="AG126" i="5"/>
  <c r="AG127" i="5" s="1"/>
  <c r="AF126" i="5"/>
  <c r="AF127" i="5" s="1"/>
  <c r="AE126" i="5"/>
  <c r="AE127" i="5" s="1"/>
  <c r="AD126" i="5"/>
  <c r="AD127" i="5" s="1"/>
  <c r="AC126" i="5"/>
  <c r="AC127" i="5" s="1"/>
  <c r="AB126" i="5"/>
  <c r="AB127" i="5" s="1"/>
  <c r="AA126" i="5"/>
  <c r="AA127" i="5" s="1"/>
  <c r="Z126" i="5"/>
  <c r="Z127" i="5" s="1"/>
  <c r="Y126" i="5"/>
  <c r="Y127" i="5" s="1"/>
  <c r="W126" i="5"/>
  <c r="W127" i="5" s="1"/>
  <c r="U126" i="5"/>
  <c r="U127" i="5" s="1"/>
  <c r="S126" i="5"/>
  <c r="S127" i="5" s="1"/>
  <c r="Q126" i="5"/>
  <c r="Q127" i="5" s="1"/>
  <c r="P126" i="5"/>
  <c r="P127" i="5" s="1"/>
  <c r="O126" i="5"/>
  <c r="O127" i="5" s="1"/>
  <c r="N146" i="5"/>
  <c r="N135" i="5"/>
  <c r="N126" i="5"/>
  <c r="N127" i="5" s="1"/>
  <c r="P21" i="8"/>
  <c r="P22" i="8" s="1"/>
  <c r="P23" i="8" s="1"/>
  <c r="P24" i="8" s="1"/>
  <c r="P25" i="8" s="1"/>
  <c r="P26" i="8" s="1"/>
  <c r="P27" i="8" s="1"/>
  <c r="P28" i="8" s="1"/>
  <c r="P29" i="8" s="1"/>
  <c r="P30" i="8" s="1"/>
  <c r="P31" i="8" s="1"/>
  <c r="P32" i="8" s="1"/>
  <c r="P33" i="8" s="1"/>
  <c r="P34" i="8" s="1"/>
  <c r="AQ21" i="10"/>
  <c r="AP21" i="10"/>
  <c r="AO21" i="10"/>
  <c r="AN21" i="10"/>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AQ10" i="10"/>
  <c r="AQ17" i="10" s="1"/>
  <c r="AP10" i="10"/>
  <c r="AP17" i="10" s="1"/>
  <c r="AO10" i="10"/>
  <c r="AO17" i="10" s="1"/>
  <c r="AN10" i="10"/>
  <c r="AN17" i="10" s="1"/>
  <c r="AM10" i="10"/>
  <c r="AM17" i="10" s="1"/>
  <c r="AL10" i="10"/>
  <c r="AL17" i="10" s="1"/>
  <c r="AK10" i="10"/>
  <c r="AK17" i="10" s="1"/>
  <c r="AJ10" i="10"/>
  <c r="AJ17" i="10" s="1"/>
  <c r="AI10" i="10"/>
  <c r="AI17" i="10" s="1"/>
  <c r="AH10" i="10"/>
  <c r="AH17" i="10" s="1"/>
  <c r="AG10" i="10"/>
  <c r="AG17" i="10" s="1"/>
  <c r="AF10" i="10"/>
  <c r="AF17" i="10" s="1"/>
  <c r="AE10" i="10"/>
  <c r="AD10" i="10"/>
  <c r="AC10" i="10"/>
  <c r="AB10" i="10"/>
  <c r="AA10" i="10"/>
  <c r="AA17" i="10" s="1"/>
  <c r="Z10" i="10"/>
  <c r="Y10" i="10"/>
  <c r="X10" i="10"/>
  <c r="W10" i="10"/>
  <c r="V10" i="10"/>
  <c r="V17" i="10" s="1"/>
  <c r="U10" i="10"/>
  <c r="T10" i="10"/>
  <c r="S10" i="10"/>
  <c r="R10" i="10"/>
  <c r="Q10" i="10"/>
  <c r="P10" i="10"/>
  <c r="O10" i="10"/>
  <c r="N10" i="10"/>
  <c r="N17" i="10" s="1"/>
  <c r="AQ16" i="10"/>
  <c r="AP16" i="10"/>
  <c r="AO16" i="10"/>
  <c r="AN16" i="10"/>
  <c r="AM16" i="10"/>
  <c r="AL16" i="10"/>
  <c r="AK16" i="10"/>
  <c r="AJ16" i="10"/>
  <c r="AI16" i="10"/>
  <c r="AH16" i="10"/>
  <c r="AG16" i="10"/>
  <c r="AF16" i="10"/>
  <c r="AE16" i="10"/>
  <c r="AD16" i="10"/>
  <c r="AC16" i="10"/>
  <c r="AB16" i="10"/>
  <c r="AA16" i="10"/>
  <c r="Z16" i="10"/>
  <c r="Y16" i="10"/>
  <c r="X16" i="10"/>
  <c r="W16" i="10"/>
  <c r="V16" i="10"/>
  <c r="U16" i="10"/>
  <c r="T16" i="10"/>
  <c r="S16" i="10"/>
  <c r="R16" i="10"/>
  <c r="Q16" i="10"/>
  <c r="P16" i="10"/>
  <c r="O16" i="10"/>
  <c r="N16" i="10"/>
  <c r="AQ13" i="11"/>
  <c r="AP13" i="11"/>
  <c r="AO13" i="11"/>
  <c r="AN13" i="11"/>
  <c r="AM13" i="11"/>
  <c r="AL13" i="11"/>
  <c r="AK13" i="11"/>
  <c r="AJ13" i="11"/>
  <c r="AI13" i="11"/>
  <c r="AH13" i="11"/>
  <c r="AF13" i="11"/>
  <c r="AE13" i="11"/>
  <c r="AD13" i="11"/>
  <c r="AC13" i="11"/>
  <c r="AB13" i="11"/>
  <c r="AA13" i="11"/>
  <c r="Z13" i="11"/>
  <c r="Y13" i="11"/>
  <c r="X13" i="11"/>
  <c r="W13" i="11"/>
  <c r="V13" i="11"/>
  <c r="U13" i="11"/>
  <c r="T13" i="11"/>
  <c r="S13" i="11"/>
  <c r="R13" i="11"/>
  <c r="Q13" i="11"/>
  <c r="P13" i="11"/>
  <c r="N13" i="11"/>
  <c r="O13"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N30" i="11"/>
  <c r="O30" i="11"/>
  <c r="AQ19" i="11"/>
  <c r="AQ20" i="11" s="1"/>
  <c r="AP19" i="11"/>
  <c r="AP20" i="11" s="1"/>
  <c r="AO19" i="11"/>
  <c r="AO20" i="11" s="1"/>
  <c r="AN19" i="11"/>
  <c r="AN20" i="11" s="1"/>
  <c r="AM19" i="11"/>
  <c r="AM20" i="11" s="1"/>
  <c r="AM32" i="11" s="1"/>
  <c r="AM34" i="11" s="1"/>
  <c r="AM148" i="5" s="1"/>
  <c r="AL19" i="11"/>
  <c r="AL20" i="11" s="1"/>
  <c r="AK19" i="11"/>
  <c r="AK20" i="11" s="1"/>
  <c r="AJ19" i="11"/>
  <c r="AJ20" i="11" s="1"/>
  <c r="AJ32" i="11" s="1"/>
  <c r="AJ34" i="11" s="1"/>
  <c r="AJ148" i="5" s="1"/>
  <c r="AI19" i="11"/>
  <c r="AH19" i="11"/>
  <c r="AH20" i="11" s="1"/>
  <c r="AG19" i="11"/>
  <c r="AG20" i="11" s="1"/>
  <c r="AF19" i="11"/>
  <c r="AE19" i="11"/>
  <c r="AD19" i="11"/>
  <c r="AC19" i="11"/>
  <c r="AB19" i="11"/>
  <c r="AA19" i="11"/>
  <c r="AA20" i="11" s="1"/>
  <c r="Z19" i="11"/>
  <c r="Z20" i="11" s="1"/>
  <c r="Y19" i="11"/>
  <c r="Y20" i="11" s="1"/>
  <c r="X19" i="11"/>
  <c r="W19" i="11"/>
  <c r="W20" i="11" s="1"/>
  <c r="V19" i="11"/>
  <c r="V20" i="11" s="1"/>
  <c r="U19" i="11"/>
  <c r="U20" i="11" s="1"/>
  <c r="T19" i="11"/>
  <c r="T20" i="11" s="1"/>
  <c r="S19" i="11"/>
  <c r="S20" i="11" s="1"/>
  <c r="R19" i="11"/>
  <c r="R20" i="11" s="1"/>
  <c r="Q19" i="11"/>
  <c r="Q20" i="11" s="1"/>
  <c r="P19" i="11"/>
  <c r="N19" i="11"/>
  <c r="O19" i="11"/>
  <c r="O20" i="11" s="1"/>
  <c r="O19" i="7"/>
  <c r="O24" i="7"/>
  <c r="O29" i="7"/>
  <c r="O34" i="7"/>
  <c r="O39" i="7"/>
  <c r="O65" i="7"/>
  <c r="O102" i="7"/>
  <c r="O113" i="7"/>
  <c r="Q19" i="7"/>
  <c r="Q24" i="7"/>
  <c r="Q29" i="7"/>
  <c r="Q34" i="7"/>
  <c r="Q39" i="7"/>
  <c r="Q65" i="7"/>
  <c r="Q102" i="7"/>
  <c r="Q113" i="7"/>
  <c r="P19" i="7"/>
  <c r="P24" i="7"/>
  <c r="P29" i="7"/>
  <c r="P34" i="7"/>
  <c r="P39" i="7"/>
  <c r="P65" i="7"/>
  <c r="P102" i="7"/>
  <c r="P113" i="7"/>
  <c r="N19" i="7"/>
  <c r="N24" i="7"/>
  <c r="N29" i="7"/>
  <c r="N34" i="7"/>
  <c r="N39" i="7"/>
  <c r="N65" i="7"/>
  <c r="N102" i="7"/>
  <c r="N103" i="7" s="1"/>
  <c r="N113" i="7"/>
  <c r="AQ113" i="7"/>
  <c r="AP113" i="7"/>
  <c r="AQ102" i="7"/>
  <c r="AP102" i="7"/>
  <c r="AQ65" i="7"/>
  <c r="AP65" i="7"/>
  <c r="AQ39" i="7"/>
  <c r="AP39" i="7"/>
  <c r="AQ34" i="7"/>
  <c r="AP34" i="7"/>
  <c r="AQ29" i="7"/>
  <c r="AP29" i="7"/>
  <c r="AQ24" i="7"/>
  <c r="AP24" i="7"/>
  <c r="AQ19" i="7"/>
  <c r="AP19" i="7"/>
  <c r="AO113" i="7"/>
  <c r="AN113" i="7"/>
  <c r="AO102" i="7"/>
  <c r="AN102" i="7"/>
  <c r="AO65" i="7"/>
  <c r="AN65" i="7"/>
  <c r="AO39" i="7"/>
  <c r="AN39" i="7"/>
  <c r="AO34" i="7"/>
  <c r="AN34" i="7"/>
  <c r="AO29" i="7"/>
  <c r="AN29" i="7"/>
  <c r="AO24" i="7"/>
  <c r="AN24" i="7"/>
  <c r="AO19" i="7"/>
  <c r="AN19" i="7"/>
  <c r="AM113" i="7"/>
  <c r="AL113" i="7"/>
  <c r="AM102" i="7"/>
  <c r="AL102" i="7"/>
  <c r="AM65" i="7"/>
  <c r="AL65" i="7"/>
  <c r="AM39" i="7"/>
  <c r="AL39" i="7"/>
  <c r="AM34" i="7"/>
  <c r="AL34" i="7"/>
  <c r="AM29" i="7"/>
  <c r="AL29" i="7"/>
  <c r="AM24" i="7"/>
  <c r="AL24" i="7"/>
  <c r="AM19" i="7"/>
  <c r="AL19" i="7"/>
  <c r="AK113" i="7"/>
  <c r="AJ113" i="7"/>
  <c r="AK102" i="7"/>
  <c r="AJ102" i="7"/>
  <c r="AK65" i="7"/>
  <c r="AJ65" i="7"/>
  <c r="AK39" i="7"/>
  <c r="AJ39" i="7"/>
  <c r="AK34" i="7"/>
  <c r="AJ34" i="7"/>
  <c r="AK29" i="7"/>
  <c r="AJ29" i="7"/>
  <c r="AK24" i="7"/>
  <c r="AJ24" i="7"/>
  <c r="AK19" i="7"/>
  <c r="AJ19" i="7"/>
  <c r="AI113" i="7"/>
  <c r="AH113" i="7"/>
  <c r="AI102" i="7"/>
  <c r="AH102" i="7"/>
  <c r="AI65" i="7"/>
  <c r="AH65" i="7"/>
  <c r="AI39" i="7"/>
  <c r="AH39" i="7"/>
  <c r="AI34" i="7"/>
  <c r="AH34" i="7"/>
  <c r="AI29" i="7"/>
  <c r="AH29" i="7"/>
  <c r="AI24" i="7"/>
  <c r="AH24" i="7"/>
  <c r="AI19" i="7"/>
  <c r="AH19" i="7"/>
  <c r="AG113" i="7"/>
  <c r="AF113" i="7"/>
  <c r="AG102" i="7"/>
  <c r="AF102" i="7"/>
  <c r="AG65" i="7"/>
  <c r="AF65" i="7"/>
  <c r="AG39" i="7"/>
  <c r="AF39" i="7"/>
  <c r="AG34" i="7"/>
  <c r="AF34" i="7"/>
  <c r="AG29" i="7"/>
  <c r="AF29" i="7"/>
  <c r="AG24" i="7"/>
  <c r="AF24" i="7"/>
  <c r="AG19" i="7"/>
  <c r="AF19" i="7"/>
  <c r="AE113" i="7"/>
  <c r="AD113" i="7"/>
  <c r="AE102" i="7"/>
  <c r="AD102" i="7"/>
  <c r="AE65" i="7"/>
  <c r="AD65" i="7"/>
  <c r="AE39" i="7"/>
  <c r="AD39" i="7"/>
  <c r="AE34" i="7"/>
  <c r="AD34" i="7"/>
  <c r="AE29" i="7"/>
  <c r="AD29" i="7"/>
  <c r="AE24" i="7"/>
  <c r="AD24" i="7"/>
  <c r="AE19" i="7"/>
  <c r="AD19" i="7"/>
  <c r="AC113" i="7"/>
  <c r="AB113" i="7"/>
  <c r="AC102" i="7"/>
  <c r="AB102" i="7"/>
  <c r="AC65" i="7"/>
  <c r="AB65" i="7"/>
  <c r="AC39" i="7"/>
  <c r="AB39" i="7"/>
  <c r="AC34" i="7"/>
  <c r="AB34" i="7"/>
  <c r="AC29" i="7"/>
  <c r="AB29" i="7"/>
  <c r="AC24" i="7"/>
  <c r="AB24" i="7"/>
  <c r="AC19" i="7"/>
  <c r="AB19" i="7"/>
  <c r="AA113" i="7"/>
  <c r="Z113" i="7"/>
  <c r="AA102" i="7"/>
  <c r="Z102" i="7"/>
  <c r="AA65" i="7"/>
  <c r="Z65" i="7"/>
  <c r="AA39" i="7"/>
  <c r="Z39" i="7"/>
  <c r="AA34" i="7"/>
  <c r="Z34" i="7"/>
  <c r="AA29" i="7"/>
  <c r="Z29" i="7"/>
  <c r="AA24" i="7"/>
  <c r="Z24" i="7"/>
  <c r="AA19" i="7"/>
  <c r="Z19" i="7"/>
  <c r="Y113" i="7"/>
  <c r="X113" i="7"/>
  <c r="Y102" i="7"/>
  <c r="X102" i="7"/>
  <c r="Y65" i="7"/>
  <c r="X65" i="7"/>
  <c r="Y39" i="7"/>
  <c r="X39" i="7"/>
  <c r="Y34" i="7"/>
  <c r="X34" i="7"/>
  <c r="Y29" i="7"/>
  <c r="X29" i="7"/>
  <c r="Y24" i="7"/>
  <c r="X24" i="7"/>
  <c r="Y19" i="7"/>
  <c r="X19" i="7"/>
  <c r="W113" i="7"/>
  <c r="V113" i="7"/>
  <c r="W102" i="7"/>
  <c r="V102" i="7"/>
  <c r="W65" i="7"/>
  <c r="V65" i="7"/>
  <c r="W39" i="7"/>
  <c r="V39" i="7"/>
  <c r="W34" i="7"/>
  <c r="V34" i="7"/>
  <c r="W29" i="7"/>
  <c r="V29" i="7"/>
  <c r="W24" i="7"/>
  <c r="V24" i="7"/>
  <c r="W19" i="7"/>
  <c r="V19" i="7"/>
  <c r="U113" i="7"/>
  <c r="T113" i="7"/>
  <c r="S113" i="7"/>
  <c r="R113" i="7"/>
  <c r="U65" i="7"/>
  <c r="T65" i="7"/>
  <c r="S65" i="7"/>
  <c r="R65" i="7"/>
  <c r="U102" i="7"/>
  <c r="T102" i="7"/>
  <c r="S102" i="7"/>
  <c r="R102" i="7"/>
  <c r="U19" i="7"/>
  <c r="T19" i="7"/>
  <c r="S19" i="7"/>
  <c r="R19" i="7"/>
  <c r="U24" i="7"/>
  <c r="T24" i="7"/>
  <c r="S24" i="7"/>
  <c r="R24" i="7"/>
  <c r="U29" i="7"/>
  <c r="T29" i="7"/>
  <c r="S29" i="7"/>
  <c r="R29" i="7"/>
  <c r="U34" i="7"/>
  <c r="T34" i="7"/>
  <c r="S34" i="7"/>
  <c r="R34" i="7"/>
  <c r="U39" i="7"/>
  <c r="T39" i="7"/>
  <c r="S39" i="7"/>
  <c r="R39" i="7"/>
  <c r="H281" i="5"/>
  <c r="H276" i="5"/>
  <c r="H6" i="11"/>
  <c r="H24" i="11" s="1"/>
  <c r="B4" i="11"/>
  <c r="B3" i="11"/>
  <c r="B1" i="11"/>
  <c r="H6" i="10"/>
  <c r="J6" i="10" s="1"/>
  <c r="J21" i="10" s="1"/>
  <c r="B4" i="10"/>
  <c r="B3" i="10"/>
  <c r="B1" i="10"/>
  <c r="B4" i="9"/>
  <c r="B3" i="9"/>
  <c r="B1" i="9"/>
  <c r="H6" i="7"/>
  <c r="B4" i="7"/>
  <c r="B3" i="7"/>
  <c r="B1" i="7"/>
  <c r="B4" i="5"/>
  <c r="H6" i="5"/>
  <c r="B3" i="5"/>
  <c r="B1" i="5"/>
  <c r="AI20" i="11" l="1"/>
  <c r="AI32" i="11" s="1"/>
  <c r="AI34" i="11" s="1"/>
  <c r="AI148" i="5" s="1"/>
  <c r="U141" i="5"/>
  <c r="U146" i="5" s="1"/>
  <c r="U147" i="5" s="1"/>
  <c r="S155" i="5"/>
  <c r="S147" i="5"/>
  <c r="O147" i="5"/>
  <c r="O155" i="5"/>
  <c r="N155" i="5"/>
  <c r="N147" i="5"/>
  <c r="P155" i="5"/>
  <c r="P147" i="5"/>
  <c r="Q155" i="5"/>
  <c r="Q147" i="5"/>
  <c r="T141" i="5"/>
  <c r="T146" i="5" s="1"/>
  <c r="T147" i="5" s="1"/>
  <c r="R155" i="5"/>
  <c r="R147" i="5"/>
  <c r="H167" i="5"/>
  <c r="H176" i="5"/>
  <c r="H220" i="5"/>
  <c r="H186" i="5"/>
  <c r="AF20" i="11"/>
  <c r="AF32" i="11" s="1"/>
  <c r="AF34" i="11" s="1"/>
  <c r="AF148" i="5" s="1"/>
  <c r="AQ32" i="11"/>
  <c r="AQ34" i="11" s="1"/>
  <c r="AQ148" i="5" s="1"/>
  <c r="H205" i="5"/>
  <c r="H221" i="5"/>
  <c r="H113" i="5"/>
  <c r="H215" i="5"/>
  <c r="H109" i="5"/>
  <c r="H112" i="5"/>
  <c r="H168" i="5"/>
  <c r="H100" i="5"/>
  <c r="H122" i="5"/>
  <c r="H230" i="5"/>
  <c r="AD17" i="10"/>
  <c r="AD20" i="11"/>
  <c r="AE17" i="10"/>
  <c r="AE22" i="10" s="1"/>
  <c r="AE27" i="10" s="1"/>
  <c r="AE28" i="10" s="1"/>
  <c r="Y32" i="11"/>
  <c r="Y34" i="11" s="1"/>
  <c r="Y148" i="5" s="1"/>
  <c r="AG32" i="11"/>
  <c r="AG34" i="11" s="1"/>
  <c r="AG148" i="5" s="1"/>
  <c r="AO32" i="11"/>
  <c r="AO34" i="11" s="1"/>
  <c r="AO148" i="5" s="1"/>
  <c r="AN32" i="11"/>
  <c r="AN34" i="11" s="1"/>
  <c r="AN148" i="5" s="1"/>
  <c r="U32" i="11"/>
  <c r="U34" i="11" s="1"/>
  <c r="U148" i="5" s="1"/>
  <c r="AK32" i="11"/>
  <c r="AK34" i="11" s="1"/>
  <c r="AK148" i="5" s="1"/>
  <c r="AE20" i="11"/>
  <c r="AE32" i="11" s="1"/>
  <c r="AE34" i="11" s="1"/>
  <c r="AE148" i="5" s="1"/>
  <c r="H225" i="5"/>
  <c r="H229" i="5"/>
  <c r="J6" i="11"/>
  <c r="J24" i="11" s="1"/>
  <c r="H27" i="11"/>
  <c r="H143" i="5"/>
  <c r="H206" i="5"/>
  <c r="H101" i="5"/>
  <c r="H117" i="5"/>
  <c r="H175" i="5"/>
  <c r="H182" i="5"/>
  <c r="AB17" i="10"/>
  <c r="AB20" i="11"/>
  <c r="AB32" i="11" s="1"/>
  <c r="AB34" i="11" s="1"/>
  <c r="AB148" i="5" s="1"/>
  <c r="AC20" i="11"/>
  <c r="AC32" i="11" s="1"/>
  <c r="AC34" i="11" s="1"/>
  <c r="AC148" i="5" s="1"/>
  <c r="AC17" i="10"/>
  <c r="AC22" i="10" s="1"/>
  <c r="AC27" i="10" s="1"/>
  <c r="AC28" i="10" s="1"/>
  <c r="Z17" i="10"/>
  <c r="AA32" i="11"/>
  <c r="AA34" i="11" s="1"/>
  <c r="AA148" i="5" s="1"/>
  <c r="H223" i="5"/>
  <c r="H233" i="5"/>
  <c r="H185" i="5"/>
  <c r="H207" i="5"/>
  <c r="H103" i="5"/>
  <c r="H115" i="5"/>
  <c r="X17" i="10"/>
  <c r="X20" i="11"/>
  <c r="X32" i="11" s="1"/>
  <c r="X34" i="11" s="1"/>
  <c r="X148" i="5" s="1"/>
  <c r="H228" i="5"/>
  <c r="H180" i="5"/>
  <c r="Y17" i="10"/>
  <c r="Y22" i="10" s="1"/>
  <c r="Y27" i="10" s="1"/>
  <c r="Y28" i="10" s="1"/>
  <c r="H69" i="7"/>
  <c r="H80" i="7"/>
  <c r="F276" i="5"/>
  <c r="V32" i="11"/>
  <c r="V34" i="11" s="1"/>
  <c r="V148" i="5" s="1"/>
  <c r="Z32" i="11"/>
  <c r="Z34" i="11" s="1"/>
  <c r="Z148" i="5" s="1"/>
  <c r="AD32" i="11"/>
  <c r="AD34" i="11" s="1"/>
  <c r="AD148" i="5" s="1"/>
  <c r="AH32" i="11"/>
  <c r="AH34" i="11" s="1"/>
  <c r="AH148" i="5" s="1"/>
  <c r="AL32" i="11"/>
  <c r="AL34" i="11" s="1"/>
  <c r="AL148" i="5" s="1"/>
  <c r="AP32" i="11"/>
  <c r="AP34" i="11" s="1"/>
  <c r="AP148" i="5" s="1"/>
  <c r="H100" i="7"/>
  <c r="H98" i="7"/>
  <c r="H99" i="7"/>
  <c r="H46" i="7"/>
  <c r="H56" i="7"/>
  <c r="H52" i="7"/>
  <c r="H76" i="7"/>
  <c r="H95" i="7"/>
  <c r="H184" i="5"/>
  <c r="H209" i="5"/>
  <c r="H104" i="5"/>
  <c r="H170" i="5"/>
  <c r="H219" i="5"/>
  <c r="H120" i="5"/>
  <c r="Q103" i="7"/>
  <c r="X40" i="7"/>
  <c r="AB40" i="7"/>
  <c r="AF40" i="7"/>
  <c r="AJ40" i="7"/>
  <c r="AN40" i="7"/>
  <c r="H92" i="7"/>
  <c r="H68" i="7"/>
  <c r="H178" i="5"/>
  <c r="H218" i="5"/>
  <c r="H208" i="5"/>
  <c r="H111" i="5"/>
  <c r="W32" i="11"/>
  <c r="W34" i="11" s="1"/>
  <c r="W148" i="5" s="1"/>
  <c r="W17" i="10"/>
  <c r="W22" i="10" s="1"/>
  <c r="W27" i="10" s="1"/>
  <c r="W28" i="10" s="1"/>
  <c r="E20" i="16"/>
  <c r="W141" i="5"/>
  <c r="W146" i="5" s="1"/>
  <c r="W147" i="5" s="1"/>
  <c r="U154" i="5"/>
  <c r="U155" i="5" s="1"/>
  <c r="H169" i="5"/>
  <c r="H183" i="5"/>
  <c r="H214" i="5"/>
  <c r="H102" i="5"/>
  <c r="H45" i="7"/>
  <c r="H55" i="7"/>
  <c r="J6" i="7"/>
  <c r="H74" i="7"/>
  <c r="T32" i="11"/>
  <c r="T34" i="11" s="1"/>
  <c r="T148" i="5" s="1"/>
  <c r="T17" i="10"/>
  <c r="H264" i="5"/>
  <c r="H121" i="5"/>
  <c r="U17" i="10"/>
  <c r="U22" i="10" s="1"/>
  <c r="U27" i="10" s="1"/>
  <c r="U28" i="10" s="1"/>
  <c r="H108" i="7"/>
  <c r="H25" i="11"/>
  <c r="J25" i="11"/>
  <c r="H234" i="5"/>
  <c r="H254" i="5"/>
  <c r="V40" i="7"/>
  <c r="T40" i="7"/>
  <c r="S40" i="7"/>
  <c r="W40" i="7"/>
  <c r="AA40" i="7"/>
  <c r="AE40" i="7"/>
  <c r="AI40" i="7"/>
  <c r="AM40" i="7"/>
  <c r="AQ40" i="7"/>
  <c r="O40" i="7"/>
  <c r="AL40" i="7"/>
  <c r="P40" i="7"/>
  <c r="N40" i="7"/>
  <c r="N104" i="7" s="1"/>
  <c r="N114" i="7" s="1"/>
  <c r="R40" i="7"/>
  <c r="Z40" i="7"/>
  <c r="AD40" i="7"/>
  <c r="AH40" i="7"/>
  <c r="AP40" i="7"/>
  <c r="Y40" i="7"/>
  <c r="AC40" i="7"/>
  <c r="AG40" i="7"/>
  <c r="AK40" i="7"/>
  <c r="AO40" i="7"/>
  <c r="Q40" i="7"/>
  <c r="U40" i="7"/>
  <c r="T22" i="10"/>
  <c r="T27" i="10" s="1"/>
  <c r="T28" i="10" s="1"/>
  <c r="X22" i="10"/>
  <c r="X27" i="10" s="1"/>
  <c r="X28" i="10" s="1"/>
  <c r="AB22" i="10"/>
  <c r="AB27" i="10" s="1"/>
  <c r="AB28" i="10" s="1"/>
  <c r="AF22" i="10"/>
  <c r="AF27" i="10" s="1"/>
  <c r="AF28" i="10" s="1"/>
  <c r="AJ22" i="10"/>
  <c r="AJ27" i="10" s="1"/>
  <c r="AJ28" i="10" s="1"/>
  <c r="AN22" i="10"/>
  <c r="AN27" i="10" s="1"/>
  <c r="AN28" i="10" s="1"/>
  <c r="AG22" i="10"/>
  <c r="AG27" i="10" s="1"/>
  <c r="AG28" i="10" s="1"/>
  <c r="AK22" i="10"/>
  <c r="AK27" i="10" s="1"/>
  <c r="AK28" i="10" s="1"/>
  <c r="AO22" i="10"/>
  <c r="AO27" i="10" s="1"/>
  <c r="AO28" i="10" s="1"/>
  <c r="J274" i="5"/>
  <c r="J281" i="5"/>
  <c r="V22" i="10"/>
  <c r="V27" i="10" s="1"/>
  <c r="V28" i="10" s="1"/>
  <c r="Z22" i="10"/>
  <c r="Z27" i="10" s="1"/>
  <c r="Z28" i="10" s="1"/>
  <c r="AD22" i="10"/>
  <c r="AD27" i="10" s="1"/>
  <c r="AD28" i="10" s="1"/>
  <c r="AH22" i="10"/>
  <c r="AH27" i="10" s="1"/>
  <c r="AH28" i="10" s="1"/>
  <c r="AL22" i="10"/>
  <c r="AL27" i="10" s="1"/>
  <c r="AL28" i="10" s="1"/>
  <c r="AP22" i="10"/>
  <c r="AP27" i="10" s="1"/>
  <c r="AP28" i="10" s="1"/>
  <c r="AA22" i="10"/>
  <c r="AA27" i="10" s="1"/>
  <c r="AA28" i="10" s="1"/>
  <c r="AI22" i="10"/>
  <c r="AI27" i="10" s="1"/>
  <c r="AI28" i="10" s="1"/>
  <c r="AM22" i="10"/>
  <c r="AM27" i="10" s="1"/>
  <c r="AM28" i="10" s="1"/>
  <c r="AQ22" i="10"/>
  <c r="AQ27" i="10" s="1"/>
  <c r="AQ28" i="10" s="1"/>
  <c r="S17" i="10"/>
  <c r="S22" i="10" s="1"/>
  <c r="S27" i="10" s="1"/>
  <c r="S28" i="10" s="1"/>
  <c r="H78" i="7"/>
  <c r="H84" i="7"/>
  <c r="H79" i="7"/>
  <c r="H12" i="7"/>
  <c r="H59" i="7"/>
  <c r="H11" i="7"/>
  <c r="H13" i="7"/>
  <c r="H226" i="5"/>
  <c r="H227" i="5"/>
  <c r="H189" i="5"/>
  <c r="H119" i="5"/>
  <c r="H125" i="5"/>
  <c r="H118" i="5"/>
  <c r="R17" i="10"/>
  <c r="R22" i="10" s="1"/>
  <c r="R27" i="10" s="1"/>
  <c r="R28" i="10" s="1"/>
  <c r="AM103" i="7"/>
  <c r="H9" i="10"/>
  <c r="H10" i="11"/>
  <c r="H12" i="11"/>
  <c r="H17" i="11"/>
  <c r="H23" i="11"/>
  <c r="H28" i="11"/>
  <c r="H33" i="11"/>
  <c r="B33" i="11" s="1"/>
  <c r="H105" i="5"/>
  <c r="H107" i="5"/>
  <c r="H110" i="5"/>
  <c r="H116" i="5"/>
  <c r="H124" i="5"/>
  <c r="H133" i="5"/>
  <c r="H145" i="5"/>
  <c r="H166" i="5"/>
  <c r="H172" i="5"/>
  <c r="H174" i="5"/>
  <c r="H179" i="5"/>
  <c r="H187" i="5"/>
  <c r="H194" i="5"/>
  <c r="H196" i="5"/>
  <c r="H210" i="5"/>
  <c r="H212" i="5"/>
  <c r="H216" i="5"/>
  <c r="H222" i="5"/>
  <c r="H231" i="5"/>
  <c r="H243" i="5"/>
  <c r="H250" i="5"/>
  <c r="H255" i="5"/>
  <c r="H259" i="5"/>
  <c r="H261" i="5"/>
  <c r="H263" i="5"/>
  <c r="H94" i="7"/>
  <c r="H15" i="10"/>
  <c r="J9" i="10"/>
  <c r="J10" i="11"/>
  <c r="J12" i="11"/>
  <c r="J17" i="11"/>
  <c r="J23" i="11"/>
  <c r="J28" i="11"/>
  <c r="J33" i="11"/>
  <c r="J15" i="10"/>
  <c r="P103" i="7"/>
  <c r="H13" i="10"/>
  <c r="H11" i="11"/>
  <c r="H16" i="11"/>
  <c r="H18" i="11"/>
  <c r="H26" i="11"/>
  <c r="H29" i="11"/>
  <c r="H99" i="5"/>
  <c r="H106" i="5"/>
  <c r="H108" i="5"/>
  <c r="H114" i="5"/>
  <c r="H123" i="5"/>
  <c r="H132" i="5"/>
  <c r="H134" i="5"/>
  <c r="H142" i="5"/>
  <c r="H171" i="5"/>
  <c r="H173" i="5"/>
  <c r="H177" i="5"/>
  <c r="H181" i="5"/>
  <c r="H188" i="5"/>
  <c r="H195" i="5"/>
  <c r="H204" i="5"/>
  <c r="H211" i="5"/>
  <c r="H213" i="5"/>
  <c r="H217" i="5"/>
  <c r="H224" i="5"/>
  <c r="H232" i="5"/>
  <c r="H244" i="5"/>
  <c r="H253" i="5"/>
  <c r="H258" i="5"/>
  <c r="H260" i="5"/>
  <c r="H262" i="5"/>
  <c r="H14" i="10"/>
  <c r="N22" i="10"/>
  <c r="N27" i="10" s="1"/>
  <c r="N28" i="10" s="1"/>
  <c r="J13" i="10"/>
  <c r="J11" i="11"/>
  <c r="J16" i="11"/>
  <c r="J18" i="11"/>
  <c r="J26" i="11"/>
  <c r="J14" i="10"/>
  <c r="U103" i="7"/>
  <c r="AI103" i="7"/>
  <c r="AI104" i="7" s="1"/>
  <c r="AI114" i="7" s="1"/>
  <c r="AQ103" i="7"/>
  <c r="S103" i="7"/>
  <c r="W103" i="7"/>
  <c r="Y103" i="7"/>
  <c r="AA103" i="7"/>
  <c r="AC103" i="7"/>
  <c r="AE103" i="7"/>
  <c r="AE104" i="7" s="1"/>
  <c r="AE114" i="7" s="1"/>
  <c r="AG103" i="7"/>
  <c r="AK103" i="7"/>
  <c r="AO103" i="7"/>
  <c r="R103" i="7"/>
  <c r="T103" i="7"/>
  <c r="V103" i="7"/>
  <c r="X103" i="7"/>
  <c r="X104" i="7" s="1"/>
  <c r="X114" i="7" s="1"/>
  <c r="Z103" i="7"/>
  <c r="AB103" i="7"/>
  <c r="AB104" i="7" s="1"/>
  <c r="AB114" i="7" s="1"/>
  <c r="AD103" i="7"/>
  <c r="AF103" i="7"/>
  <c r="AH103" i="7"/>
  <c r="AJ103" i="7"/>
  <c r="AJ104" i="7" s="1"/>
  <c r="AJ114" i="7" s="1"/>
  <c r="AL103" i="7"/>
  <c r="AN103" i="7"/>
  <c r="AP103" i="7"/>
  <c r="AP104" i="7" s="1"/>
  <c r="AP114" i="7" s="1"/>
  <c r="O103" i="7"/>
  <c r="O104" i="7" s="1"/>
  <c r="O114" i="7" s="1"/>
  <c r="Q104" i="7"/>
  <c r="Q114" i="7" s="1"/>
  <c r="H16" i="7"/>
  <c r="H17" i="7"/>
  <c r="H18" i="7"/>
  <c r="H21" i="7"/>
  <c r="H22" i="7"/>
  <c r="H23" i="7"/>
  <c r="H26" i="7"/>
  <c r="H27" i="7"/>
  <c r="H28" i="7"/>
  <c r="H31" i="7"/>
  <c r="H32" i="7"/>
  <c r="H33" i="7"/>
  <c r="H36" i="7"/>
  <c r="H37" i="7"/>
  <c r="H38" i="7"/>
  <c r="H44" i="7"/>
  <c r="H47" i="7"/>
  <c r="H48" i="7"/>
  <c r="H49" i="7"/>
  <c r="H50" i="7"/>
  <c r="H51" i="7"/>
  <c r="H53" i="7"/>
  <c r="H54" i="7"/>
  <c r="H57" i="7"/>
  <c r="H58" i="7"/>
  <c r="H62" i="7"/>
  <c r="H63" i="7"/>
  <c r="H64" i="7"/>
  <c r="H67" i="7"/>
  <c r="H70" i="7"/>
  <c r="H71" i="7"/>
  <c r="H72" i="7"/>
  <c r="H73" i="7"/>
  <c r="H75" i="7"/>
  <c r="H77" i="7"/>
  <c r="H81" i="7"/>
  <c r="H82" i="7"/>
  <c r="H83" i="7"/>
  <c r="H87" i="7"/>
  <c r="H88" i="7"/>
  <c r="H89" i="7"/>
  <c r="H90" i="7"/>
  <c r="H91" i="7"/>
  <c r="H93" i="7"/>
  <c r="H96" i="7"/>
  <c r="H97" i="7"/>
  <c r="H101" i="7"/>
  <c r="H107" i="7"/>
  <c r="H110" i="7"/>
  <c r="H111" i="7"/>
  <c r="H112" i="7"/>
  <c r="J6" i="5"/>
  <c r="J176" i="5" s="1"/>
  <c r="Q17" i="10"/>
  <c r="Q22" i="10" s="1"/>
  <c r="Q27" i="10" s="1"/>
  <c r="Q28" i="10" s="1"/>
  <c r="O17" i="10"/>
  <c r="O22" i="10" s="1"/>
  <c r="O27" i="10" s="1"/>
  <c r="O28" i="10" s="1"/>
  <c r="P17" i="10"/>
  <c r="P22" i="10" s="1"/>
  <c r="P27" i="10" s="1"/>
  <c r="P28" i="10" s="1"/>
  <c r="H21" i="10"/>
  <c r="P20" i="11"/>
  <c r="N20" i="11"/>
  <c r="T154" i="5" l="1"/>
  <c r="T155" i="5" s="1"/>
  <c r="V141" i="5"/>
  <c r="V146" i="5" s="1"/>
  <c r="V147" i="5" s="1"/>
  <c r="J186" i="5"/>
  <c r="J167" i="5"/>
  <c r="J221" i="5"/>
  <c r="J220" i="5"/>
  <c r="J215" i="5"/>
  <c r="J205" i="5"/>
  <c r="J112" i="5"/>
  <c r="J113" i="5"/>
  <c r="J100" i="5"/>
  <c r="J109" i="5"/>
  <c r="J230" i="5"/>
  <c r="J168" i="5"/>
  <c r="J229" i="5"/>
  <c r="J122" i="5"/>
  <c r="J29" i="11"/>
  <c r="J27" i="11"/>
  <c r="J206" i="5"/>
  <c r="J225" i="5"/>
  <c r="J117" i="5"/>
  <c r="J143" i="5"/>
  <c r="J182" i="5"/>
  <c r="J101" i="5"/>
  <c r="J233" i="5"/>
  <c r="J175" i="5"/>
  <c r="J207" i="5"/>
  <c r="J223" i="5"/>
  <c r="J115" i="5"/>
  <c r="J185" i="5"/>
  <c r="J180" i="5"/>
  <c r="J103" i="5"/>
  <c r="J69" i="7"/>
  <c r="J80" i="7"/>
  <c r="J209" i="5"/>
  <c r="J228" i="5"/>
  <c r="D22" i="16"/>
  <c r="J100" i="7"/>
  <c r="J98" i="7"/>
  <c r="J99" i="7"/>
  <c r="J46" i="7"/>
  <c r="J56" i="7"/>
  <c r="J57" i="7"/>
  <c r="J76" i="7"/>
  <c r="J95" i="7"/>
  <c r="J170" i="5"/>
  <c r="J184" i="5"/>
  <c r="J120" i="5"/>
  <c r="J104" i="5"/>
  <c r="S104" i="7"/>
  <c r="S114" i="7" s="1"/>
  <c r="AL104" i="7"/>
  <c r="AL114" i="7" s="1"/>
  <c r="J88" i="7"/>
  <c r="J79" i="7"/>
  <c r="J52" i="7"/>
  <c r="J12" i="7"/>
  <c r="J27" i="7"/>
  <c r="J81" i="7"/>
  <c r="J50" i="7"/>
  <c r="J21" i="7"/>
  <c r="J13" i="7"/>
  <c r="J101" i="7"/>
  <c r="J72" i="7"/>
  <c r="J44" i="7"/>
  <c r="J93" i="7"/>
  <c r="J64" i="7"/>
  <c r="J33" i="7"/>
  <c r="J92" i="7"/>
  <c r="J68" i="7"/>
  <c r="J111" i="7"/>
  <c r="J91" i="7"/>
  <c r="J87" i="7"/>
  <c r="J77" i="7"/>
  <c r="J71" i="7"/>
  <c r="J63" i="7"/>
  <c r="J54" i="7"/>
  <c r="J49" i="7"/>
  <c r="J38" i="7"/>
  <c r="J32" i="7"/>
  <c r="J26" i="7"/>
  <c r="J18" i="7"/>
  <c r="J94" i="7"/>
  <c r="J11" i="7"/>
  <c r="J59" i="7"/>
  <c r="J218" i="5"/>
  <c r="J219" i="5"/>
  <c r="J110" i="7"/>
  <c r="J97" i="7"/>
  <c r="J90" i="7"/>
  <c r="J83" i="7"/>
  <c r="J75" i="7"/>
  <c r="J70" i="7"/>
  <c r="J62" i="7"/>
  <c r="J53" i="7"/>
  <c r="J48" i="7"/>
  <c r="J37" i="7"/>
  <c r="J31" i="7"/>
  <c r="J23" i="7"/>
  <c r="J17" i="7"/>
  <c r="J78" i="7"/>
  <c r="J108" i="7"/>
  <c r="J107" i="7"/>
  <c r="J96" i="7"/>
  <c r="J89" i="7"/>
  <c r="J82" i="7"/>
  <c r="J73" i="7"/>
  <c r="J67" i="7"/>
  <c r="J58" i="7"/>
  <c r="J51" i="7"/>
  <c r="J47" i="7"/>
  <c r="J36" i="7"/>
  <c r="J28" i="7"/>
  <c r="J22" i="7"/>
  <c r="J16" i="7"/>
  <c r="J84" i="7"/>
  <c r="J111" i="5"/>
  <c r="J178" i="5"/>
  <c r="AK104" i="7"/>
  <c r="AK114" i="7" s="1"/>
  <c r="J183" i="5"/>
  <c r="J208" i="5"/>
  <c r="Y141" i="5"/>
  <c r="Y146" i="5" s="1"/>
  <c r="Y147" i="5" s="1"/>
  <c r="W154" i="5"/>
  <c r="W155" i="5" s="1"/>
  <c r="J102" i="5"/>
  <c r="J169" i="5"/>
  <c r="X141" i="5"/>
  <c r="X146" i="5" s="1"/>
  <c r="X147" i="5" s="1"/>
  <c r="V154" i="5"/>
  <c r="V155" i="5" s="1"/>
  <c r="J121" i="5"/>
  <c r="J214" i="5"/>
  <c r="J45" i="7"/>
  <c r="J55" i="7"/>
  <c r="AD104" i="7"/>
  <c r="AD114" i="7" s="1"/>
  <c r="W104" i="7"/>
  <c r="W114" i="7" s="1"/>
  <c r="AO104" i="7"/>
  <c r="AO114" i="7" s="1"/>
  <c r="J112" i="7"/>
  <c r="J74" i="7"/>
  <c r="J234" i="5"/>
  <c r="J254" i="5"/>
  <c r="Y104" i="7"/>
  <c r="Y114" i="7" s="1"/>
  <c r="Z104" i="7"/>
  <c r="Z114" i="7" s="1"/>
  <c r="AH104" i="7"/>
  <c r="AH114" i="7" s="1"/>
  <c r="AA104" i="7"/>
  <c r="AA114" i="7" s="1"/>
  <c r="AG104" i="7"/>
  <c r="AG114" i="7" s="1"/>
  <c r="AC104" i="7"/>
  <c r="AC114" i="7" s="1"/>
  <c r="P104" i="7"/>
  <c r="P114" i="7" s="1"/>
  <c r="R104" i="7"/>
  <c r="R114" i="7" s="1"/>
  <c r="J275" i="5"/>
  <c r="J276" i="5" s="1"/>
  <c r="H235" i="5"/>
  <c r="H85" i="7"/>
  <c r="AN104" i="7"/>
  <c r="AN114" i="7" s="1"/>
  <c r="AF104" i="7"/>
  <c r="AF114" i="7" s="1"/>
  <c r="AM104" i="7"/>
  <c r="AM114" i="7" s="1"/>
  <c r="H60" i="7"/>
  <c r="H14" i="7"/>
  <c r="T104" i="7"/>
  <c r="T114" i="7" s="1"/>
  <c r="H19" i="7"/>
  <c r="J227" i="5"/>
  <c r="J226" i="5"/>
  <c r="J125" i="5"/>
  <c r="J189" i="5"/>
  <c r="H190" i="5"/>
  <c r="H126" i="5"/>
  <c r="J118" i="5"/>
  <c r="J119" i="5"/>
  <c r="J264" i="5"/>
  <c r="J262" i="5"/>
  <c r="J260" i="5"/>
  <c r="J258" i="5"/>
  <c r="J253" i="5"/>
  <c r="J244" i="5"/>
  <c r="J232" i="5"/>
  <c r="J224" i="5"/>
  <c r="J217" i="5"/>
  <c r="J213" i="5"/>
  <c r="J211" i="5"/>
  <c r="J204" i="5"/>
  <c r="J195" i="5"/>
  <c r="J188" i="5"/>
  <c r="J181" i="5"/>
  <c r="J177" i="5"/>
  <c r="J173" i="5"/>
  <c r="J171" i="5"/>
  <c r="J142" i="5"/>
  <c r="J134" i="5"/>
  <c r="J132" i="5"/>
  <c r="J123" i="5"/>
  <c r="J114" i="5"/>
  <c r="J108" i="5"/>
  <c r="J106" i="5"/>
  <c r="J99" i="5"/>
  <c r="J263" i="5"/>
  <c r="J261" i="5"/>
  <c r="J259" i="5"/>
  <c r="J255" i="5"/>
  <c r="J250" i="5"/>
  <c r="J243" i="5"/>
  <c r="J231" i="5"/>
  <c r="J222" i="5"/>
  <c r="J216" i="5"/>
  <c r="J212" i="5"/>
  <c r="J210" i="5"/>
  <c r="J196" i="5"/>
  <c r="J194" i="5"/>
  <c r="J187" i="5"/>
  <c r="J179" i="5"/>
  <c r="J174" i="5"/>
  <c r="J172" i="5"/>
  <c r="J166" i="5"/>
  <c r="J145" i="5"/>
  <c r="J133" i="5"/>
  <c r="J124" i="5"/>
  <c r="J116" i="5"/>
  <c r="J110" i="5"/>
  <c r="J107" i="5"/>
  <c r="J105" i="5"/>
  <c r="AQ104" i="7"/>
  <c r="AQ114" i="7" s="1"/>
  <c r="H29" i="7"/>
  <c r="V104" i="7"/>
  <c r="V114" i="7" s="1"/>
  <c r="U104" i="7"/>
  <c r="U114" i="7" s="1"/>
  <c r="H265" i="5"/>
  <c r="H245" i="5"/>
  <c r="H24" i="7"/>
  <c r="J16" i="10"/>
  <c r="H113" i="7"/>
  <c r="H102" i="7"/>
  <c r="H39" i="7"/>
  <c r="H34" i="7"/>
  <c r="H65" i="7"/>
  <c r="H30" i="11"/>
  <c r="H197" i="5"/>
  <c r="H10" i="10"/>
  <c r="H135" i="5"/>
  <c r="H16" i="10" s="1"/>
  <c r="J30" i="11" l="1"/>
  <c r="D25" i="16"/>
  <c r="E25" i="16" s="1"/>
  <c r="E22" i="16"/>
  <c r="J65" i="7"/>
  <c r="J34" i="7"/>
  <c r="J113" i="7"/>
  <c r="J19" i="7"/>
  <c r="J14" i="7"/>
  <c r="J24" i="7"/>
  <c r="J102" i="7"/>
  <c r="J39" i="7"/>
  <c r="J29" i="7"/>
  <c r="J60" i="7"/>
  <c r="J85" i="7"/>
  <c r="AA141" i="5"/>
  <c r="AA146" i="5" s="1"/>
  <c r="AA147" i="5" s="1"/>
  <c r="Y154" i="5"/>
  <c r="Y155" i="5" s="1"/>
  <c r="X154" i="5"/>
  <c r="X155" i="5" s="1"/>
  <c r="Z141" i="5"/>
  <c r="J235" i="5"/>
  <c r="H40" i="7"/>
  <c r="J190" i="5"/>
  <c r="J126" i="5"/>
  <c r="J245" i="5"/>
  <c r="J197" i="5"/>
  <c r="J135" i="5"/>
  <c r="J10" i="10"/>
  <c r="J17" i="10" s="1"/>
  <c r="J22" i="10" s="1"/>
  <c r="J27" i="10" s="1"/>
  <c r="J28" i="10" s="1"/>
  <c r="H19" i="11"/>
  <c r="H103" i="7"/>
  <c r="J19" i="11"/>
  <c r="J13" i="11"/>
  <c r="H13" i="11"/>
  <c r="H17" i="10"/>
  <c r="H22" i="10" s="1"/>
  <c r="H27" i="10" s="1"/>
  <c r="H28" i="10" s="1"/>
  <c r="Z146" i="5" l="1"/>
  <c r="Z147" i="5" s="1"/>
  <c r="J40" i="7"/>
  <c r="J103" i="7"/>
  <c r="AA154" i="5"/>
  <c r="AA155" i="5" s="1"/>
  <c r="AC141" i="5"/>
  <c r="AC146" i="5" s="1"/>
  <c r="AC147" i="5" s="1"/>
  <c r="H20" i="11"/>
  <c r="H32" i="11" s="1"/>
  <c r="H34" i="11" s="1"/>
  <c r="J20" i="11"/>
  <c r="J32" i="11" s="1"/>
  <c r="J34" i="11" s="1"/>
  <c r="H104" i="7"/>
  <c r="H114" i="7" s="1"/>
  <c r="J265" i="5"/>
  <c r="AB141" i="5" l="1"/>
  <c r="AB146" i="5" s="1"/>
  <c r="AB147" i="5" s="1"/>
  <c r="Z154" i="5"/>
  <c r="Z155" i="5" s="1"/>
  <c r="J104" i="7"/>
  <c r="J114" i="7" s="1"/>
  <c r="AE141" i="5"/>
  <c r="AC154" i="5"/>
  <c r="AC155" i="5" s="1"/>
  <c r="AB154" i="5"/>
  <c r="AB155" i="5" s="1"/>
  <c r="AD141" i="5"/>
  <c r="AD146" i="5" s="1"/>
  <c r="AD147" i="5" s="1"/>
  <c r="AE146" i="5" l="1"/>
  <c r="AE147" i="5" s="1"/>
  <c r="J141" i="5"/>
  <c r="J146" i="5" s="1"/>
  <c r="AE154" i="5"/>
  <c r="AG141" i="5"/>
  <c r="AD154" i="5"/>
  <c r="AD155" i="5" s="1"/>
  <c r="AF141" i="5"/>
  <c r="AF146" i="5" s="1"/>
  <c r="AF147" i="5" s="1"/>
  <c r="AG146" i="5" l="1"/>
  <c r="AG147" i="5" s="1"/>
  <c r="H141" i="5"/>
  <c r="H146" i="5" s="1"/>
  <c r="AE155" i="5"/>
  <c r="J154" i="5"/>
  <c r="AH141" i="5"/>
  <c r="AH146" i="5" s="1"/>
  <c r="AH147" i="5" s="1"/>
  <c r="AF154" i="5"/>
  <c r="AF155" i="5" s="1"/>
  <c r="AG154" i="5" l="1"/>
  <c r="AI141" i="5"/>
  <c r="AI146" i="5" s="1"/>
  <c r="AI147" i="5" s="1"/>
  <c r="AK141" i="5"/>
  <c r="AK146" i="5" s="1"/>
  <c r="AK147" i="5" s="1"/>
  <c r="AI154" i="5"/>
  <c r="AI155" i="5" s="1"/>
  <c r="AH154" i="5"/>
  <c r="AH155" i="5" s="1"/>
  <c r="AJ141" i="5"/>
  <c r="AJ146" i="5" s="1"/>
  <c r="AJ147" i="5" s="1"/>
  <c r="AG155" i="5" l="1"/>
  <c r="H154" i="5"/>
  <c r="AM141" i="5"/>
  <c r="AM146" i="5" s="1"/>
  <c r="AM147" i="5" s="1"/>
  <c r="AK154" i="5"/>
  <c r="AK155" i="5" s="1"/>
  <c r="AJ154" i="5"/>
  <c r="AJ155" i="5" s="1"/>
  <c r="AL141" i="5"/>
  <c r="AL146" i="5" s="1"/>
  <c r="AL147" i="5" s="1"/>
  <c r="AO141" i="5" l="1"/>
  <c r="AO146" i="5" s="1"/>
  <c r="AO147" i="5" s="1"/>
  <c r="AM154" i="5"/>
  <c r="AM155" i="5" s="1"/>
  <c r="AL154" i="5"/>
  <c r="AL155" i="5" s="1"/>
  <c r="AN141" i="5"/>
  <c r="AN146" i="5" s="1"/>
  <c r="AN147" i="5" s="1"/>
  <c r="AQ141" i="5" l="1"/>
  <c r="AQ146" i="5" s="1"/>
  <c r="AO154" i="5"/>
  <c r="AO155" i="5" s="1"/>
  <c r="AP141" i="5"/>
  <c r="AP146" i="5" s="1"/>
  <c r="AN154" i="5"/>
  <c r="AN155" i="5" s="1"/>
  <c r="AP154" i="5" l="1"/>
  <c r="AP155" i="5" s="1"/>
  <c r="AP147" i="5"/>
  <c r="AQ154" i="5"/>
  <c r="AQ155" i="5" s="1"/>
  <c r="AQ147" i="5"/>
</calcChain>
</file>

<file path=xl/sharedStrings.xml><?xml version="1.0" encoding="utf-8"?>
<sst xmlns="http://schemas.openxmlformats.org/spreadsheetml/2006/main" count="643" uniqueCount="328">
  <si>
    <t>Audit Fees</t>
  </si>
  <si>
    <t>Member contributions</t>
  </si>
  <si>
    <t>Capital losses</t>
  </si>
  <si>
    <t>Deferred tax</t>
  </si>
  <si>
    <t>Employer contributions</t>
  </si>
  <si>
    <t>Trustee Expenses</t>
  </si>
  <si>
    <t>Superannuation supervisory levy</t>
  </si>
  <si>
    <t>Infensus Superannuation Fund</t>
  </si>
  <si>
    <t>ABN 46-261-926-605</t>
  </si>
  <si>
    <t>Financial Statements</t>
  </si>
  <si>
    <t>Statement of Financial Position</t>
  </si>
  <si>
    <t>Operating Statement</t>
  </si>
  <si>
    <t>Notes to the Financial Statements</t>
  </si>
  <si>
    <t>Trustees' Declaration</t>
  </si>
  <si>
    <t>Compilation Report</t>
  </si>
  <si>
    <t>Investments</t>
  </si>
  <si>
    <t>Shares in listed companies</t>
  </si>
  <si>
    <t>Total investments</t>
  </si>
  <si>
    <t>Other assets</t>
  </si>
  <si>
    <t>Cash and cash equivalents</t>
  </si>
  <si>
    <t>Deferred tax assets</t>
  </si>
  <si>
    <t>Total other assets</t>
  </si>
  <si>
    <t>Total assets</t>
  </si>
  <si>
    <t>Liabilities</t>
  </si>
  <si>
    <t>Current tax liabilities</t>
  </si>
  <si>
    <t>Total liabilities</t>
  </si>
  <si>
    <t>Net assets available to pay benefits</t>
  </si>
  <si>
    <t>Represented by:</t>
  </si>
  <si>
    <t>Liability for accrued benefits</t>
  </si>
  <si>
    <t>Allocated to Members' Accounts</t>
  </si>
  <si>
    <t>Investment revenue</t>
  </si>
  <si>
    <t>Dividends</t>
  </si>
  <si>
    <t>Interest</t>
  </si>
  <si>
    <t>Movement in net market values of investments</t>
  </si>
  <si>
    <t>Net investment revenue</t>
  </si>
  <si>
    <t>Contributions revenue</t>
  </si>
  <si>
    <t>Total contributions revenue</t>
  </si>
  <si>
    <t>Total revenue</t>
  </si>
  <si>
    <t>General administration expenses</t>
  </si>
  <si>
    <t>Insurance term cover</t>
  </si>
  <si>
    <t>Total general administration expenses</t>
  </si>
  <si>
    <t>Benefits accrued as a result of operations before income tax</t>
  </si>
  <si>
    <t>Decrease in benefits accrued as a result of operations</t>
  </si>
  <si>
    <t>The trustees have prepared the financial statements on the basis that the superannuation fund is a non-reporting entity because there are no users dependent on general purpose financial statements.  The financial statements are therefore special purpose financial statements that have been prepared in order to meet the requirements of the Trust Deed and the needs of members.</t>
  </si>
  <si>
    <t>The financial statements have also been prepared on an accruals basis and are based on historical costs, except for investments and financial liabilities, which have been measured at net market values.</t>
  </si>
  <si>
    <t>The following significant accounting policies, which are consistent with the policies applied in the previous period unless otherwise stated, have been adopted in the preparation of the financial statements.</t>
  </si>
  <si>
    <t>The financial statements were authorised for issue by the director(s) of the trustee company.</t>
  </si>
  <si>
    <t>a.</t>
  </si>
  <si>
    <t>Measurement of Investments</t>
  </si>
  <si>
    <t>The fund initially recognises:</t>
  </si>
  <si>
    <t>i.</t>
  </si>
  <si>
    <t>an investment when it controls the future economic benefits expected to flow from the asset.  For financial assets, the trade date is considered the date on which control of the future economic benefits attributable to the asset passes to the fund; and</t>
  </si>
  <si>
    <t>ii.</t>
  </si>
  <si>
    <t>a financial liability on the date it becomes a party to the contractual provisions of the instrument.</t>
  </si>
  <si>
    <t>Investments of the fund have been measured at their net market values, which is the amount that could be expected to be received from disposal of the investment in an orderly market after deducting costs expected to be incurred in realising the proceeds from disposal.</t>
  </si>
  <si>
    <t>Net market values have been determined as follows:</t>
  </si>
  <si>
    <t>shares and other securities listed on the Australian Securities Exchange by reference to the relevant market quotations at the end of the reporting period;</t>
  </si>
  <si>
    <t>units in managed funds by reference to the unit redemption price at the end of the reporting period;</t>
  </si>
  <si>
    <t>iii.</t>
  </si>
  <si>
    <t>fixed interest securities by reference to the redemption price at the end of the reporting period; and</t>
  </si>
  <si>
    <t>iv.</t>
  </si>
  <si>
    <t>investment properties at trustees' assessment of their realisable value.</t>
  </si>
  <si>
    <t>Remeasurement changes in the net market values of investments are recognised in the operating statement in the periods in which they occur.</t>
  </si>
  <si>
    <t>Current assets, such as interest and distributions receivable, which are expected to be recovered within twelve months after the reporting period, are carried at the fair value of amounts due to be received.</t>
  </si>
  <si>
    <t>Financial liabilities, such as trade creditors and other payables, are measured at the gross value of the outstanding balance at the reporting date. The trustees have determined that the gross values of the fund’s financial liabilities are equivalent to their net market values. Any remeasurement changes in the gross values of non-current financial liabilities (including liabilities for members’ accrued benefits) are recognised in the operating statement in the periods in which they occur.</t>
  </si>
  <si>
    <t>b.</t>
  </si>
  <si>
    <t>Cash and Cash Equivalents</t>
  </si>
  <si>
    <t>Cash and cash equivalents include cash on hand and at call, deposits with banks and short-term, highly liquid investments that are readily convertible to cash and are subject to an insignificant risk of change in value.</t>
  </si>
  <si>
    <t>c.</t>
  </si>
  <si>
    <t>Revenue</t>
  </si>
  <si>
    <t>Revenue is recognised at the fair value of the consideration received or receivable.</t>
  </si>
  <si>
    <t>Interest revenue</t>
  </si>
  <si>
    <t>Interest revenue is recognised as it accrues using the effective interest rate method, which for floating rate financial assets is the rate inherent in the instrument.</t>
  </si>
  <si>
    <t>Dividend revenue</t>
  </si>
  <si>
    <t>Distribution revenue</t>
  </si>
  <si>
    <t>Distributions from trusts are recognised as at the date the unit value is quoted ex-distributions and if not received at the end of the reporting period, are reflected in the statement of financial position as a receivable at net market value.</t>
  </si>
  <si>
    <t>Remeasurement changes in net market values</t>
  </si>
  <si>
    <t>Remeasurement changes in the net market values of assets are recognised as income and are determined as the difference between the net market value at year-end or consideration received (if sold during the year) and the net market value as at the prior year-end or cost (if the investment was acquired during the period).</t>
  </si>
  <si>
    <t>d.</t>
  </si>
  <si>
    <t>Liability for Accrued Benefits</t>
  </si>
  <si>
    <t>The liability for accrued benefits represents the fund's present obligation to pay benefits to members and beneficiaries and has been calculated as the difference between the carrying amount of the assets and the carrying amount of the other payables and income tax liabilities as at the end of the reporting period.</t>
  </si>
  <si>
    <t>e.</t>
  </si>
  <si>
    <t>Income Tax</t>
  </si>
  <si>
    <t>The income tax expense (income) for the year comprises current income tax expense (income) and deferred tax expense (income).</t>
  </si>
  <si>
    <t>Current income tax expense charged to the profit or loss is the tax payable on taxable income. Current tax liabilities (assets) are therefore measured at the amounts expected to be paid to (recovered from) the relevant taxation authority.</t>
  </si>
  <si>
    <t>Deferred income tax expense reflects movements in deferred tax liability balances during the year as well as unused tax losses.</t>
  </si>
  <si>
    <t>Except for business combinations, no deferred income tax is recognised from the initial recognition of an asset or liability where there is no effect on accounting or taxable profit or loss.</t>
  </si>
  <si>
    <t>Deferred tax assets and liabilities are calculated at the tax rates that are expected to apply to the period when the asset is realised or the liability is settled and their measurement also reflects the manner in which the trustees expect to recover or settle the carrying amount of the related asset or liability.</t>
  </si>
  <si>
    <t>Deferred tax assets relating to temporary differences and unused tax losses are recognised only to the extent that it is probable that future taxable profit will be available against which the benefits of the deferred tax asset can be utilised.</t>
  </si>
  <si>
    <t>Current tax assets and liabilities are offset where a legally enforceable right of set-off exists and it is intended that net settlement or simultaneous realisation and settlement of the respective asset and liability will occur. Deferred tax assets and liabilities are offset where:</t>
  </si>
  <si>
    <t>(a)</t>
  </si>
  <si>
    <t>a legally enforceable right of set-off exists; and</t>
  </si>
  <si>
    <t>(b)</t>
  </si>
  <si>
    <t>the deferred tax assets and liabilities relate to income taxes levied by the same taxation authority on either the same taxable entity or different taxable entities, where it is intended that net settlement or simultaneous realisation and settlement of the respective asset and liability will occur in future periods in which significant amounts of deferred tax assets or liabilities are expected to be recovered or settled.</t>
  </si>
  <si>
    <t>f.</t>
  </si>
  <si>
    <t>Critical Accounting Estimates and Judgments</t>
  </si>
  <si>
    <t>The preparation of financial statements requires the trustees to make judgments, estimates and assumptions that affect the application of accounting policies and the reported amounts of assets and liabilities, income and expenses. Actual results may differ from these estimates.</t>
  </si>
  <si>
    <t>Estimates and underlying assumptions are reviewed on an ongoing basis. Revisions to accounting estimates are recognised in the period in which the estimate is revised and in any future period affected.</t>
  </si>
  <si>
    <t>Boart Longyear Limited</t>
  </si>
  <si>
    <t>Crater Gold Mining Limited</t>
  </si>
  <si>
    <t>Diploma Group Limited</t>
  </si>
  <si>
    <t>National Australia Bank Limited</t>
  </si>
  <si>
    <t>Rhype Limited</t>
  </si>
  <si>
    <t>Commonwealth Bank</t>
  </si>
  <si>
    <t>ING Direct</t>
  </si>
  <si>
    <t>Balance at beginning of financial period</t>
  </si>
  <si>
    <t>Benefits accrued as a result of operations</t>
  </si>
  <si>
    <t>Benefits paid</t>
  </si>
  <si>
    <t>Balance at end of financial period</t>
  </si>
  <si>
    <t>Vested benefits</t>
  </si>
  <si>
    <t>Vested benefits are benefits which are not conditional upon continued membership of the fund (or any factor other than resignation from the plan) and include benefits which members were entitled to receive had they terminated their fund membership as at the end of the reporting period.</t>
  </si>
  <si>
    <t>Guaranteed benefits</t>
  </si>
  <si>
    <t>No guarantees have been made in respect of any portion of the liability for accrued benefits.</t>
  </si>
  <si>
    <t>Income tax expense</t>
  </si>
  <si>
    <t>The components of tax expense comprise:</t>
  </si>
  <si>
    <t>Current tax</t>
  </si>
  <si>
    <t>Income Tax Expense</t>
  </si>
  <si>
    <t>The prima facie tax on benefits accrued before income tax is reconciled to the income tax as follows:</t>
  </si>
  <si>
    <t>Prima facie tax payable on benefits accrued before tax at 15%</t>
  </si>
  <si>
    <t>Add tax effect of:</t>
  </si>
  <si>
    <t>Less tax effect of:</t>
  </si>
  <si>
    <t>Deferred tax liability</t>
  </si>
  <si>
    <t>$</t>
  </si>
  <si>
    <t>Deferred Tax Asset</t>
  </si>
  <si>
    <t>The directors of the trustee company have determined that the fund is not a reporting entity and that the special purpose financial statements should be prepared in accordance with the accounting policies described in Note 1 to the financial statements.</t>
  </si>
  <si>
    <t>In the opinion of the directors of the trustee company:</t>
  </si>
  <si>
    <t>(i)</t>
  </si>
  <si>
    <t>(ii)</t>
  </si>
  <si>
    <t>the financial statements and notes to the financial statements have been prepared in accordance with the requirements of the trust deed; and</t>
  </si>
  <si>
    <t>(iii)</t>
  </si>
  <si>
    <t>Signed in accordance with a resolution of the directors of the trustee company by:</t>
  </si>
  <si>
    <t>_____________________________</t>
  </si>
  <si>
    <t>David Oliver (Director)</t>
  </si>
  <si>
    <t>Gregory John Oliver (Director)</t>
  </si>
  <si>
    <t>Leonie June Oliver (Director)</t>
  </si>
  <si>
    <t>The Responsibility of the Trustee</t>
  </si>
  <si>
    <t>The trustee of Infensus Superannuation Fund is solely responsible for the information contained in the special purpose financial statements and has determined that the financial reporting framework used is appropriate to meet its needs and for the purpose that the financial statements were prepared.</t>
  </si>
  <si>
    <t>Our Responsibility</t>
  </si>
  <si>
    <t>On the basis of information provided by the trustee, we have compiled the accompanying special purpose financial statements in accordance with the financial reporting framework described in Note 1 to the financial statements and APES 315: Compilation of Financial Information.</t>
  </si>
  <si>
    <t>Our procedures use accounting expertise to collect, classify and summarise the financial information, which the trustee provided, in compiling the financial statements. Our procedures do not include verification or validation procedures. No audit or review has been performed and accordingly no assurance is expressed.</t>
  </si>
  <si>
    <t>The special purpose financial statements were compiled exclusively for the benefit of the trustee. We do not accept responsibility to any other person for the contents of the special purpose financial statements.</t>
  </si>
  <si>
    <t>Name of firm:</t>
  </si>
  <si>
    <t>Best Tax Strategies</t>
  </si>
  <si>
    <t>Address:</t>
  </si>
  <si>
    <t>Signed: ______________________________________</t>
  </si>
  <si>
    <t>Contributions</t>
  </si>
  <si>
    <t>Employer</t>
  </si>
  <si>
    <t>Personal - Concessional</t>
  </si>
  <si>
    <t>Personal - Non-Concessional</t>
  </si>
  <si>
    <t>Total contributions</t>
  </si>
  <si>
    <t>Investment Revenue</t>
  </si>
  <si>
    <t>Profit/(loss) on sale of investments</t>
  </si>
  <si>
    <t>Total investment revenue</t>
  </si>
  <si>
    <t>Expenses</t>
  </si>
  <si>
    <t>AuditFees</t>
  </si>
  <si>
    <t>Life insurance</t>
  </si>
  <si>
    <t>Total expenses</t>
  </si>
  <si>
    <t>225BLY</t>
  </si>
  <si>
    <t>105BLY</t>
  </si>
  <si>
    <t>BSA Limited</t>
  </si>
  <si>
    <t>730BLY</t>
  </si>
  <si>
    <t>730BSA</t>
  </si>
  <si>
    <t>730CGN</t>
  </si>
  <si>
    <t>730NAB</t>
  </si>
  <si>
    <t>730RHP</t>
  </si>
  <si>
    <t>730DGX</t>
  </si>
  <si>
    <t>605COMMON</t>
  </si>
  <si>
    <t>605ING</t>
  </si>
  <si>
    <t>605WESTPAC</t>
  </si>
  <si>
    <t>Westpac Bank</t>
  </si>
  <si>
    <t>730ARI</t>
  </si>
  <si>
    <t>730BHP</t>
  </si>
  <si>
    <t>BHP Limited</t>
  </si>
  <si>
    <t>730WBC</t>
  </si>
  <si>
    <t>Westpac Bank Limited</t>
  </si>
  <si>
    <t>730WPL</t>
  </si>
  <si>
    <t>Woodside Petroleum Limited</t>
  </si>
  <si>
    <t>115ING</t>
  </si>
  <si>
    <t>115WESTPAC</t>
  </si>
  <si>
    <t>115COMMON</t>
  </si>
  <si>
    <t>225BSA</t>
  </si>
  <si>
    <t>225CGN</t>
  </si>
  <si>
    <t>225DGX</t>
  </si>
  <si>
    <t>225NAB</t>
  </si>
  <si>
    <t>225RHP</t>
  </si>
  <si>
    <t>225BHP</t>
  </si>
  <si>
    <t>Arrium Limited</t>
  </si>
  <si>
    <t>225WBC</t>
  </si>
  <si>
    <t>225WPL</t>
  </si>
  <si>
    <t>225ARI</t>
  </si>
  <si>
    <t>David Oliver - Accumulation Account</t>
  </si>
  <si>
    <t>245NAB</t>
  </si>
  <si>
    <t>105ARI</t>
  </si>
  <si>
    <t>105BHP</t>
  </si>
  <si>
    <t>105BSA</t>
  </si>
  <si>
    <t>105CGN</t>
  </si>
  <si>
    <t>105DGX</t>
  </si>
  <si>
    <t>105NAB</t>
  </si>
  <si>
    <t>105RHP</t>
  </si>
  <si>
    <t>105WBC</t>
  </si>
  <si>
    <t>105WPL</t>
  </si>
  <si>
    <t>Oliver, David - Accumulation Account</t>
  </si>
  <si>
    <t>245ARI</t>
  </si>
  <si>
    <t>245BHP</t>
  </si>
  <si>
    <t>245BLY</t>
  </si>
  <si>
    <t>245BSA</t>
  </si>
  <si>
    <t>245CGN</t>
  </si>
  <si>
    <t>245DGX</t>
  </si>
  <si>
    <t>245RHP</t>
  </si>
  <si>
    <t>245WBC</t>
  </si>
  <si>
    <t>245WPL</t>
  </si>
  <si>
    <t>Note</t>
  </si>
  <si>
    <t>Government Co-contribution</t>
  </si>
  <si>
    <t>Oliver, Gregory - Accumulation Account</t>
  </si>
  <si>
    <t>Oliver, Leonie - Accumulation Account</t>
  </si>
  <si>
    <t>185DGO</t>
  </si>
  <si>
    <t>185GJO</t>
  </si>
  <si>
    <t>185LJO</t>
  </si>
  <si>
    <t>DGO</t>
  </si>
  <si>
    <t>193DGO</t>
  </si>
  <si>
    <t>Transfers In</t>
  </si>
  <si>
    <t>193GJO</t>
  </si>
  <si>
    <t>193LJO</t>
  </si>
  <si>
    <t>197DGO</t>
  </si>
  <si>
    <t>197GJO</t>
  </si>
  <si>
    <t>197LJO</t>
  </si>
  <si>
    <t>191DGO</t>
  </si>
  <si>
    <t>191GJO</t>
  </si>
  <si>
    <t>191LJO</t>
  </si>
  <si>
    <t>Benefits transferred in</t>
  </si>
  <si>
    <t>480FC</t>
  </si>
  <si>
    <t>480UO</t>
  </si>
  <si>
    <t>480RCAP</t>
  </si>
  <si>
    <t>G &amp; L</t>
  </si>
  <si>
    <t>Current Tax Assets</t>
  </si>
  <si>
    <t>Opening Balance 
$</t>
  </si>
  <si>
    <t>Charged to Income
$</t>
  </si>
  <si>
    <t>Closing Balance
$</t>
  </si>
  <si>
    <t>Diploma Group Limited Rights</t>
  </si>
  <si>
    <t>benefits transferred in</t>
  </si>
  <si>
    <t>income tax attributable to pensioners</t>
  </si>
  <si>
    <t>unrealised capital gains</t>
  </si>
  <si>
    <t>Compilation Report to the Members of Infensus Superannuaton Fund</t>
  </si>
  <si>
    <t xml:space="preserve">Date:    ______________________________________                   </t>
  </si>
  <si>
    <t>Summary of Significant Accounting Policies</t>
  </si>
  <si>
    <t>realised capital gains</t>
  </si>
  <si>
    <t>capital losses movement</t>
  </si>
  <si>
    <t>franking credits</t>
  </si>
  <si>
    <t>member contributions</t>
  </si>
  <si>
    <t>gross franking credits</t>
  </si>
  <si>
    <t>under/(over) provision for income tax</t>
  </si>
  <si>
    <t>Audit Report Cover Sheet</t>
  </si>
  <si>
    <t>Audit Report</t>
  </si>
  <si>
    <t>Bank Fees</t>
  </si>
  <si>
    <t>Santos Limited</t>
  </si>
  <si>
    <t>South 32 Limited</t>
  </si>
  <si>
    <t>Woolworths Limited</t>
  </si>
  <si>
    <t>CGT Cap - 15 Year Exemption</t>
  </si>
  <si>
    <t>CYBG Plc</t>
  </si>
  <si>
    <t>ANZ Banking Group Limited</t>
  </si>
  <si>
    <t>Santos Ltd</t>
  </si>
  <si>
    <t>Balance at 30 June 2016</t>
  </si>
  <si>
    <t>Unfranked Dividends</t>
  </si>
  <si>
    <t>Imp Credits</t>
  </si>
  <si>
    <t>GJLJO</t>
  </si>
  <si>
    <t>Member Taxable</t>
  </si>
  <si>
    <t>Life Insurance</t>
  </si>
  <si>
    <t>Super Levy</t>
  </si>
  <si>
    <t>Trustee</t>
  </si>
  <si>
    <t>Pension reduction</t>
  </si>
  <si>
    <t>LJO</t>
  </si>
  <si>
    <t>GJO</t>
  </si>
  <si>
    <t>Earnings</t>
  </si>
  <si>
    <t>Harvey Norman Limited</t>
  </si>
  <si>
    <t>Insurance Australia Group</t>
  </si>
  <si>
    <t>Balance at 30 June 2017</t>
  </si>
  <si>
    <t>Telstra Limited</t>
  </si>
  <si>
    <t>Bank of Queensland</t>
  </si>
  <si>
    <t>Bank of Queensland Limited</t>
  </si>
  <si>
    <t>TAXABLE INCOME</t>
  </si>
  <si>
    <t>Taxable Income</t>
  </si>
  <si>
    <t>Total Expenses</t>
  </si>
  <si>
    <t>Total Income</t>
  </si>
  <si>
    <t>Tax</t>
  </si>
  <si>
    <t>Cont Tax</t>
  </si>
  <si>
    <t>Insurance</t>
  </si>
  <si>
    <t>Total</t>
  </si>
  <si>
    <t>Dividend revenue is recognised when the dividend has been paid or, in the case of dividend reinvestment schemes, when the dividend is credited to the benefit of the fund.</t>
  </si>
  <si>
    <t>Audit Cover Page</t>
  </si>
  <si>
    <t>Audit Detail Page 1</t>
  </si>
  <si>
    <t>Audit Detail Page 2</t>
  </si>
  <si>
    <t>Audit Detail Page 3</t>
  </si>
  <si>
    <t>Audit Detail Page 4</t>
  </si>
  <si>
    <t>Audit Detail Page 5</t>
  </si>
  <si>
    <t>Audit Detail Page 6</t>
  </si>
  <si>
    <t>Perpetual Limited</t>
  </si>
  <si>
    <t>AU8</t>
  </si>
  <si>
    <t>AU8 Limited</t>
  </si>
  <si>
    <t>Woodside Rights</t>
  </si>
  <si>
    <t>TAXABLE</t>
  </si>
  <si>
    <t>NON TAX</t>
  </si>
  <si>
    <t>Cap Gains</t>
  </si>
  <si>
    <t>Franked Dividends</t>
  </si>
  <si>
    <t>Investment Expenses</t>
  </si>
  <si>
    <t>Sandfire Resources Limited</t>
  </si>
  <si>
    <t>AGL Energy Limited</t>
  </si>
  <si>
    <t>Sandfire Resources NL</t>
  </si>
  <si>
    <t>Member Transfers In</t>
  </si>
  <si>
    <t>AGL Energy</t>
  </si>
  <si>
    <t>1010 Pimlico Road, Wardell, NSW 2477</t>
  </si>
  <si>
    <t>Virgin Money UK PLC</t>
  </si>
  <si>
    <t>Accounting Fees</t>
  </si>
  <si>
    <t>Webjet Limited</t>
  </si>
  <si>
    <t>Adairs Limited</t>
  </si>
  <si>
    <t>Dicker Data Limited</t>
  </si>
  <si>
    <t>Kogan.com Limited</t>
  </si>
  <si>
    <t>Magnis Energy Technologies Ltd</t>
  </si>
  <si>
    <t>Magnis Energy Technologies Limited</t>
  </si>
  <si>
    <t>Conts</t>
  </si>
  <si>
    <t>Pensions</t>
  </si>
  <si>
    <t>Opening</t>
  </si>
  <si>
    <t>Closing</t>
  </si>
  <si>
    <t>Fees</t>
  </si>
  <si>
    <t>Scarb</t>
  </si>
  <si>
    <t>Relative</t>
  </si>
  <si>
    <t>Mine</t>
  </si>
  <si>
    <t>m &amp; D</t>
  </si>
  <si>
    <t>Foreign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</si>
</sst>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quot;For The Year Ended 30 June &quot;0"/>
    <numFmt numFmtId="166" formatCode="#,##0_);\(#,##0\);_-* &quot;-&quot;??_-;_-@_-"/>
  </numFmts>
  <fonts count="13" x14ac:knownFonts="1">
    <font>
      <sz val="11"/>
      <color theme="1"/>
      <name val="Calibri"/>
      <family val="2"/>
      <scheme val="minor"/>
    </font>
    <font>
      <sz val="10"/>
      <color theme="1"/>
      <name val="Arial"/>
      <family val="2"/>
    </font>
    <font>
      <b/>
      <sz val="14"/>
      <color theme="1"/>
      <name val="Arial"/>
      <family val="2"/>
    </font>
    <font>
      <b/>
      <sz val="10"/>
      <color theme="1"/>
      <name val="Arial"/>
      <family val="2"/>
    </font>
    <font>
      <sz val="1"/>
      <color theme="1"/>
      <name val="Arial"/>
      <family val="2"/>
    </font>
    <font>
      <sz val="11"/>
      <color theme="1"/>
      <name val="Calibri"/>
      <family val="2"/>
      <scheme val="minor"/>
    </font>
    <font>
      <sz val="4"/>
      <color theme="1"/>
      <name val="Calibri"/>
      <family val="2"/>
      <scheme val="minor"/>
    </font>
    <font>
      <b/>
      <sz val="4"/>
      <color theme="1"/>
      <name val="Arial"/>
      <family val="2"/>
    </font>
    <font>
      <sz val="12"/>
      <color theme="1"/>
      <name val="Calibri"/>
      <family val="2"/>
      <scheme val="minor"/>
    </font>
    <font>
      <b/>
      <sz val="12"/>
      <color theme="1"/>
      <name val="Arial"/>
      <family val="2"/>
    </font>
    <font>
      <b/>
      <sz val="12"/>
      <color theme="1"/>
      <name val="Calibri"/>
      <family val="2"/>
      <scheme val="minor"/>
    </font>
    <font>
      <b/>
      <sz val="11"/>
      <color theme="1"/>
      <name val="Calibri"/>
      <family val="2"/>
      <scheme val="minor"/>
    </font>
    <font>
      <sz val="11"/>
      <color theme="1"/>
      <name val="Wingdings 2"/>
      <family val="1"/>
      <charset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s>
  <borders count="9">
    <border>
      <left/>
      <right/>
      <top/>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143">
    <xf numFmtId="0" fontId="0" fillId="0" borderId="0" xfId="0"/>
    <xf numFmtId="0" fontId="0" fillId="0" borderId="0" xfId="0" applyFill="1" applyAlignment="1">
      <alignment horizontal="center"/>
    </xf>
    <xf numFmtId="0" fontId="0" fillId="0" borderId="0" xfId="0" applyFill="1" applyAlignment="1">
      <alignment horizontal="right"/>
    </xf>
    <xf numFmtId="0" fontId="0" fillId="0" borderId="0" xfId="0" applyFill="1" applyAlignment="1"/>
    <xf numFmtId="0" fontId="0" fillId="0" borderId="0" xfId="0" applyFill="1"/>
    <xf numFmtId="0" fontId="1" fillId="0" borderId="0" xfId="0" applyFont="1" applyFill="1" applyAlignment="1">
      <alignment horizontal="center" vertical="top" wrapText="1"/>
    </xf>
    <xf numFmtId="0" fontId="4" fillId="0" borderId="0" xfId="0" applyFont="1" applyFill="1" applyAlignment="1">
      <alignment horizontal="center" vertical="top" wrapText="1"/>
    </xf>
    <xf numFmtId="0" fontId="1" fillId="0" borderId="0" xfId="0" applyFont="1" applyFill="1" applyAlignment="1">
      <alignment horizontal="center"/>
    </xf>
    <xf numFmtId="0" fontId="3" fillId="0" borderId="0" xfId="0" applyFont="1" applyFill="1" applyAlignment="1">
      <alignment horizontal="center" vertical="top" wrapText="1"/>
    </xf>
    <xf numFmtId="3" fontId="1" fillId="0" borderId="0" xfId="0" applyNumberFormat="1" applyFont="1" applyFill="1" applyAlignment="1">
      <alignment horizontal="center" vertical="top" wrapText="1"/>
    </xf>
    <xf numFmtId="0" fontId="2" fillId="0" borderId="0" xfId="0" applyFont="1" applyFill="1" applyAlignment="1">
      <alignment horizontal="left"/>
    </xf>
    <xf numFmtId="0" fontId="7" fillId="0" borderId="0" xfId="0" applyFont="1" applyFill="1" applyAlignment="1">
      <alignment horizontal="left"/>
    </xf>
    <xf numFmtId="0" fontId="6" fillId="0" borderId="0" xfId="0" applyFont="1" applyFill="1" applyAlignment="1">
      <alignment horizontal="center"/>
    </xf>
    <xf numFmtId="0" fontId="6" fillId="0" borderId="0" xfId="0" applyFont="1" applyFill="1" applyAlignment="1">
      <alignment horizontal="right"/>
    </xf>
    <xf numFmtId="0" fontId="6" fillId="0" borderId="0" xfId="0" applyFont="1" applyFill="1" applyAlignment="1"/>
    <xf numFmtId="0" fontId="6" fillId="0" borderId="0" xfId="0" applyFont="1" applyFill="1"/>
    <xf numFmtId="0" fontId="9" fillId="0" borderId="0" xfId="0" applyFont="1" applyFill="1" applyAlignment="1">
      <alignment horizontal="left"/>
    </xf>
    <xf numFmtId="0" fontId="8" fillId="0" borderId="0" xfId="0" applyFont="1" applyFill="1" applyAlignment="1">
      <alignment horizontal="center"/>
    </xf>
    <xf numFmtId="0" fontId="8" fillId="0" borderId="0" xfId="0" applyFont="1" applyFill="1" applyAlignment="1">
      <alignment horizontal="right"/>
    </xf>
    <xf numFmtId="0" fontId="8" fillId="0" borderId="0" xfId="0" applyFont="1" applyFill="1" applyAlignment="1"/>
    <xf numFmtId="0" fontId="8" fillId="0" borderId="0" xfId="0" applyFont="1" applyFill="1"/>
    <xf numFmtId="3" fontId="1" fillId="0" borderId="0" xfId="0" applyNumberFormat="1" applyFont="1" applyFill="1" applyBorder="1" applyAlignment="1">
      <alignment horizontal="center" vertical="top" wrapText="1"/>
    </xf>
    <xf numFmtId="0" fontId="1"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0" fillId="0" borderId="0" xfId="0" applyFill="1" applyBorder="1" applyAlignment="1">
      <alignment horizontal="center"/>
    </xf>
    <xf numFmtId="0" fontId="1" fillId="0" borderId="0" xfId="0" applyFont="1" applyFill="1" applyAlignment="1">
      <alignment horizontal="left"/>
    </xf>
    <xf numFmtId="0" fontId="4" fillId="0" borderId="0" xfId="0" applyFont="1" applyFill="1" applyAlignment="1">
      <alignment horizontal="left" vertical="top" wrapText="1"/>
    </xf>
    <xf numFmtId="0" fontId="0" fillId="0" borderId="0" xfId="0" applyFill="1" applyAlignment="1">
      <alignment horizontal="left"/>
    </xf>
    <xf numFmtId="0" fontId="4" fillId="0" borderId="0" xfId="0" applyFont="1" applyFill="1" applyAlignment="1">
      <alignment horizontal="left" vertical="top"/>
    </xf>
    <xf numFmtId="0" fontId="3" fillId="0" borderId="0" xfId="0" applyFont="1" applyFill="1" applyAlignment="1">
      <alignment horizontal="left" vertical="top"/>
    </xf>
    <xf numFmtId="0" fontId="1" fillId="0" borderId="0" xfId="0" applyFont="1" applyFill="1" applyAlignment="1">
      <alignment vertical="top" wrapText="1"/>
    </xf>
    <xf numFmtId="0" fontId="0" fillId="0" borderId="0" xfId="0" applyFill="1" applyAlignment="1">
      <alignment horizontal="center" wrapText="1"/>
    </xf>
    <xf numFmtId="0" fontId="0" fillId="0" borderId="0" xfId="0" applyFill="1" applyAlignment="1">
      <alignment horizontal="right" wrapText="1"/>
    </xf>
    <xf numFmtId="0" fontId="0" fillId="0" borderId="0" xfId="0" applyFill="1" applyAlignment="1">
      <alignment wrapText="1"/>
    </xf>
    <xf numFmtId="0" fontId="3" fillId="0" borderId="0" xfId="0" applyFont="1" applyFill="1" applyAlignment="1">
      <alignment horizontal="center"/>
    </xf>
    <xf numFmtId="0" fontId="1" fillId="0" borderId="0" xfId="0" applyFont="1" applyFill="1" applyAlignment="1">
      <alignment horizontal="left" vertical="top" wrapText="1"/>
    </xf>
    <xf numFmtId="0" fontId="1" fillId="0" borderId="0" xfId="0" applyFont="1" applyFill="1" applyAlignment="1">
      <alignment horizontal="left" vertical="top"/>
    </xf>
    <xf numFmtId="0" fontId="3" fillId="0" borderId="0" xfId="0" applyFont="1" applyFill="1" applyAlignment="1">
      <alignment horizontal="left" vertical="top" wrapText="1"/>
    </xf>
    <xf numFmtId="0" fontId="1" fillId="0" borderId="0" xfId="0" applyFont="1" applyFill="1" applyAlignment="1">
      <alignment horizontal="left" vertical="top"/>
    </xf>
    <xf numFmtId="166" fontId="6" fillId="0" borderId="0" xfId="1" applyNumberFormat="1" applyFont="1" applyFill="1" applyAlignment="1">
      <alignment horizontal="center"/>
    </xf>
    <xf numFmtId="166" fontId="3" fillId="0" borderId="0" xfId="1" applyNumberFormat="1" applyFont="1" applyFill="1" applyAlignment="1">
      <alignment horizontal="center" vertical="top" wrapText="1"/>
    </xf>
    <xf numFmtId="0" fontId="0" fillId="0" borderId="3" xfId="0" applyFill="1" applyBorder="1"/>
    <xf numFmtId="0" fontId="6" fillId="0" borderId="0" xfId="0" applyFont="1" applyFill="1" applyAlignment="1">
      <alignment horizontal="center" vertical="top"/>
    </xf>
    <xf numFmtId="166" fontId="6" fillId="0" borderId="0" xfId="0" applyNumberFormat="1" applyFont="1" applyFill="1" applyAlignment="1">
      <alignment horizontal="center" vertical="top"/>
    </xf>
    <xf numFmtId="0" fontId="9" fillId="0" borderId="0" xfId="0" applyFont="1" applyFill="1" applyAlignment="1">
      <alignment horizontal="left" vertical="top"/>
    </xf>
    <xf numFmtId="0" fontId="8" fillId="0" borderId="0" xfId="0" applyFont="1" applyFill="1" applyAlignment="1">
      <alignment horizontal="center" vertical="top"/>
    </xf>
    <xf numFmtId="166" fontId="8" fillId="0" borderId="0" xfId="0" applyNumberFormat="1" applyFont="1" applyFill="1" applyAlignment="1">
      <alignment horizontal="center" vertical="top"/>
    </xf>
    <xf numFmtId="166" fontId="8" fillId="0" borderId="0" xfId="0" applyNumberFormat="1" applyFont="1" applyFill="1" applyAlignment="1">
      <alignment horizontal="right" vertical="top"/>
    </xf>
    <xf numFmtId="166" fontId="10" fillId="0" borderId="0" xfId="0" applyNumberFormat="1" applyFont="1" applyFill="1" applyAlignment="1">
      <alignment horizontal="center" vertical="top"/>
    </xf>
    <xf numFmtId="0" fontId="10" fillId="0" borderId="0" xfId="0" applyNumberFormat="1" applyFont="1" applyFill="1" applyAlignment="1">
      <alignment horizontal="center" vertical="top"/>
    </xf>
    <xf numFmtId="0" fontId="10" fillId="0" borderId="0" xfId="0" applyFont="1" applyFill="1" applyAlignment="1">
      <alignment horizontal="center" vertical="top"/>
    </xf>
    <xf numFmtId="0" fontId="0" fillId="0" borderId="0" xfId="0" applyFill="1" applyAlignment="1">
      <alignment horizontal="left" vertical="top"/>
    </xf>
    <xf numFmtId="166" fontId="0" fillId="0" borderId="0" xfId="0" applyNumberFormat="1" applyFill="1" applyAlignment="1">
      <alignment horizontal="right" vertical="top"/>
    </xf>
    <xf numFmtId="166" fontId="0" fillId="0" borderId="0" xfId="0" applyNumberFormat="1" applyFill="1" applyBorder="1" applyAlignment="1">
      <alignment horizontal="right" vertical="top"/>
    </xf>
    <xf numFmtId="166" fontId="8" fillId="0" borderId="0" xfId="1" applyNumberFormat="1" applyFont="1" applyFill="1" applyAlignment="1">
      <alignment horizontal="right" vertical="top"/>
    </xf>
    <xf numFmtId="0" fontId="10" fillId="0" borderId="0" xfId="1" applyNumberFormat="1" applyFont="1" applyFill="1" applyAlignment="1">
      <alignment horizontal="center" vertical="top"/>
    </xf>
    <xf numFmtId="166" fontId="10" fillId="0" borderId="0" xfId="1" applyNumberFormat="1" applyFont="1" applyFill="1" applyAlignment="1">
      <alignment horizontal="center" vertical="top"/>
    </xf>
    <xf numFmtId="166" fontId="0" fillId="0" borderId="0" xfId="1" applyNumberFormat="1" applyFont="1" applyFill="1" applyAlignment="1">
      <alignment horizontal="right" vertical="top"/>
    </xf>
    <xf numFmtId="166" fontId="3" fillId="0" borderId="0" xfId="1" applyNumberFormat="1" applyFont="1" applyFill="1" applyAlignment="1">
      <alignment horizontal="right" vertical="top"/>
    </xf>
    <xf numFmtId="166" fontId="0" fillId="0" borderId="0" xfId="1" applyNumberFormat="1" applyFont="1" applyFill="1" applyBorder="1" applyAlignment="1">
      <alignment horizontal="right" vertical="top"/>
    </xf>
    <xf numFmtId="166" fontId="3" fillId="0" borderId="0" xfId="1" applyNumberFormat="1" applyFont="1" applyFill="1" applyBorder="1" applyAlignment="1">
      <alignment horizontal="right" vertical="top"/>
    </xf>
    <xf numFmtId="166" fontId="1" fillId="0" borderId="0" xfId="1" applyNumberFormat="1" applyFont="1" applyFill="1" applyAlignment="1">
      <alignment horizontal="right" vertical="top"/>
    </xf>
    <xf numFmtId="166" fontId="0" fillId="0" borderId="0" xfId="0" applyNumberFormat="1" applyFill="1" applyAlignment="1">
      <alignment horizontal="center" vertical="top"/>
    </xf>
    <xf numFmtId="0" fontId="8" fillId="0" borderId="0" xfId="0" applyFont="1" applyFill="1" applyAlignment="1">
      <alignment horizontal="left" vertical="top"/>
    </xf>
    <xf numFmtId="0" fontId="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3" fontId="1" fillId="0" borderId="0" xfId="0" applyNumberFormat="1" applyFont="1" applyFill="1" applyAlignment="1">
      <alignment horizontal="left" vertical="top" wrapText="1"/>
    </xf>
    <xf numFmtId="3" fontId="1" fillId="0" borderId="0" xfId="0" applyNumberFormat="1" applyFont="1" applyFill="1" applyBorder="1" applyAlignment="1">
      <alignment horizontal="left" vertical="top" wrapText="1"/>
    </xf>
    <xf numFmtId="0" fontId="0" fillId="0" borderId="0" xfId="0" applyFill="1" applyBorder="1" applyAlignment="1">
      <alignment horizontal="left" vertical="top"/>
    </xf>
    <xf numFmtId="0" fontId="3" fillId="0" borderId="0" xfId="0" applyFont="1" applyFill="1" applyBorder="1" applyAlignment="1">
      <alignment horizontal="left" vertical="top"/>
    </xf>
    <xf numFmtId="1" fontId="1" fillId="0" borderId="0" xfId="0" applyNumberFormat="1" applyFont="1" applyFill="1" applyAlignment="1">
      <alignment horizontal="left" vertical="top" wrapText="1"/>
    </xf>
    <xf numFmtId="0" fontId="0" fillId="0" borderId="0" xfId="0" applyFill="1" applyAlignment="1">
      <alignment horizontal="right" vertical="top"/>
    </xf>
    <xf numFmtId="0" fontId="1" fillId="0" borderId="0" xfId="0" applyFont="1" applyFill="1" applyAlignment="1">
      <alignment horizontal="right" vertical="top"/>
    </xf>
    <xf numFmtId="0" fontId="7" fillId="0" borderId="0" xfId="0" applyFont="1" applyFill="1" applyAlignment="1">
      <alignment horizontal="center" vertical="top"/>
    </xf>
    <xf numFmtId="166" fontId="6" fillId="0" borderId="0" xfId="1" applyNumberFormat="1" applyFont="1" applyFill="1" applyAlignment="1">
      <alignment horizontal="center" vertical="top"/>
    </xf>
    <xf numFmtId="0" fontId="9" fillId="0" borderId="0" xfId="0" applyFont="1" applyFill="1" applyAlignment="1">
      <alignment horizontal="center" vertical="top"/>
    </xf>
    <xf numFmtId="166" fontId="8" fillId="0" borderId="0" xfId="1" applyNumberFormat="1" applyFont="1" applyFill="1" applyAlignment="1">
      <alignment horizontal="center" vertical="top"/>
    </xf>
    <xf numFmtId="166" fontId="4" fillId="0" borderId="0" xfId="1" applyNumberFormat="1" applyFont="1" applyFill="1" applyAlignment="1">
      <alignment horizontal="right" vertical="top"/>
    </xf>
    <xf numFmtId="166" fontId="1" fillId="0" borderId="0" xfId="1" applyNumberFormat="1" applyFont="1" applyFill="1" applyBorder="1" applyAlignment="1">
      <alignment horizontal="right" vertical="top"/>
    </xf>
    <xf numFmtId="166" fontId="1" fillId="0" borderId="0" xfId="0" applyNumberFormat="1" applyFont="1" applyFill="1" applyAlignment="1">
      <alignment horizontal="right" vertical="top"/>
    </xf>
    <xf numFmtId="166" fontId="1" fillId="0" borderId="0" xfId="0" applyNumberFormat="1" applyFont="1" applyFill="1" applyBorder="1" applyAlignment="1">
      <alignment horizontal="right" vertical="top"/>
    </xf>
    <xf numFmtId="166" fontId="4" fillId="0" borderId="0" xfId="0" applyNumberFormat="1" applyFont="1" applyFill="1" applyBorder="1" applyAlignment="1">
      <alignment horizontal="right" vertical="top"/>
    </xf>
    <xf numFmtId="166" fontId="1" fillId="0" borderId="0" xfId="0" applyNumberFormat="1" applyFont="1" applyFill="1" applyAlignment="1">
      <alignment horizontal="center" vertical="top"/>
    </xf>
    <xf numFmtId="166" fontId="4" fillId="0" borderId="0" xfId="0" applyNumberFormat="1" applyFont="1" applyFill="1" applyAlignment="1">
      <alignment horizontal="center" vertical="top"/>
    </xf>
    <xf numFmtId="0" fontId="0" fillId="2" borderId="3" xfId="0" applyFill="1" applyBorder="1"/>
    <xf numFmtId="164" fontId="1" fillId="0" borderId="0" xfId="1" applyNumberFormat="1" applyFont="1" applyFill="1" applyAlignment="1">
      <alignment horizontal="left" vertical="top" wrapText="1"/>
    </xf>
    <xf numFmtId="166" fontId="1" fillId="0" borderId="4" xfId="0" applyNumberFormat="1" applyFont="1" applyFill="1" applyBorder="1" applyAlignment="1">
      <alignment horizontal="right" vertical="top"/>
    </xf>
    <xf numFmtId="166" fontId="1" fillId="0" borderId="5" xfId="0" applyNumberFormat="1" applyFont="1" applyFill="1" applyBorder="1" applyAlignment="1">
      <alignment horizontal="right" vertical="top"/>
    </xf>
    <xf numFmtId="166" fontId="1" fillId="0" borderId="2" xfId="0" applyNumberFormat="1" applyFont="1" applyFill="1" applyBorder="1" applyAlignment="1">
      <alignment horizontal="right" vertical="top"/>
    </xf>
    <xf numFmtId="166" fontId="1" fillId="0" borderId="6" xfId="0" applyNumberFormat="1" applyFont="1" applyFill="1" applyBorder="1" applyAlignment="1">
      <alignment horizontal="right" vertical="top"/>
    </xf>
    <xf numFmtId="166" fontId="1" fillId="0" borderId="1" xfId="0" applyNumberFormat="1" applyFont="1" applyFill="1" applyBorder="1" applyAlignment="1">
      <alignment horizontal="right" vertical="top"/>
    </xf>
    <xf numFmtId="166" fontId="1" fillId="0" borderId="1" xfId="1" applyNumberFormat="1" applyFont="1" applyFill="1" applyBorder="1" applyAlignment="1">
      <alignment horizontal="righ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0" fontId="3" fillId="0" borderId="0" xfId="0" applyFont="1" applyFill="1" applyAlignment="1">
      <alignment horizontal="left" vertical="top" wrapText="1"/>
    </xf>
    <xf numFmtId="2" fontId="0" fillId="0" borderId="0" xfId="0" applyNumberFormat="1" applyFill="1"/>
    <xf numFmtId="0" fontId="1" fillId="0" borderId="0" xfId="0" applyFont="1" applyFill="1" applyAlignment="1">
      <alignment horizontal="left" vertical="top" wrapText="1"/>
    </xf>
    <xf numFmtId="0" fontId="1" fillId="0" borderId="0" xfId="0" applyFont="1" applyFill="1" applyAlignment="1">
      <alignment horizontal="left" vertical="top"/>
    </xf>
    <xf numFmtId="164" fontId="1" fillId="0" borderId="0" xfId="1" applyNumberFormat="1" applyFont="1" applyFill="1" applyAlignment="1">
      <alignment horizontal="right" vertical="top"/>
    </xf>
    <xf numFmtId="0" fontId="11" fillId="0" borderId="0" xfId="0" applyFont="1"/>
    <xf numFmtId="0" fontId="11" fillId="0" borderId="3" xfId="0" applyFont="1" applyBorder="1"/>
    <xf numFmtId="0" fontId="0" fillId="0" borderId="3" xfId="0" applyBorder="1"/>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2" fontId="0" fillId="0" borderId="0" xfId="0" applyNumberFormat="1"/>
    <xf numFmtId="0" fontId="11" fillId="0" borderId="3" xfId="0" applyFont="1" applyBorder="1" applyAlignment="1">
      <alignment horizontal="center"/>
    </xf>
    <xf numFmtId="0" fontId="0" fillId="3" borderId="0" xfId="0" applyFill="1"/>
    <xf numFmtId="0" fontId="11" fillId="3" borderId="3" xfId="0" applyFont="1" applyFill="1" applyBorder="1"/>
    <xf numFmtId="0" fontId="0" fillId="3" borderId="3" xfId="0" applyFill="1" applyBorder="1"/>
    <xf numFmtId="0" fontId="1" fillId="0" borderId="0" xfId="0" applyFont="1" applyFill="1" applyAlignment="1">
      <alignment horizontal="left" vertical="top" wrapText="1"/>
    </xf>
    <xf numFmtId="0" fontId="1" fillId="0" borderId="0" xfId="0" applyFont="1" applyFill="1" applyAlignment="1">
      <alignment horizontal="left" vertical="top"/>
    </xf>
    <xf numFmtId="2" fontId="0" fillId="0" borderId="3" xfId="0" applyNumberFormat="1" applyBorder="1"/>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166" fontId="0" fillId="0" borderId="0" xfId="0" applyNumberFormat="1" applyFill="1"/>
    <xf numFmtId="0" fontId="0" fillId="4" borderId="0" xfId="0" applyFill="1"/>
    <xf numFmtId="0" fontId="11" fillId="0" borderId="0" xfId="0" applyFont="1" applyBorder="1" applyAlignment="1">
      <alignment horizontal="center"/>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2" fillId="0" borderId="0" xfId="0" applyFont="1" applyFill="1" applyAlignment="1">
      <alignment horizontal="center"/>
    </xf>
    <xf numFmtId="0" fontId="1" fillId="0" borderId="0" xfId="0" applyFont="1" applyFill="1" applyAlignment="1">
      <alignment horizontal="left" vertical="top"/>
    </xf>
    <xf numFmtId="0" fontId="2" fillId="0" borderId="0" xfId="0" applyFont="1" applyFill="1" applyAlignment="1">
      <alignment horizontal="center"/>
    </xf>
    <xf numFmtId="0" fontId="3" fillId="0" borderId="0" xfId="0" applyFont="1" applyFill="1" applyAlignment="1">
      <alignment horizontal="center"/>
    </xf>
    <xf numFmtId="165" fontId="2" fillId="0" borderId="0" xfId="0" applyNumberFormat="1" applyFont="1" applyFill="1" applyAlignment="1">
      <alignment horizontal="center"/>
    </xf>
    <xf numFmtId="165" fontId="9" fillId="0" borderId="2" xfId="0" applyNumberFormat="1" applyFont="1" applyFill="1" applyBorder="1" applyAlignment="1">
      <alignment horizontal="center"/>
    </xf>
    <xf numFmtId="0" fontId="9" fillId="0" borderId="0" xfId="0" applyFont="1" applyFill="1" applyAlignment="1">
      <alignment horizontal="center"/>
    </xf>
    <xf numFmtId="0" fontId="9" fillId="0" borderId="0" xfId="0" applyFont="1" applyFill="1" applyAlignment="1">
      <alignment horizontal="center" vertical="top"/>
    </xf>
    <xf numFmtId="165" fontId="9" fillId="0" borderId="2" xfId="0" applyNumberFormat="1" applyFont="1" applyFill="1" applyBorder="1" applyAlignment="1">
      <alignment horizontal="center" vertical="top"/>
    </xf>
    <xf numFmtId="0" fontId="1" fillId="0" borderId="0" xfId="0" applyFont="1" applyFill="1" applyAlignment="1">
      <alignment horizontal="left" vertical="top" wrapText="1"/>
    </xf>
    <xf numFmtId="0" fontId="3" fillId="0" borderId="0" xfId="0" applyFont="1" applyFill="1" applyAlignment="1">
      <alignment horizontal="left" vertical="top" wrapText="1"/>
    </xf>
    <xf numFmtId="0" fontId="1" fillId="0" borderId="0" xfId="0" applyFont="1" applyFill="1" applyAlignment="1">
      <alignment horizontal="left" vertical="top"/>
    </xf>
    <xf numFmtId="0" fontId="11" fillId="0" borderId="7" xfId="0" applyFont="1" applyBorder="1" applyAlignment="1">
      <alignment horizontal="center"/>
    </xf>
    <xf numFmtId="0" fontId="11" fillId="0" borderId="8"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topLeftCell="B16" zoomScaleNormal="100" workbookViewId="0">
      <selection activeCell="R18" sqref="R18"/>
    </sheetView>
  </sheetViews>
  <sheetFormatPr defaultColWidth="9.109375" defaultRowHeight="14.4" x14ac:dyDescent="0.3"/>
  <cols>
    <col min="1" max="1" width="0" style="4" hidden="1" customWidth="1"/>
    <col min="2" max="16384" width="9.109375" style="4"/>
  </cols>
  <sheetData>
    <row r="1" spans="2:14" x14ac:dyDescent="0.3">
      <c r="B1" s="25"/>
      <c r="C1" s="1"/>
      <c r="D1" s="1"/>
      <c r="E1" s="1"/>
      <c r="F1" s="1"/>
      <c r="G1" s="1"/>
      <c r="H1" s="1"/>
      <c r="I1" s="1"/>
      <c r="J1" s="1"/>
      <c r="K1" s="2"/>
      <c r="L1" s="3"/>
      <c r="M1" s="2"/>
      <c r="N1" s="3"/>
    </row>
    <row r="2" spans="2:14" x14ac:dyDescent="0.3">
      <c r="B2" s="25"/>
      <c r="C2" s="1"/>
      <c r="D2" s="1"/>
      <c r="E2" s="1"/>
      <c r="F2" s="1"/>
      <c r="G2" s="1"/>
      <c r="H2" s="1"/>
      <c r="I2" s="1"/>
      <c r="J2" s="1"/>
      <c r="K2" s="2"/>
      <c r="L2" s="3"/>
      <c r="M2" s="2"/>
      <c r="N2" s="3"/>
    </row>
    <row r="3" spans="2:14" x14ac:dyDescent="0.3">
      <c r="B3" s="25"/>
      <c r="C3" s="1"/>
      <c r="D3" s="1"/>
      <c r="E3" s="1"/>
      <c r="F3" s="1"/>
      <c r="G3" s="1"/>
      <c r="H3" s="1"/>
      <c r="I3" s="1"/>
      <c r="J3" s="1"/>
      <c r="K3" s="2"/>
      <c r="L3" s="3"/>
      <c r="M3" s="2"/>
      <c r="N3" s="3"/>
    </row>
    <row r="4" spans="2:14" x14ac:dyDescent="0.3">
      <c r="B4" s="25"/>
      <c r="C4" s="1"/>
      <c r="D4" s="1"/>
      <c r="E4" s="1"/>
      <c r="F4" s="1"/>
      <c r="G4" s="1"/>
      <c r="H4" s="1"/>
      <c r="I4" s="1"/>
      <c r="J4" s="1"/>
      <c r="K4" s="2"/>
      <c r="L4" s="3"/>
      <c r="M4" s="2"/>
      <c r="N4" s="3"/>
    </row>
    <row r="5" spans="2:14" x14ac:dyDescent="0.3">
      <c r="B5" s="25"/>
      <c r="C5" s="1"/>
      <c r="D5" s="1"/>
      <c r="E5" s="1"/>
      <c r="F5" s="1"/>
      <c r="G5" s="1"/>
      <c r="H5" s="1"/>
      <c r="I5" s="1"/>
      <c r="J5" s="1"/>
      <c r="K5" s="2"/>
      <c r="L5" s="3"/>
      <c r="M5" s="2"/>
      <c r="N5" s="3"/>
    </row>
    <row r="6" spans="2:14" x14ac:dyDescent="0.3">
      <c r="B6" s="25"/>
      <c r="C6" s="1"/>
      <c r="D6" s="1"/>
      <c r="E6" s="1"/>
      <c r="F6" s="1"/>
      <c r="G6" s="1"/>
      <c r="H6" s="1"/>
      <c r="I6" s="1"/>
      <c r="J6" s="1"/>
      <c r="K6" s="2"/>
      <c r="L6" s="3"/>
      <c r="M6" s="2"/>
      <c r="N6" s="3"/>
    </row>
    <row r="7" spans="2:14" x14ac:dyDescent="0.3">
      <c r="B7" s="25"/>
      <c r="C7" s="1"/>
      <c r="D7" s="1"/>
      <c r="E7" s="1"/>
      <c r="F7" s="1"/>
      <c r="G7" s="1"/>
      <c r="H7" s="1"/>
      <c r="I7" s="1"/>
      <c r="J7" s="1"/>
      <c r="K7" s="2"/>
      <c r="L7" s="3"/>
      <c r="M7" s="2"/>
      <c r="N7" s="3"/>
    </row>
    <row r="8" spans="2:14" x14ac:dyDescent="0.3">
      <c r="B8" s="25"/>
      <c r="C8" s="1"/>
      <c r="D8" s="1"/>
      <c r="E8" s="1"/>
      <c r="F8" s="1"/>
      <c r="G8" s="1"/>
      <c r="H8" s="1"/>
      <c r="I8" s="1"/>
      <c r="J8" s="1"/>
      <c r="K8" s="2"/>
      <c r="L8" s="3"/>
      <c r="M8" s="2"/>
      <c r="N8" s="3"/>
    </row>
    <row r="9" spans="2:14" x14ac:dyDescent="0.3">
      <c r="B9" s="25"/>
      <c r="C9" s="1"/>
      <c r="D9" s="1"/>
      <c r="E9" s="1"/>
      <c r="F9" s="1"/>
      <c r="G9" s="1"/>
      <c r="H9" s="1"/>
      <c r="I9" s="1"/>
      <c r="J9" s="1"/>
      <c r="K9" s="2"/>
      <c r="L9" s="3"/>
      <c r="M9" s="2"/>
      <c r="N9" s="3"/>
    </row>
    <row r="10" spans="2:14" x14ac:dyDescent="0.3">
      <c r="B10" s="25"/>
      <c r="C10" s="1"/>
      <c r="D10" s="1"/>
      <c r="E10" s="1"/>
      <c r="F10" s="1"/>
      <c r="G10" s="1"/>
      <c r="H10" s="1"/>
      <c r="I10" s="1"/>
      <c r="J10" s="1"/>
      <c r="K10" s="2"/>
      <c r="L10" s="3"/>
      <c r="M10" s="2"/>
      <c r="N10" s="3"/>
    </row>
    <row r="11" spans="2:14" x14ac:dyDescent="0.3">
      <c r="B11" s="25"/>
      <c r="C11" s="1"/>
      <c r="D11" s="1"/>
      <c r="E11" s="1"/>
      <c r="F11" s="1"/>
      <c r="G11" s="1"/>
      <c r="H11" s="1"/>
      <c r="I11" s="1"/>
      <c r="J11" s="1"/>
      <c r="K11" s="2"/>
      <c r="L11" s="3"/>
      <c r="M11" s="2"/>
      <c r="N11" s="3"/>
    </row>
    <row r="12" spans="2:14" x14ac:dyDescent="0.3">
      <c r="B12" s="25"/>
      <c r="C12" s="1"/>
      <c r="D12" s="1"/>
      <c r="E12" s="1"/>
      <c r="F12" s="1"/>
      <c r="G12" s="1"/>
      <c r="H12" s="1"/>
      <c r="I12" s="1"/>
      <c r="J12" s="1"/>
      <c r="K12" s="2"/>
      <c r="L12" s="3"/>
      <c r="M12" s="2"/>
      <c r="N12" s="3"/>
    </row>
    <row r="13" spans="2:14" x14ac:dyDescent="0.3">
      <c r="B13" s="25"/>
      <c r="C13" s="1"/>
      <c r="D13" s="1"/>
      <c r="E13" s="1"/>
      <c r="F13" s="1"/>
      <c r="G13" s="1"/>
      <c r="H13" s="1"/>
      <c r="I13" s="1"/>
      <c r="J13" s="1"/>
      <c r="K13" s="2"/>
      <c r="L13" s="3"/>
      <c r="M13" s="2"/>
      <c r="N13" s="3"/>
    </row>
    <row r="14" spans="2:14" x14ac:dyDescent="0.3">
      <c r="B14" s="25"/>
      <c r="C14" s="1"/>
      <c r="D14" s="1"/>
      <c r="E14" s="1"/>
      <c r="F14" s="1"/>
      <c r="G14" s="1"/>
      <c r="H14" s="1"/>
      <c r="I14" s="1"/>
      <c r="J14" s="1"/>
      <c r="K14" s="2"/>
      <c r="L14" s="3"/>
      <c r="M14" s="2"/>
      <c r="N14" s="3"/>
    </row>
    <row r="15" spans="2:14" x14ac:dyDescent="0.3">
      <c r="B15" s="25"/>
      <c r="C15" s="1"/>
      <c r="D15" s="1"/>
      <c r="E15" s="1"/>
      <c r="F15" s="1"/>
      <c r="G15" s="1"/>
      <c r="H15" s="1"/>
      <c r="I15" s="1"/>
      <c r="J15" s="1"/>
      <c r="K15" s="2"/>
      <c r="L15" s="3"/>
      <c r="M15" s="2"/>
      <c r="N15" s="3"/>
    </row>
    <row r="16" spans="2:14" x14ac:dyDescent="0.3">
      <c r="B16" s="25"/>
      <c r="C16" s="1"/>
      <c r="D16" s="1"/>
      <c r="E16" s="1"/>
      <c r="F16" s="1"/>
      <c r="G16" s="1"/>
      <c r="H16" s="1"/>
      <c r="I16" s="1"/>
      <c r="J16" s="1"/>
      <c r="K16" s="2"/>
      <c r="L16" s="3"/>
      <c r="M16" s="2"/>
      <c r="N16" s="3"/>
    </row>
    <row r="17" spans="2:18" x14ac:dyDescent="0.3">
      <c r="B17" s="25"/>
      <c r="C17" s="1"/>
      <c r="D17" s="1"/>
      <c r="E17" s="1"/>
      <c r="F17" s="1"/>
      <c r="G17" s="1"/>
      <c r="H17" s="1"/>
      <c r="I17" s="1"/>
      <c r="J17" s="1"/>
      <c r="K17" s="2"/>
      <c r="L17" s="3"/>
      <c r="M17" s="2"/>
      <c r="N17" s="3"/>
    </row>
    <row r="18" spans="2:18" x14ac:dyDescent="0.3">
      <c r="B18" s="25"/>
      <c r="C18" s="1"/>
      <c r="D18" s="1"/>
      <c r="E18" s="1"/>
      <c r="F18" s="1"/>
      <c r="G18" s="1"/>
      <c r="H18" s="1"/>
      <c r="I18" s="1"/>
      <c r="J18" s="1"/>
      <c r="K18" s="2"/>
      <c r="L18" s="3"/>
      <c r="M18" s="2"/>
      <c r="N18" s="3"/>
      <c r="R18" s="84"/>
    </row>
    <row r="19" spans="2:18" x14ac:dyDescent="0.3">
      <c r="B19" s="25"/>
      <c r="C19" s="1"/>
      <c r="D19" s="1"/>
      <c r="E19" s="1"/>
      <c r="F19" s="1"/>
      <c r="G19" s="1"/>
      <c r="H19" s="1"/>
      <c r="I19" s="1"/>
      <c r="J19" s="1"/>
      <c r="K19" s="2"/>
      <c r="L19" s="3"/>
      <c r="M19" s="2"/>
      <c r="N19" s="3"/>
      <c r="P19" s="41"/>
    </row>
    <row r="20" spans="2:18" x14ac:dyDescent="0.3">
      <c r="B20" s="25"/>
      <c r="C20" s="1"/>
      <c r="D20" s="1"/>
      <c r="E20" s="1"/>
      <c r="F20" s="1"/>
      <c r="G20" s="1"/>
      <c r="H20" s="1"/>
      <c r="I20" s="1"/>
      <c r="J20" s="1"/>
      <c r="K20" s="2"/>
      <c r="L20" s="3"/>
      <c r="M20" s="2"/>
      <c r="N20" s="3"/>
      <c r="P20" s="41">
        <v>2013</v>
      </c>
      <c r="R20" s="4" t="s">
        <v>233</v>
      </c>
    </row>
    <row r="21" spans="2:18" x14ac:dyDescent="0.3">
      <c r="B21" s="25"/>
      <c r="C21" s="1"/>
      <c r="D21" s="1"/>
      <c r="E21" s="1"/>
      <c r="F21" s="1"/>
      <c r="G21" s="1"/>
      <c r="H21" s="1"/>
      <c r="I21" s="1"/>
      <c r="J21" s="1"/>
      <c r="K21" s="2"/>
      <c r="L21" s="3"/>
      <c r="M21" s="2"/>
      <c r="N21" s="3"/>
      <c r="P21" s="41">
        <f>P20+1</f>
        <v>2014</v>
      </c>
      <c r="R21" s="4" t="s">
        <v>218</v>
      </c>
    </row>
    <row r="22" spans="2:18" ht="17.399999999999999" x14ac:dyDescent="0.3">
      <c r="B22" s="131" t="s">
        <v>7</v>
      </c>
      <c r="C22" s="131"/>
      <c r="D22" s="131"/>
      <c r="E22" s="131"/>
      <c r="F22" s="131"/>
      <c r="G22" s="131"/>
      <c r="H22" s="131"/>
      <c r="I22" s="131"/>
      <c r="J22" s="1"/>
      <c r="K22" s="2"/>
      <c r="L22" s="3"/>
      <c r="M22" s="2"/>
      <c r="N22" s="3"/>
      <c r="P22" s="41">
        <f t="shared" ref="P22:P34" si="0">P21+1</f>
        <v>2015</v>
      </c>
    </row>
    <row r="23" spans="2:18" x14ac:dyDescent="0.3">
      <c r="B23" s="132" t="s">
        <v>8</v>
      </c>
      <c r="C23" s="132"/>
      <c r="D23" s="132"/>
      <c r="E23" s="132"/>
      <c r="F23" s="132"/>
      <c r="G23" s="132"/>
      <c r="H23" s="132"/>
      <c r="I23" s="132"/>
      <c r="J23" s="1"/>
      <c r="K23" s="2"/>
      <c r="L23" s="3"/>
      <c r="M23" s="2"/>
      <c r="N23" s="3"/>
      <c r="P23" s="41">
        <f t="shared" si="0"/>
        <v>2016</v>
      </c>
    </row>
    <row r="24" spans="2:18" ht="17.399999999999999" x14ac:dyDescent="0.3">
      <c r="B24" s="10"/>
      <c r="C24" s="1"/>
      <c r="D24" s="1"/>
      <c r="E24" s="1"/>
      <c r="F24" s="1"/>
      <c r="G24" s="1"/>
      <c r="H24" s="1"/>
      <c r="I24" s="1"/>
      <c r="J24" s="1"/>
      <c r="K24" s="2"/>
      <c r="L24" s="3"/>
      <c r="M24" s="2"/>
      <c r="N24" s="3"/>
      <c r="P24" s="41">
        <f t="shared" si="0"/>
        <v>2017</v>
      </c>
    </row>
    <row r="25" spans="2:18" ht="17.399999999999999" x14ac:dyDescent="0.3">
      <c r="B25" s="131" t="s">
        <v>9</v>
      </c>
      <c r="C25" s="131"/>
      <c r="D25" s="131"/>
      <c r="E25" s="131"/>
      <c r="F25" s="131"/>
      <c r="G25" s="131"/>
      <c r="H25" s="131"/>
      <c r="I25" s="131"/>
      <c r="J25" s="1"/>
      <c r="K25" s="2"/>
      <c r="L25" s="3"/>
      <c r="M25" s="2"/>
      <c r="N25" s="3"/>
      <c r="P25" s="41">
        <f t="shared" si="0"/>
        <v>2018</v>
      </c>
    </row>
    <row r="26" spans="2:18" ht="17.399999999999999" x14ac:dyDescent="0.3">
      <c r="B26" s="133">
        <v>2023</v>
      </c>
      <c r="C26" s="133"/>
      <c r="D26" s="133"/>
      <c r="E26" s="133"/>
      <c r="F26" s="133"/>
      <c r="G26" s="133"/>
      <c r="H26" s="133"/>
      <c r="I26" s="133"/>
      <c r="J26" s="1"/>
      <c r="K26" s="2"/>
      <c r="L26" s="3"/>
      <c r="M26" s="2"/>
      <c r="N26" s="3"/>
      <c r="P26" s="41">
        <f t="shared" si="0"/>
        <v>2019</v>
      </c>
    </row>
    <row r="27" spans="2:18" x14ac:dyDescent="0.3">
      <c r="P27" s="41">
        <f t="shared" si="0"/>
        <v>2020</v>
      </c>
    </row>
    <row r="28" spans="2:18" x14ac:dyDescent="0.3">
      <c r="P28" s="41">
        <f t="shared" si="0"/>
        <v>2021</v>
      </c>
    </row>
    <row r="29" spans="2:18" x14ac:dyDescent="0.3">
      <c r="P29" s="41">
        <f t="shared" si="0"/>
        <v>2022</v>
      </c>
    </row>
    <row r="30" spans="2:18" x14ac:dyDescent="0.3">
      <c r="P30" s="41">
        <f t="shared" si="0"/>
        <v>2023</v>
      </c>
    </row>
    <row r="31" spans="2:18" x14ac:dyDescent="0.3">
      <c r="P31" s="41">
        <f t="shared" si="0"/>
        <v>2024</v>
      </c>
    </row>
    <row r="32" spans="2:18" x14ac:dyDescent="0.3">
      <c r="P32" s="41">
        <f t="shared" si="0"/>
        <v>2025</v>
      </c>
    </row>
    <row r="33" spans="16:16" x14ac:dyDescent="0.3">
      <c r="P33" s="41">
        <f t="shared" si="0"/>
        <v>2026</v>
      </c>
    </row>
    <row r="34" spans="16:16" x14ac:dyDescent="0.3">
      <c r="P34" s="41">
        <f t="shared" si="0"/>
        <v>2027</v>
      </c>
    </row>
  </sheetData>
  <mergeCells count="4">
    <mergeCell ref="B22:I22"/>
    <mergeCell ref="B23:I23"/>
    <mergeCell ref="B25:I25"/>
    <mergeCell ref="B26:I26"/>
  </mergeCells>
  <dataValidations count="2">
    <dataValidation type="list" allowBlank="1" showInputMessage="1" showErrorMessage="1" sqref="B26:I26">
      <formula1>$P$19:$P$34</formula1>
    </dataValidation>
    <dataValidation type="list" allowBlank="1" showInputMessage="1" showErrorMessage="1" sqref="R18">
      <formula1>$R$19:$R$21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opLeftCell="A22" workbookViewId="0">
      <selection activeCell="B33" sqref="B33"/>
    </sheetView>
  </sheetViews>
  <sheetFormatPr defaultRowHeight="14.4" x14ac:dyDescent="0.3"/>
  <cols>
    <col min="1" max="1" width="16.88671875" customWidth="1"/>
    <col min="2" max="2" width="10" customWidth="1"/>
    <col min="3" max="3" width="9.44140625" customWidth="1"/>
    <col min="4" max="5" width="10.77734375" customWidth="1"/>
    <col min="6" max="6" width="11" bestFit="1" customWidth="1"/>
    <col min="7" max="10" width="8.88671875" customWidth="1"/>
    <col min="11" max="12" width="11.44140625" customWidth="1"/>
    <col min="13" max="13" width="8.88671875" customWidth="1"/>
  </cols>
  <sheetData>
    <row r="1" spans="1:17" x14ac:dyDescent="0.3">
      <c r="B1" s="141" t="s">
        <v>264</v>
      </c>
      <c r="C1" s="142"/>
      <c r="D1" s="107" t="s">
        <v>218</v>
      </c>
    </row>
    <row r="2" spans="1:17" x14ac:dyDescent="0.3">
      <c r="B2" s="120" t="s">
        <v>300</v>
      </c>
      <c r="C2" s="120" t="s">
        <v>299</v>
      </c>
      <c r="D2" s="120"/>
      <c r="P2" t="s">
        <v>325</v>
      </c>
      <c r="Q2" t="s">
        <v>326</v>
      </c>
    </row>
    <row r="3" spans="1:17" x14ac:dyDescent="0.3">
      <c r="A3" t="s">
        <v>32</v>
      </c>
      <c r="C3" s="108">
        <v>179</v>
      </c>
      <c r="D3" s="108">
        <v>5</v>
      </c>
      <c r="E3" s="108">
        <f t="shared" ref="E3:E11" si="0">SUM(C3:D3)</f>
        <v>184</v>
      </c>
      <c r="N3" t="s">
        <v>323</v>
      </c>
      <c r="O3" t="s">
        <v>324</v>
      </c>
      <c r="P3">
        <v>0.5</v>
      </c>
      <c r="Q3">
        <v>1.3</v>
      </c>
    </row>
    <row r="4" spans="1:17" x14ac:dyDescent="0.3">
      <c r="A4" t="s">
        <v>302</v>
      </c>
      <c r="C4" s="108">
        <v>46352.98</v>
      </c>
      <c r="D4" s="108">
        <v>5130.4799999999996</v>
      </c>
      <c r="E4" s="108">
        <f t="shared" si="0"/>
        <v>51483.460000000006</v>
      </c>
      <c r="K4">
        <v>2016</v>
      </c>
    </row>
    <row r="5" spans="1:17" x14ac:dyDescent="0.3">
      <c r="A5" t="s">
        <v>262</v>
      </c>
      <c r="C5" s="108">
        <v>576</v>
      </c>
      <c r="D5" s="108">
        <v>438.9</v>
      </c>
      <c r="E5" s="108">
        <f t="shared" si="0"/>
        <v>1014.9</v>
      </c>
      <c r="K5">
        <v>2017</v>
      </c>
      <c r="N5">
        <v>1600</v>
      </c>
    </row>
    <row r="6" spans="1:17" x14ac:dyDescent="0.3">
      <c r="A6" t="s">
        <v>263</v>
      </c>
      <c r="C6" s="108">
        <v>19865.560000000001</v>
      </c>
      <c r="D6" s="108">
        <v>2198.7800000000002</v>
      </c>
      <c r="E6" s="108">
        <f t="shared" si="0"/>
        <v>22064.34</v>
      </c>
      <c r="K6">
        <v>2018</v>
      </c>
      <c r="N6">
        <v>1600</v>
      </c>
    </row>
    <row r="7" spans="1:17" x14ac:dyDescent="0.3">
      <c r="A7" t="s">
        <v>265</v>
      </c>
      <c r="D7" s="108">
        <v>2500</v>
      </c>
      <c r="E7" s="108">
        <f t="shared" si="0"/>
        <v>2500</v>
      </c>
      <c r="J7" t="s">
        <v>322</v>
      </c>
      <c r="K7">
        <v>2019</v>
      </c>
      <c r="N7">
        <v>1700</v>
      </c>
    </row>
    <row r="8" spans="1:17" x14ac:dyDescent="0.3">
      <c r="A8" t="s">
        <v>301</v>
      </c>
      <c r="C8">
        <v>0</v>
      </c>
      <c r="E8" s="108">
        <f t="shared" si="0"/>
        <v>0</v>
      </c>
      <c r="K8">
        <v>2020</v>
      </c>
      <c r="L8">
        <v>2000</v>
      </c>
      <c r="N8">
        <v>1700</v>
      </c>
    </row>
    <row r="9" spans="1:17" x14ac:dyDescent="0.3">
      <c r="A9" t="s">
        <v>327</v>
      </c>
      <c r="D9" s="108">
        <v>3652</v>
      </c>
      <c r="E9" s="108">
        <f t="shared" si="0"/>
        <v>3652</v>
      </c>
      <c r="K9">
        <v>2021</v>
      </c>
      <c r="L9">
        <v>2000</v>
      </c>
      <c r="N9">
        <v>1900</v>
      </c>
      <c r="O9">
        <f>N9*($P$3+$Q$3)</f>
        <v>3420</v>
      </c>
    </row>
    <row r="10" spans="1:17" x14ac:dyDescent="0.3">
      <c r="E10" s="108">
        <f t="shared" si="0"/>
        <v>0</v>
      </c>
      <c r="K10">
        <v>2022</v>
      </c>
      <c r="L10">
        <v>3000</v>
      </c>
      <c r="N10">
        <v>1900</v>
      </c>
      <c r="O10">
        <f>N10*($P$3+$Q$3)</f>
        <v>3420</v>
      </c>
    </row>
    <row r="11" spans="1:17" x14ac:dyDescent="0.3">
      <c r="E11" s="108">
        <f t="shared" si="0"/>
        <v>0</v>
      </c>
      <c r="K11">
        <v>2023</v>
      </c>
      <c r="N11">
        <v>2100</v>
      </c>
    </row>
    <row r="12" spans="1:17" x14ac:dyDescent="0.3">
      <c r="A12" s="99" t="s">
        <v>282</v>
      </c>
      <c r="B12" s="100">
        <f t="shared" ref="B12:D12" si="1">SUM(B3:B11)</f>
        <v>0</v>
      </c>
      <c r="C12" s="100">
        <f t="shared" si="1"/>
        <v>66973.540000000008</v>
      </c>
      <c r="D12" s="100">
        <f t="shared" si="1"/>
        <v>13925.16</v>
      </c>
      <c r="E12" s="109">
        <f>SUM(E3:E11)</f>
        <v>80898.700000000012</v>
      </c>
      <c r="K12">
        <v>2024</v>
      </c>
      <c r="N12">
        <v>2100</v>
      </c>
    </row>
    <row r="13" spans="1:17" x14ac:dyDescent="0.3">
      <c r="A13" t="s">
        <v>266</v>
      </c>
      <c r="E13" s="108">
        <f t="shared" ref="E13:E17" si="2">SUM(C13:D13)</f>
        <v>0</v>
      </c>
      <c r="K13">
        <v>2025</v>
      </c>
    </row>
    <row r="14" spans="1:17" x14ac:dyDescent="0.3">
      <c r="A14" t="s">
        <v>269</v>
      </c>
      <c r="C14">
        <f>C12</f>
        <v>66973.540000000008</v>
      </c>
      <c r="E14" s="108">
        <f t="shared" si="2"/>
        <v>66973.540000000008</v>
      </c>
      <c r="K14">
        <v>2026</v>
      </c>
    </row>
    <row r="15" spans="1:17" x14ac:dyDescent="0.3">
      <c r="A15" t="s">
        <v>267</v>
      </c>
      <c r="D15" s="108">
        <v>259</v>
      </c>
      <c r="E15" s="108">
        <f t="shared" si="2"/>
        <v>259</v>
      </c>
      <c r="K15">
        <v>2027</v>
      </c>
    </row>
    <row r="16" spans="1:17" x14ac:dyDescent="0.3">
      <c r="A16" t="s">
        <v>311</v>
      </c>
      <c r="B16" s="108">
        <v>1100</v>
      </c>
      <c r="D16" s="108">
        <v>1650</v>
      </c>
      <c r="E16" s="108"/>
    </row>
    <row r="17" spans="1:5" x14ac:dyDescent="0.3">
      <c r="A17" t="s">
        <v>0</v>
      </c>
      <c r="B17" s="108">
        <v>165</v>
      </c>
      <c r="D17" s="108">
        <v>165</v>
      </c>
      <c r="E17" s="108">
        <f t="shared" si="2"/>
        <v>165</v>
      </c>
    </row>
    <row r="18" spans="1:5" x14ac:dyDescent="0.3">
      <c r="A18" t="s">
        <v>268</v>
      </c>
      <c r="D18" s="108">
        <v>59</v>
      </c>
      <c r="E18" s="108">
        <f>SUM(C18:D18)</f>
        <v>59</v>
      </c>
    </row>
    <row r="19" spans="1:5" x14ac:dyDescent="0.3">
      <c r="A19" t="s">
        <v>281</v>
      </c>
      <c r="B19" s="100">
        <f t="shared" ref="B19:C19" si="3">SUM(B13:B18)</f>
        <v>1265</v>
      </c>
      <c r="C19" s="100">
        <f t="shared" si="3"/>
        <v>66973.540000000008</v>
      </c>
      <c r="D19" s="100">
        <f>SUM(D13:D18)</f>
        <v>2133</v>
      </c>
      <c r="E19" s="109">
        <f t="shared" ref="E19" si="4">SUM(E13:E18)</f>
        <v>67456.540000000008</v>
      </c>
    </row>
    <row r="20" spans="1:5" x14ac:dyDescent="0.3">
      <c r="A20" t="s">
        <v>280</v>
      </c>
      <c r="B20" s="100">
        <f>B12-B19</f>
        <v>-1265</v>
      </c>
      <c r="C20" s="100">
        <f>C12-C19</f>
        <v>0</v>
      </c>
      <c r="D20" s="100">
        <f t="shared" ref="D20:E20" si="5">D12-D19</f>
        <v>11792.16</v>
      </c>
      <c r="E20" s="109">
        <f t="shared" si="5"/>
        <v>13442.160000000003</v>
      </c>
    </row>
    <row r="21" spans="1:5" x14ac:dyDescent="0.3">
      <c r="A21" t="s">
        <v>279</v>
      </c>
      <c r="B21" s="101"/>
      <c r="C21" s="101">
        <f>ROUND(C20,0)</f>
        <v>0</v>
      </c>
      <c r="D21" s="101">
        <f>ROUND(D20,0)</f>
        <v>11792</v>
      </c>
      <c r="E21" s="109">
        <f>C21+D21</f>
        <v>11792</v>
      </c>
    </row>
    <row r="22" spans="1:5" x14ac:dyDescent="0.3">
      <c r="B22" s="106"/>
      <c r="C22" s="106">
        <f>C21*0.15</f>
        <v>0</v>
      </c>
      <c r="D22" s="106">
        <f>D21*0.15</f>
        <v>1768.8</v>
      </c>
      <c r="E22" s="108">
        <f t="shared" ref="E22:E25" si="6">SUM(C22:D22)</f>
        <v>1768.8</v>
      </c>
    </row>
    <row r="23" spans="1:5" x14ac:dyDescent="0.3">
      <c r="B23" s="106">
        <f>-B6</f>
        <v>0</v>
      </c>
      <c r="C23" s="106">
        <f>-C6</f>
        <v>-19865.560000000001</v>
      </c>
      <c r="D23" s="106">
        <f>-D6-0.48</f>
        <v>-2199.2600000000002</v>
      </c>
      <c r="E23" s="108">
        <f t="shared" si="6"/>
        <v>-22064.82</v>
      </c>
    </row>
    <row r="24" spans="1:5" x14ac:dyDescent="0.3">
      <c r="B24" s="106"/>
      <c r="C24" s="106"/>
      <c r="D24" s="106">
        <v>259</v>
      </c>
      <c r="E24" s="108">
        <f t="shared" si="6"/>
        <v>259</v>
      </c>
    </row>
    <row r="25" spans="1:5" x14ac:dyDescent="0.3">
      <c r="B25" s="113">
        <f t="shared" ref="B25" si="7">SUM(B22:B24)</f>
        <v>0</v>
      </c>
      <c r="C25" s="113">
        <f>SUM(C22:C24)</f>
        <v>-19865.560000000001</v>
      </c>
      <c r="D25" s="113">
        <f>SUM(D22:D24)</f>
        <v>-171.46000000000026</v>
      </c>
      <c r="E25" s="110">
        <f t="shared" si="6"/>
        <v>-20037.02</v>
      </c>
    </row>
    <row r="30" spans="1:5" x14ac:dyDescent="0.3">
      <c r="D30" t="s">
        <v>272</v>
      </c>
    </row>
    <row r="31" spans="1:5" x14ac:dyDescent="0.3">
      <c r="B31" s="107" t="s">
        <v>218</v>
      </c>
      <c r="C31" s="107"/>
      <c r="D31" s="107" t="s">
        <v>270</v>
      </c>
      <c r="E31" s="107" t="s">
        <v>271</v>
      </c>
    </row>
    <row r="32" spans="1:5" x14ac:dyDescent="0.3">
      <c r="A32" t="s">
        <v>272</v>
      </c>
      <c r="B32">
        <v>17202.14</v>
      </c>
      <c r="D32">
        <v>54097.19</v>
      </c>
      <c r="E32">
        <v>65280.92</v>
      </c>
    </row>
    <row r="33" spans="1:6" x14ac:dyDescent="0.3">
      <c r="A33" t="s">
        <v>284</v>
      </c>
      <c r="B33">
        <v>-375</v>
      </c>
    </row>
    <row r="34" spans="1:6" x14ac:dyDescent="0.3">
      <c r="A34" t="s">
        <v>283</v>
      </c>
    </row>
    <row r="35" spans="1:6" x14ac:dyDescent="0.3">
      <c r="A35" t="s">
        <v>285</v>
      </c>
    </row>
    <row r="36" spans="1:6" x14ac:dyDescent="0.3">
      <c r="A36" s="99" t="s">
        <v>286</v>
      </c>
      <c r="B36" s="100">
        <f>SUM(B32:B35)</f>
        <v>16827.14</v>
      </c>
      <c r="C36" s="100"/>
      <c r="D36" s="100">
        <f t="shared" ref="D36:E36" si="8">SUM(D32:D35)</f>
        <v>54097.19</v>
      </c>
      <c r="E36" s="100">
        <f t="shared" si="8"/>
        <v>65280.92</v>
      </c>
    </row>
    <row r="38" spans="1:6" x14ac:dyDescent="0.3">
      <c r="A38" t="s">
        <v>320</v>
      </c>
      <c r="B38">
        <v>162539.57</v>
      </c>
      <c r="D38">
        <v>412065.16</v>
      </c>
      <c r="E38">
        <v>498060.95999999996</v>
      </c>
    </row>
    <row r="39" spans="1:6" x14ac:dyDescent="0.3">
      <c r="A39" t="s">
        <v>318</v>
      </c>
      <c r="B39">
        <v>2500</v>
      </c>
      <c r="E39">
        <v>0</v>
      </c>
    </row>
    <row r="40" spans="1:6" x14ac:dyDescent="0.3">
      <c r="A40" t="s">
        <v>319</v>
      </c>
      <c r="D40">
        <v>-10300</v>
      </c>
      <c r="E40">
        <v>-14950</v>
      </c>
    </row>
    <row r="42" spans="1:6" x14ac:dyDescent="0.3">
      <c r="A42" t="s">
        <v>321</v>
      </c>
      <c r="B42" s="100">
        <f>SUM(B36:B41)</f>
        <v>181866.71000000002</v>
      </c>
      <c r="C42" s="99"/>
      <c r="D42" s="100">
        <f t="shared" ref="D42:E42" si="9">SUM(D36:D41)</f>
        <v>455862.35</v>
      </c>
      <c r="E42" s="100">
        <f t="shared" si="9"/>
        <v>548391.88</v>
      </c>
      <c r="F42">
        <f>SUM(B42:E42)</f>
        <v>1186120.94</v>
      </c>
    </row>
  </sheetData>
  <mergeCells count="1">
    <mergeCell ref="B1:C1"/>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
  <sheetViews>
    <sheetView topLeftCell="B1" workbookViewId="0">
      <selection activeCell="R18" sqref="R18"/>
    </sheetView>
  </sheetViews>
  <sheetFormatPr defaultColWidth="9.109375" defaultRowHeight="14.4" x14ac:dyDescent="0.3"/>
  <cols>
    <col min="1" max="1" width="0" style="4" hidden="1" customWidth="1"/>
    <col min="2" max="9" width="9.109375" style="4"/>
    <col min="10" max="10" width="13.6640625" style="4" customWidth="1"/>
    <col min="11" max="16384" width="9.109375" style="4"/>
  </cols>
  <sheetData>
    <row r="1" spans="2:14" s="20" customFormat="1" ht="15.6" x14ac:dyDescent="0.3">
      <c r="B1" s="135" t="str">
        <f>Cover!$B$22</f>
        <v>Infensus Superannuation Fund</v>
      </c>
      <c r="C1" s="135"/>
      <c r="D1" s="135"/>
      <c r="E1" s="135"/>
      <c r="F1" s="135"/>
      <c r="G1" s="135"/>
      <c r="H1" s="135"/>
      <c r="I1" s="135"/>
      <c r="J1" s="135"/>
      <c r="K1" s="18"/>
      <c r="L1" s="19"/>
      <c r="M1" s="18"/>
      <c r="N1" s="19"/>
    </row>
    <row r="2" spans="2:14" s="15" customFormat="1" ht="6.6" x14ac:dyDescent="0.15">
      <c r="B2" s="11"/>
      <c r="C2" s="12"/>
      <c r="D2" s="12"/>
      <c r="E2" s="12"/>
      <c r="F2" s="12"/>
      <c r="G2" s="12"/>
      <c r="H2" s="12"/>
      <c r="I2" s="12"/>
      <c r="J2" s="12"/>
      <c r="K2" s="13"/>
      <c r="L2" s="14"/>
      <c r="M2" s="13"/>
      <c r="N2" s="14"/>
    </row>
    <row r="3" spans="2:14" s="20" customFormat="1" ht="15.6" x14ac:dyDescent="0.3">
      <c r="B3" s="135" t="str">
        <f>Cover!$B$25</f>
        <v>Financial Statements</v>
      </c>
      <c r="C3" s="135"/>
      <c r="D3" s="135"/>
      <c r="E3" s="135"/>
      <c r="F3" s="135"/>
      <c r="G3" s="135"/>
      <c r="H3" s="135"/>
      <c r="I3" s="135"/>
      <c r="J3" s="135"/>
      <c r="K3" s="18"/>
      <c r="L3" s="19"/>
      <c r="M3" s="18"/>
      <c r="N3" s="19"/>
    </row>
    <row r="4" spans="2:14" s="20" customFormat="1" ht="15.6" x14ac:dyDescent="0.3">
      <c r="B4" s="134">
        <f>Cover!$B$26</f>
        <v>2023</v>
      </c>
      <c r="C4" s="134"/>
      <c r="D4" s="134"/>
      <c r="E4" s="134"/>
      <c r="F4" s="134"/>
      <c r="G4" s="134"/>
      <c r="H4" s="134"/>
      <c r="I4" s="134"/>
      <c r="J4" s="134"/>
      <c r="K4" s="18"/>
      <c r="L4" s="19"/>
      <c r="M4" s="18"/>
      <c r="N4" s="19"/>
    </row>
    <row r="5" spans="2:14" s="20" customFormat="1" ht="15.6" x14ac:dyDescent="0.3">
      <c r="B5" s="16"/>
      <c r="C5" s="17"/>
      <c r="D5" s="17"/>
      <c r="E5" s="17"/>
      <c r="F5" s="17"/>
      <c r="G5" s="17"/>
      <c r="H5" s="17"/>
      <c r="I5" s="17"/>
      <c r="J5" s="17"/>
      <c r="K5" s="18"/>
      <c r="L5" s="19"/>
      <c r="M5" s="18"/>
      <c r="N5" s="19"/>
    </row>
    <row r="6" spans="2:14" s="20" customFormat="1" ht="15.6" x14ac:dyDescent="0.3">
      <c r="B6" s="16"/>
      <c r="C6" s="17"/>
      <c r="D6" s="17"/>
      <c r="E6" s="17"/>
      <c r="F6" s="17"/>
      <c r="G6" s="17"/>
      <c r="H6" s="17"/>
      <c r="I6" s="17"/>
      <c r="J6" s="17"/>
      <c r="K6" s="18"/>
      <c r="L6" s="19"/>
      <c r="M6" s="18"/>
      <c r="N6" s="19"/>
    </row>
    <row r="7" spans="2:14" x14ac:dyDescent="0.3">
      <c r="B7" s="25"/>
      <c r="C7" s="1"/>
      <c r="D7" s="1"/>
      <c r="E7" s="1"/>
      <c r="F7" s="1"/>
      <c r="G7" s="1"/>
      <c r="H7" s="1"/>
      <c r="I7" s="1"/>
      <c r="J7" s="1"/>
      <c r="K7" s="2"/>
      <c r="L7" s="3"/>
      <c r="M7" s="2"/>
      <c r="N7" s="3"/>
    </row>
    <row r="8" spans="2:14" x14ac:dyDescent="0.3">
      <c r="B8" s="25"/>
      <c r="C8" s="1"/>
      <c r="D8" s="1"/>
      <c r="E8" s="1"/>
      <c r="F8" s="1"/>
      <c r="G8" s="1"/>
      <c r="H8" s="1"/>
      <c r="I8" s="1"/>
      <c r="J8" s="1"/>
      <c r="K8" s="2"/>
      <c r="L8" s="3"/>
      <c r="M8" s="2"/>
      <c r="N8" s="3"/>
    </row>
    <row r="9" spans="2:14" ht="31.5" customHeight="1" x14ac:dyDescent="0.3">
      <c r="B9" s="27"/>
      <c r="C9" s="1"/>
      <c r="D9" s="36" t="s">
        <v>10</v>
      </c>
      <c r="E9" s="1"/>
      <c r="F9" s="5"/>
      <c r="G9" s="1"/>
      <c r="H9" s="5"/>
      <c r="I9" s="5">
        <v>3</v>
      </c>
      <c r="J9" s="5"/>
      <c r="K9" s="2"/>
      <c r="L9" s="3"/>
      <c r="M9" s="2">
        <v>1</v>
      </c>
      <c r="N9" s="3"/>
    </row>
    <row r="10" spans="2:14" ht="31.5" customHeight="1" x14ac:dyDescent="0.3">
      <c r="B10" s="27"/>
      <c r="C10" s="1"/>
      <c r="D10" s="36" t="s">
        <v>11</v>
      </c>
      <c r="E10" s="1"/>
      <c r="F10" s="5"/>
      <c r="G10" s="1"/>
      <c r="H10" s="5"/>
      <c r="I10" s="5">
        <f>I9+M9</f>
        <v>4</v>
      </c>
      <c r="J10" s="5"/>
      <c r="K10" s="2"/>
      <c r="L10" s="3"/>
      <c r="M10" s="2">
        <v>1</v>
      </c>
      <c r="N10" s="3"/>
    </row>
    <row r="11" spans="2:14" ht="31.5" customHeight="1" x14ac:dyDescent="0.3">
      <c r="B11" s="27"/>
      <c r="C11" s="1"/>
      <c r="D11" s="36" t="s">
        <v>12</v>
      </c>
      <c r="E11" s="1"/>
      <c r="F11" s="5"/>
      <c r="G11" s="1"/>
      <c r="H11" s="5"/>
      <c r="I11" s="5">
        <f t="shared" ref="I11:I15" si="0">I10+M10</f>
        <v>5</v>
      </c>
      <c r="J11" s="5"/>
      <c r="K11" s="2"/>
      <c r="L11" s="3"/>
      <c r="M11" s="2">
        <v>6</v>
      </c>
      <c r="N11" s="3"/>
    </row>
    <row r="12" spans="2:14" ht="31.5" customHeight="1" x14ac:dyDescent="0.3">
      <c r="B12" s="27"/>
      <c r="C12" s="1"/>
      <c r="D12" s="36" t="s">
        <v>13</v>
      </c>
      <c r="E12" s="1"/>
      <c r="F12" s="5"/>
      <c r="G12" s="1"/>
      <c r="H12" s="5"/>
      <c r="I12" s="5">
        <f t="shared" si="0"/>
        <v>11</v>
      </c>
      <c r="J12" s="5"/>
      <c r="K12" s="2"/>
      <c r="L12" s="3"/>
      <c r="M12" s="2">
        <v>1</v>
      </c>
      <c r="N12" s="3"/>
    </row>
    <row r="13" spans="2:14" ht="31.5" customHeight="1" x14ac:dyDescent="0.3">
      <c r="B13" s="27"/>
      <c r="C13" s="1"/>
      <c r="D13" s="36" t="s">
        <v>14</v>
      </c>
      <c r="E13" s="1"/>
      <c r="F13" s="5"/>
      <c r="G13" s="1"/>
      <c r="H13" s="5"/>
      <c r="I13" s="5">
        <f t="shared" si="0"/>
        <v>12</v>
      </c>
      <c r="J13" s="5"/>
      <c r="K13" s="2"/>
      <c r="L13" s="3"/>
      <c r="M13" s="2">
        <v>1</v>
      </c>
      <c r="N13" s="3"/>
    </row>
    <row r="14" spans="2:14" ht="31.5" customHeight="1" x14ac:dyDescent="0.3">
      <c r="B14" s="27"/>
      <c r="C14" s="1"/>
      <c r="D14" s="38" t="s">
        <v>251</v>
      </c>
      <c r="E14" s="1"/>
      <c r="F14" s="5"/>
      <c r="G14" s="1"/>
      <c r="H14" s="5"/>
      <c r="I14" s="5">
        <f t="shared" si="0"/>
        <v>13</v>
      </c>
      <c r="J14" s="5"/>
      <c r="K14" s="2"/>
      <c r="L14" s="3"/>
      <c r="M14" s="2">
        <v>1</v>
      </c>
      <c r="N14" s="3"/>
    </row>
    <row r="15" spans="2:14" ht="31.5" customHeight="1" x14ac:dyDescent="0.3">
      <c r="B15" s="27"/>
      <c r="C15" s="1"/>
      <c r="D15" s="38" t="s">
        <v>252</v>
      </c>
      <c r="E15" s="1"/>
      <c r="F15" s="5"/>
      <c r="G15" s="1"/>
      <c r="H15" s="5"/>
      <c r="I15" s="5">
        <f t="shared" si="0"/>
        <v>14</v>
      </c>
      <c r="J15" s="5"/>
      <c r="K15" s="2"/>
      <c r="L15" s="3"/>
      <c r="M15" s="2">
        <v>6</v>
      </c>
      <c r="N15" s="3"/>
    </row>
    <row r="16" spans="2:14" ht="31.5" customHeight="1" x14ac:dyDescent="0.3">
      <c r="B16" s="27"/>
      <c r="C16" s="1"/>
      <c r="D16" s="36"/>
      <c r="E16" s="1"/>
      <c r="F16" s="5"/>
      <c r="G16" s="1"/>
      <c r="H16" s="5"/>
      <c r="I16" s="5"/>
      <c r="J16" s="5"/>
      <c r="K16" s="2"/>
      <c r="L16" s="3"/>
      <c r="M16" s="2"/>
      <c r="N16" s="3"/>
    </row>
    <row r="17" spans="2:14" x14ac:dyDescent="0.3">
      <c r="B17" s="35"/>
      <c r="C17" s="5"/>
      <c r="D17" s="5"/>
      <c r="E17" s="5"/>
      <c r="F17" s="5"/>
      <c r="G17" s="5"/>
      <c r="H17" s="5"/>
      <c r="I17" s="5"/>
      <c r="J17" s="5"/>
      <c r="K17" s="2"/>
      <c r="L17" s="3"/>
      <c r="M17" s="2"/>
      <c r="N17" s="3"/>
    </row>
    <row r="18" spans="2:14" x14ac:dyDescent="0.3">
      <c r="B18" s="35"/>
      <c r="C18" s="5"/>
      <c r="D18" s="5"/>
      <c r="E18" s="5"/>
      <c r="F18" s="5"/>
      <c r="G18" s="5"/>
      <c r="H18" s="5"/>
      <c r="I18" s="5"/>
      <c r="J18" s="5"/>
      <c r="K18" s="2"/>
      <c r="L18" s="3"/>
      <c r="M18" s="2"/>
      <c r="N18" s="3"/>
    </row>
    <row r="19" spans="2:14" x14ac:dyDescent="0.3">
      <c r="B19" s="35"/>
      <c r="C19" s="5"/>
      <c r="D19" s="5"/>
      <c r="E19" s="5"/>
      <c r="F19" s="5"/>
      <c r="G19" s="5"/>
      <c r="H19" s="5"/>
      <c r="I19" s="5"/>
      <c r="J19" s="5"/>
      <c r="K19" s="2"/>
      <c r="L19" s="3"/>
      <c r="M19" s="2"/>
      <c r="N19" s="3"/>
    </row>
    <row r="20" spans="2:14" x14ac:dyDescent="0.3">
      <c r="B20" s="35"/>
      <c r="C20" s="5"/>
      <c r="D20" s="5"/>
      <c r="E20" s="5"/>
      <c r="F20" s="5"/>
      <c r="G20" s="5"/>
      <c r="H20" s="5"/>
      <c r="I20" s="5"/>
      <c r="J20" s="5"/>
      <c r="K20" s="2"/>
      <c r="L20" s="3"/>
      <c r="M20" s="2"/>
      <c r="N20" s="3"/>
    </row>
    <row r="21" spans="2:14" x14ac:dyDescent="0.3">
      <c r="B21" s="35"/>
      <c r="C21" s="5"/>
      <c r="D21" s="5"/>
      <c r="E21" s="5"/>
      <c r="F21" s="5"/>
      <c r="G21" s="5"/>
      <c r="H21" s="5"/>
      <c r="I21" s="5"/>
      <c r="J21" s="5"/>
      <c r="K21" s="2"/>
      <c r="L21" s="3"/>
      <c r="M21" s="2"/>
      <c r="N21" s="3"/>
    </row>
  </sheetData>
  <mergeCells count="3">
    <mergeCell ref="B4:J4"/>
    <mergeCell ref="B3:J3"/>
    <mergeCell ref="B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30"/>
  <sheetViews>
    <sheetView topLeftCell="B4" workbookViewId="0">
      <pane xSplit="9" topLeftCell="AF1" activePane="topRight" state="frozenSplit"/>
      <selection activeCell="R18" sqref="R18"/>
      <selection pane="topRight" activeCell="R18" sqref="R18"/>
    </sheetView>
  </sheetViews>
  <sheetFormatPr defaultColWidth="9.109375" defaultRowHeight="14.4" x14ac:dyDescent="0.3"/>
  <cols>
    <col min="1" max="1" width="0" style="4" hidden="1" customWidth="1"/>
    <col min="2" max="4" width="3.33203125" style="51" customWidth="1"/>
    <col min="5" max="5" width="41" style="51" customWidth="1"/>
    <col min="6" max="6" width="10.6640625" style="62" customWidth="1"/>
    <col min="7" max="7" width="2" style="51" customWidth="1"/>
    <col min="8" max="8" width="10.6640625" style="52" customWidth="1"/>
    <col min="9" max="9" width="2" style="51" customWidth="1"/>
    <col min="10" max="10" width="10.6640625" style="52" customWidth="1"/>
    <col min="11" max="19" width="9.109375" style="4"/>
    <col min="20" max="20" width="9.5546875" style="4" customWidth="1"/>
    <col min="21" max="21" width="9.109375" style="4"/>
    <col min="22" max="22" width="10.6640625" style="4" bestFit="1" customWidth="1"/>
    <col min="23" max="26" width="9.109375" style="4"/>
    <col min="27" max="27" width="10" style="4" bestFit="1" customWidth="1"/>
    <col min="28" max="28" width="10.44140625" style="4" bestFit="1" customWidth="1"/>
    <col min="29" max="29" width="10" style="4" bestFit="1" customWidth="1"/>
    <col min="30" max="30" width="11" style="4" bestFit="1" customWidth="1"/>
    <col min="31" max="31" width="9.109375" style="4"/>
    <col min="32" max="32" width="10.44140625" style="4" bestFit="1" customWidth="1"/>
    <col min="33" max="33" width="10" style="4" bestFit="1" customWidth="1"/>
    <col min="34" max="34" width="11" style="4" bestFit="1" customWidth="1"/>
    <col min="35" max="35" width="10" style="4" bestFit="1" customWidth="1"/>
    <col min="36" max="16384" width="9.109375" style="4"/>
  </cols>
  <sheetData>
    <row r="1" spans="2:43" s="17" customFormat="1" ht="15.6" x14ac:dyDescent="0.3">
      <c r="B1" s="136" t="str">
        <f>Cover!$B$22</f>
        <v>Infensus Superannuation Fund</v>
      </c>
      <c r="C1" s="136"/>
      <c r="D1" s="136"/>
      <c r="E1" s="136"/>
      <c r="F1" s="136"/>
      <c r="G1" s="136"/>
      <c r="H1" s="136"/>
      <c r="I1" s="136"/>
      <c r="J1" s="136"/>
      <c r="N1" s="17" t="str">
        <f>N3&amp;N4</f>
        <v>G &amp; L2013</v>
      </c>
      <c r="O1" s="17" t="str">
        <f t="shared" ref="O1:AQ1" si="0">O3&amp;O4</f>
        <v>DGO2013</v>
      </c>
      <c r="P1" s="17" t="str">
        <f t="shared" si="0"/>
        <v>G &amp; L2014</v>
      </c>
      <c r="Q1" s="17" t="str">
        <f t="shared" si="0"/>
        <v>DGO2014</v>
      </c>
      <c r="R1" s="17" t="str">
        <f t="shared" si="0"/>
        <v>G &amp; L2015</v>
      </c>
      <c r="S1" s="17" t="str">
        <f t="shared" si="0"/>
        <v>DGO2015</v>
      </c>
      <c r="T1" s="17" t="str">
        <f t="shared" si="0"/>
        <v>G &amp; L2016</v>
      </c>
      <c r="U1" s="17" t="str">
        <f t="shared" si="0"/>
        <v>DGO2016</v>
      </c>
      <c r="V1" s="17" t="str">
        <f t="shared" si="0"/>
        <v>G &amp; L2017</v>
      </c>
      <c r="W1" s="17" t="str">
        <f t="shared" si="0"/>
        <v>DGO2017</v>
      </c>
      <c r="X1" s="17" t="str">
        <f t="shared" si="0"/>
        <v>G &amp; L2018</v>
      </c>
      <c r="Y1" s="17" t="str">
        <f t="shared" si="0"/>
        <v>DGO2018</v>
      </c>
      <c r="Z1" s="17" t="str">
        <f t="shared" si="0"/>
        <v>G &amp; L2019</v>
      </c>
      <c r="AA1" s="17" t="str">
        <f t="shared" si="0"/>
        <v>DGO2019</v>
      </c>
      <c r="AB1" s="17" t="str">
        <f t="shared" si="0"/>
        <v>G &amp; L2020</v>
      </c>
      <c r="AC1" s="17" t="str">
        <f t="shared" si="0"/>
        <v>DGO2020</v>
      </c>
      <c r="AD1" s="17" t="str">
        <f t="shared" si="0"/>
        <v>G &amp; L2021</v>
      </c>
      <c r="AE1" s="17" t="str">
        <f t="shared" si="0"/>
        <v>DGO2021</v>
      </c>
      <c r="AF1" s="17" t="str">
        <f t="shared" si="0"/>
        <v>G &amp; L2022</v>
      </c>
      <c r="AG1" s="17" t="str">
        <f t="shared" si="0"/>
        <v>DGO2022</v>
      </c>
      <c r="AH1" s="17" t="str">
        <f t="shared" si="0"/>
        <v>G &amp; L2023</v>
      </c>
      <c r="AI1" s="17" t="str">
        <f t="shared" si="0"/>
        <v>DGO2023</v>
      </c>
      <c r="AJ1" s="17" t="str">
        <f t="shared" si="0"/>
        <v>G &amp; L2024</v>
      </c>
      <c r="AK1" s="17" t="str">
        <f t="shared" si="0"/>
        <v>DGO2024</v>
      </c>
      <c r="AL1" s="17" t="str">
        <f t="shared" si="0"/>
        <v>G &amp; L2025</v>
      </c>
      <c r="AM1" s="17" t="str">
        <f t="shared" si="0"/>
        <v>DGO2025</v>
      </c>
      <c r="AN1" s="17" t="str">
        <f t="shared" si="0"/>
        <v>G &amp; L2026</v>
      </c>
      <c r="AO1" s="17" t="str">
        <f t="shared" si="0"/>
        <v>DGO2026</v>
      </c>
      <c r="AP1" s="17" t="str">
        <f t="shared" si="0"/>
        <v>G &amp; L2027</v>
      </c>
      <c r="AQ1" s="17" t="str">
        <f t="shared" si="0"/>
        <v>DGO2027</v>
      </c>
    </row>
    <row r="2" spans="2:43" s="12" customFormat="1" ht="8.25" customHeight="1" x14ac:dyDescent="0.15">
      <c r="B2" s="73"/>
      <c r="C2" s="42"/>
      <c r="D2" s="42"/>
      <c r="E2" s="42"/>
      <c r="F2" s="43"/>
      <c r="G2" s="42"/>
      <c r="H2" s="43"/>
      <c r="I2" s="42"/>
      <c r="J2" s="43"/>
    </row>
    <row r="3" spans="2:43" s="17" customFormat="1" ht="15.6" x14ac:dyDescent="0.3">
      <c r="B3" s="136" t="str">
        <f>Contents!$D$9</f>
        <v>Statement of Financial Position</v>
      </c>
      <c r="C3" s="136"/>
      <c r="D3" s="136"/>
      <c r="E3" s="136"/>
      <c r="F3" s="136"/>
      <c r="G3" s="136"/>
      <c r="H3" s="136"/>
      <c r="I3" s="136"/>
      <c r="J3" s="136"/>
      <c r="N3" s="17" t="s">
        <v>233</v>
      </c>
      <c r="O3" s="17" t="s">
        <v>218</v>
      </c>
      <c r="P3" s="17" t="s">
        <v>233</v>
      </c>
      <c r="Q3" s="17" t="s">
        <v>218</v>
      </c>
      <c r="R3" s="17" t="s">
        <v>233</v>
      </c>
      <c r="S3" s="17" t="s">
        <v>218</v>
      </c>
      <c r="T3" s="17" t="s">
        <v>233</v>
      </c>
      <c r="U3" s="17" t="s">
        <v>218</v>
      </c>
      <c r="V3" s="17" t="s">
        <v>233</v>
      </c>
      <c r="W3" s="17" t="s">
        <v>218</v>
      </c>
      <c r="X3" s="17" t="s">
        <v>233</v>
      </c>
      <c r="Y3" s="17" t="s">
        <v>218</v>
      </c>
      <c r="Z3" s="17" t="s">
        <v>233</v>
      </c>
      <c r="AA3" s="17" t="s">
        <v>218</v>
      </c>
      <c r="AB3" s="17" t="s">
        <v>233</v>
      </c>
      <c r="AC3" s="17" t="s">
        <v>218</v>
      </c>
      <c r="AD3" s="17" t="s">
        <v>233</v>
      </c>
      <c r="AE3" s="17" t="s">
        <v>218</v>
      </c>
      <c r="AF3" s="17" t="s">
        <v>233</v>
      </c>
      <c r="AG3" s="17" t="s">
        <v>218</v>
      </c>
      <c r="AH3" s="17" t="s">
        <v>233</v>
      </c>
      <c r="AI3" s="17" t="s">
        <v>218</v>
      </c>
      <c r="AJ3" s="17" t="s">
        <v>233</v>
      </c>
      <c r="AK3" s="17" t="s">
        <v>218</v>
      </c>
      <c r="AL3" s="17" t="s">
        <v>233</v>
      </c>
      <c r="AM3" s="17" t="s">
        <v>218</v>
      </c>
      <c r="AN3" s="17" t="s">
        <v>233</v>
      </c>
      <c r="AO3" s="17" t="s">
        <v>218</v>
      </c>
      <c r="AP3" s="17" t="s">
        <v>233</v>
      </c>
      <c r="AQ3" s="17" t="s">
        <v>218</v>
      </c>
    </row>
    <row r="4" spans="2:43" s="17" customFormat="1" ht="15.6" x14ac:dyDescent="0.3">
      <c r="B4" s="137">
        <f>Cover!$B$26</f>
        <v>2023</v>
      </c>
      <c r="C4" s="137"/>
      <c r="D4" s="137"/>
      <c r="E4" s="137"/>
      <c r="F4" s="137"/>
      <c r="G4" s="137"/>
      <c r="H4" s="137"/>
      <c r="I4" s="137"/>
      <c r="J4" s="137"/>
      <c r="N4" s="17">
        <v>2013</v>
      </c>
      <c r="O4" s="17">
        <v>2013</v>
      </c>
      <c r="P4" s="17">
        <v>2014</v>
      </c>
      <c r="Q4" s="17">
        <v>2014</v>
      </c>
      <c r="R4" s="17">
        <v>2015</v>
      </c>
      <c r="S4" s="17">
        <v>2015</v>
      </c>
      <c r="T4" s="17">
        <v>2016</v>
      </c>
      <c r="U4" s="17">
        <v>2016</v>
      </c>
      <c r="V4" s="17">
        <v>2017</v>
      </c>
      <c r="W4" s="17">
        <v>2017</v>
      </c>
      <c r="X4" s="17">
        <v>2018</v>
      </c>
      <c r="Y4" s="17">
        <v>2018</v>
      </c>
      <c r="Z4" s="17">
        <v>2019</v>
      </c>
      <c r="AA4" s="17">
        <v>2019</v>
      </c>
      <c r="AB4" s="17">
        <v>2020</v>
      </c>
      <c r="AC4" s="17">
        <v>2020</v>
      </c>
      <c r="AD4" s="17">
        <v>2021</v>
      </c>
      <c r="AE4" s="17">
        <v>2021</v>
      </c>
      <c r="AF4" s="17">
        <v>2022</v>
      </c>
      <c r="AG4" s="17">
        <v>2022</v>
      </c>
      <c r="AH4" s="17">
        <v>2023</v>
      </c>
      <c r="AI4" s="17">
        <v>2023</v>
      </c>
      <c r="AJ4" s="17">
        <v>2024</v>
      </c>
      <c r="AK4" s="17">
        <v>2024</v>
      </c>
      <c r="AL4" s="17">
        <v>2025</v>
      </c>
      <c r="AM4" s="17">
        <v>2025</v>
      </c>
      <c r="AN4" s="17">
        <v>2026</v>
      </c>
      <c r="AO4" s="17">
        <v>2026</v>
      </c>
      <c r="AP4" s="17">
        <v>2027</v>
      </c>
      <c r="AQ4" s="17">
        <v>2027</v>
      </c>
    </row>
    <row r="5" spans="2:43" s="20" customFormat="1" ht="8.25" customHeight="1" x14ac:dyDescent="0.3">
      <c r="B5" s="44"/>
      <c r="C5" s="63"/>
      <c r="D5" s="63"/>
      <c r="E5" s="63"/>
      <c r="F5" s="46"/>
      <c r="G5" s="63"/>
      <c r="H5" s="47"/>
      <c r="I5" s="63"/>
      <c r="J5" s="47"/>
      <c r="K5" s="17"/>
    </row>
    <row r="6" spans="2:43" s="17" customFormat="1" ht="15.6" x14ac:dyDescent="0.3">
      <c r="B6" s="75"/>
      <c r="C6" s="45"/>
      <c r="D6" s="45"/>
      <c r="E6" s="45"/>
      <c r="F6" s="48" t="s">
        <v>211</v>
      </c>
      <c r="G6" s="45"/>
      <c r="H6" s="49">
        <f>Cover!$B$26</f>
        <v>2023</v>
      </c>
      <c r="I6" s="49"/>
      <c r="J6" s="49">
        <f>H6-1</f>
        <v>2022</v>
      </c>
    </row>
    <row r="7" spans="2:43" s="17" customFormat="1" ht="15.6" x14ac:dyDescent="0.3">
      <c r="B7" s="75"/>
      <c r="C7" s="45"/>
      <c r="D7" s="45"/>
      <c r="E7" s="45"/>
      <c r="F7" s="46"/>
      <c r="G7" s="45"/>
      <c r="H7" s="48" t="s">
        <v>122</v>
      </c>
      <c r="I7" s="50"/>
      <c r="J7" s="48" t="s">
        <v>122</v>
      </c>
    </row>
    <row r="8" spans="2:43" s="20" customFormat="1" ht="8.25" customHeight="1" x14ac:dyDescent="0.3">
      <c r="B8" s="44"/>
      <c r="C8" s="63"/>
      <c r="D8" s="63"/>
      <c r="E8" s="63"/>
      <c r="F8" s="46"/>
      <c r="G8" s="63"/>
      <c r="H8" s="47"/>
      <c r="I8" s="63"/>
      <c r="J8" s="47"/>
      <c r="K8" s="17"/>
    </row>
    <row r="9" spans="2:43" x14ac:dyDescent="0.3">
      <c r="B9" s="36" t="s">
        <v>16</v>
      </c>
      <c r="D9" s="35"/>
      <c r="E9" s="35"/>
      <c r="F9" s="82">
        <v>2</v>
      </c>
      <c r="G9" s="35"/>
      <c r="H9" s="79">
        <f>IF(Cover!$R$18&gt;0,SUMIF($N$1:$AQ$1,Cover!$R$18&amp;H$6,$N9:$AQ9),SUMIF($N$4:$AQ$4,H$6,$N9:$AQ9))</f>
        <v>1131995.45</v>
      </c>
      <c r="I9" s="70"/>
      <c r="J9" s="79">
        <f>IF(Cover!$R$18&gt;0,SUMIF($N$1:$AQ$1,Cover!$R$18&amp;J$6,$N9:$AQ9),SUMIF($N$4:$AQ$4,J$6,$N9:$AQ9))</f>
        <v>989763.13000000012</v>
      </c>
      <c r="K9" s="5"/>
      <c r="N9" s="4">
        <v>267535.11</v>
      </c>
      <c r="O9" s="4">
        <v>23462.959999999999</v>
      </c>
      <c r="P9" s="4">
        <v>300788.87</v>
      </c>
      <c r="Q9" s="4">
        <v>19839.03</v>
      </c>
      <c r="R9" s="4">
        <v>728695.91</v>
      </c>
      <c r="S9" s="4">
        <v>25711.439999999999</v>
      </c>
      <c r="T9" s="4">
        <v>613303.79</v>
      </c>
      <c r="U9" s="4">
        <v>42622.57</v>
      </c>
      <c r="V9" s="4">
        <v>698465.65</v>
      </c>
      <c r="W9" s="4">
        <v>70137.14</v>
      </c>
      <c r="X9" s="4">
        <v>777589.46</v>
      </c>
      <c r="Y9" s="4">
        <v>87306.35</v>
      </c>
      <c r="Z9" s="4">
        <v>820355.64</v>
      </c>
      <c r="AA9" s="4">
        <v>116219.01</v>
      </c>
      <c r="AB9" s="4">
        <v>729491.13</v>
      </c>
      <c r="AC9" s="4">
        <v>82733.72</v>
      </c>
      <c r="AD9" s="4">
        <v>1002239.25</v>
      </c>
      <c r="AE9" s="4">
        <v>174718.8</v>
      </c>
      <c r="AF9" s="4">
        <v>857541.93</v>
      </c>
      <c r="AG9" s="4">
        <v>132221.20000000001</v>
      </c>
      <c r="AH9" s="4">
        <v>964845.61</v>
      </c>
      <c r="AI9" s="4">
        <v>167149.84</v>
      </c>
    </row>
    <row r="10" spans="2:43" ht="15" thickBot="1" x14ac:dyDescent="0.35">
      <c r="B10" s="29" t="s">
        <v>17</v>
      </c>
      <c r="C10" s="35"/>
      <c r="D10" s="35"/>
      <c r="E10" s="35"/>
      <c r="F10" s="82"/>
      <c r="G10" s="35"/>
      <c r="H10" s="90">
        <f>SUM(H9)</f>
        <v>1131995.45</v>
      </c>
      <c r="I10" s="35"/>
      <c r="J10" s="90">
        <f>SUM(J9)</f>
        <v>989763.13000000012</v>
      </c>
      <c r="K10" s="5"/>
      <c r="N10" s="4">
        <f>SUM(N9)</f>
        <v>267535.11</v>
      </c>
      <c r="O10" s="4">
        <f t="shared" ref="O10:AQ10" si="1">SUM(O9)</f>
        <v>23462.959999999999</v>
      </c>
      <c r="P10" s="4">
        <f t="shared" si="1"/>
        <v>300788.87</v>
      </c>
      <c r="Q10" s="4">
        <f t="shared" si="1"/>
        <v>19839.03</v>
      </c>
      <c r="R10" s="4">
        <f t="shared" si="1"/>
        <v>728695.91</v>
      </c>
      <c r="S10" s="4">
        <f t="shared" si="1"/>
        <v>25711.439999999999</v>
      </c>
      <c r="T10" s="4">
        <f t="shared" si="1"/>
        <v>613303.79</v>
      </c>
      <c r="U10" s="4">
        <f t="shared" si="1"/>
        <v>42622.57</v>
      </c>
      <c r="V10" s="4">
        <f t="shared" si="1"/>
        <v>698465.65</v>
      </c>
      <c r="W10" s="4">
        <f t="shared" si="1"/>
        <v>70137.14</v>
      </c>
      <c r="X10" s="4">
        <f t="shared" si="1"/>
        <v>777589.46</v>
      </c>
      <c r="Y10" s="4">
        <f t="shared" si="1"/>
        <v>87306.35</v>
      </c>
      <c r="Z10" s="4">
        <f t="shared" si="1"/>
        <v>820355.64</v>
      </c>
      <c r="AA10" s="4">
        <f t="shared" si="1"/>
        <v>116219.01</v>
      </c>
      <c r="AB10" s="4">
        <f t="shared" si="1"/>
        <v>729491.13</v>
      </c>
      <c r="AC10" s="4">
        <f t="shared" si="1"/>
        <v>82733.72</v>
      </c>
      <c r="AD10" s="4">
        <f t="shared" si="1"/>
        <v>1002239.25</v>
      </c>
      <c r="AE10" s="4">
        <f t="shared" si="1"/>
        <v>174718.8</v>
      </c>
      <c r="AF10" s="4">
        <f t="shared" si="1"/>
        <v>857541.93</v>
      </c>
      <c r="AG10" s="4">
        <f t="shared" si="1"/>
        <v>132221.20000000001</v>
      </c>
      <c r="AH10" s="4">
        <f t="shared" si="1"/>
        <v>964845.61</v>
      </c>
      <c r="AI10" s="4">
        <f t="shared" si="1"/>
        <v>167149.84</v>
      </c>
      <c r="AJ10" s="4">
        <f t="shared" si="1"/>
        <v>0</v>
      </c>
      <c r="AK10" s="4">
        <f t="shared" si="1"/>
        <v>0</v>
      </c>
      <c r="AL10" s="4">
        <f t="shared" si="1"/>
        <v>0</v>
      </c>
      <c r="AM10" s="4">
        <f t="shared" si="1"/>
        <v>0</v>
      </c>
      <c r="AN10" s="4">
        <f t="shared" si="1"/>
        <v>0</v>
      </c>
      <c r="AO10" s="4">
        <f t="shared" si="1"/>
        <v>0</v>
      </c>
      <c r="AP10" s="4">
        <f t="shared" si="1"/>
        <v>0</v>
      </c>
      <c r="AQ10" s="4">
        <f t="shared" si="1"/>
        <v>0</v>
      </c>
    </row>
    <row r="11" spans="2:43" ht="15" thickTop="1" x14ac:dyDescent="0.3">
      <c r="B11" s="35"/>
      <c r="C11" s="35"/>
      <c r="D11" s="35"/>
      <c r="E11" s="35"/>
      <c r="F11" s="82"/>
      <c r="G11" s="35"/>
      <c r="H11" s="79"/>
      <c r="I11" s="35"/>
      <c r="J11" s="79"/>
      <c r="K11" s="5"/>
    </row>
    <row r="12" spans="2:43" x14ac:dyDescent="0.3">
      <c r="B12" s="29" t="s">
        <v>18</v>
      </c>
      <c r="D12" s="35"/>
      <c r="E12" s="35"/>
      <c r="F12" s="82"/>
      <c r="G12" s="35"/>
      <c r="H12" s="79"/>
      <c r="I12" s="35"/>
      <c r="J12" s="79"/>
      <c r="K12" s="5"/>
    </row>
    <row r="13" spans="2:43" x14ac:dyDescent="0.3">
      <c r="B13" s="36" t="s">
        <v>19</v>
      </c>
      <c r="D13" s="35"/>
      <c r="E13" s="35"/>
      <c r="F13" s="82">
        <v>3</v>
      </c>
      <c r="G13" s="35"/>
      <c r="H13" s="79">
        <f>IF(Cover!$R$18&gt;0,SUMIF($N$1:$AQ$1,Cover!$R$18&amp;H$6,$N13:$AQ13),SUMIF($N$4:$AQ$4,H$6,$N13:$AQ13))</f>
        <v>28515.97</v>
      </c>
      <c r="I13" s="70"/>
      <c r="J13" s="79">
        <f>IF(Cover!$R$18&gt;0,SUMIF($N$1:$AQ$1,Cover!$R$18&amp;J$6,$N13:$AQ13),SUMIF($N$4:$AQ$4,J$6,$N13:$AQ13))</f>
        <v>57726.65</v>
      </c>
      <c r="K13" s="5"/>
      <c r="N13" s="4">
        <v>3014.74</v>
      </c>
      <c r="O13" s="4">
        <v>1412.11</v>
      </c>
      <c r="P13" s="4">
        <v>211.19</v>
      </c>
      <c r="Q13" s="4">
        <v>1127.5999999999999</v>
      </c>
      <c r="R13" s="4">
        <v>297273.74</v>
      </c>
      <c r="S13" s="4">
        <v>585.21</v>
      </c>
      <c r="T13" s="4">
        <v>23806.45</v>
      </c>
      <c r="U13" s="4">
        <v>8103.44</v>
      </c>
      <c r="V13" s="4">
        <v>1151.47</v>
      </c>
      <c r="W13" s="4">
        <v>7766.25</v>
      </c>
      <c r="X13" s="4">
        <v>6260.92</v>
      </c>
      <c r="Y13" s="4">
        <v>5908.87</v>
      </c>
      <c r="Z13" s="4">
        <v>6767.74</v>
      </c>
      <c r="AA13" s="4">
        <v>11043.97</v>
      </c>
      <c r="AB13" s="4">
        <v>1092.3</v>
      </c>
      <c r="AC13" s="4">
        <v>25166.560000000001</v>
      </c>
      <c r="AD13" s="4">
        <v>14129.75</v>
      </c>
      <c r="AE13" s="4">
        <v>1643.24</v>
      </c>
      <c r="AF13" s="4">
        <v>32249.65</v>
      </c>
      <c r="AG13" s="4">
        <v>25477</v>
      </c>
      <c r="AH13" s="4">
        <v>19543.060000000001</v>
      </c>
      <c r="AI13" s="4">
        <v>8972.91</v>
      </c>
    </row>
    <row r="14" spans="2:43" x14ac:dyDescent="0.3">
      <c r="B14" s="36" t="s">
        <v>234</v>
      </c>
      <c r="D14" s="35"/>
      <c r="E14" s="35"/>
      <c r="F14" s="82"/>
      <c r="G14" s="35"/>
      <c r="H14" s="79">
        <f>IF(Cover!$R$18&gt;0,SUMIF($N$1:$AQ$1,Cover!$R$18&amp;H$6,$N14:$AQ14)-SUMIF($N$1:$AQ$1,Cover!$R$18&amp;H$6,$N20:$AQ20),SUMIF($N$4:$AQ$4,H$6,$N14:$AQ14)-SUMIF($N$4:$AQ$4,H$6,$N20:$AQ20))</f>
        <v>20295.54</v>
      </c>
      <c r="I14" s="70"/>
      <c r="J14" s="79">
        <f>IF(Cover!$R$18&gt;0,SUMIF($N$1:$AQ$1,Cover!$R$18&amp;J$6,$N14:$AQ14)-SUMIF($N$1:$AQ$1,Cover!$R$18&amp;J$6,$N20:$AQ20),SUMIF($N$4:$AQ$4,J$6,$N14:$AQ14)-SUMIF($N$4:$AQ$4,J$6,$N20:$AQ20))</f>
        <v>18220.2</v>
      </c>
      <c r="K14" s="5"/>
      <c r="N14" s="4">
        <v>3600.62</v>
      </c>
      <c r="O14" s="4">
        <v>0</v>
      </c>
      <c r="P14" s="4">
        <v>7094.04</v>
      </c>
      <c r="Q14" s="4">
        <v>0</v>
      </c>
      <c r="R14" s="4">
        <v>12772.32</v>
      </c>
      <c r="T14" s="4">
        <v>15877.17</v>
      </c>
      <c r="V14" s="4">
        <v>15509.62</v>
      </c>
      <c r="X14" s="4">
        <v>16010.81</v>
      </c>
      <c r="Z14" s="4">
        <v>24359.96</v>
      </c>
      <c r="AB14" s="4">
        <v>16318.22</v>
      </c>
      <c r="AD14" s="4">
        <v>12060.38</v>
      </c>
      <c r="AE14" s="4">
        <v>341.69</v>
      </c>
      <c r="AF14" s="4">
        <v>20334.54</v>
      </c>
      <c r="AH14" s="4">
        <v>19865.560000000001</v>
      </c>
      <c r="AI14" s="4">
        <v>429.98</v>
      </c>
    </row>
    <row r="15" spans="2:43" x14ac:dyDescent="0.3">
      <c r="B15" s="36" t="s">
        <v>20</v>
      </c>
      <c r="D15" s="35"/>
      <c r="E15" s="35"/>
      <c r="F15" s="82">
        <v>11</v>
      </c>
      <c r="G15" s="35"/>
      <c r="H15" s="79">
        <f>IF(Cover!$R$18&gt;0,SUMIF($N$1:$AQ$1,Cover!$R$18&amp;H$6,$N15:$AQ15),SUMIF($N$4:$AQ$4,H$6,$N15:$AQ15))</f>
        <v>5313.98</v>
      </c>
      <c r="I15" s="70"/>
      <c r="J15" s="79">
        <f>IF(Cover!$R$18&gt;0,SUMIF($N$1:$AQ$1,Cover!$R$18&amp;J$6,$N15:$AQ15),SUMIF($N$4:$AQ$4,J$6,$N15:$AQ15))</f>
        <v>6955.71</v>
      </c>
      <c r="K15" s="5"/>
      <c r="N15" s="4">
        <v>0</v>
      </c>
      <c r="O15" s="4">
        <v>6717.83</v>
      </c>
      <c r="P15" s="4">
        <v>0</v>
      </c>
      <c r="Q15" s="4">
        <v>7341.23</v>
      </c>
      <c r="R15" s="4">
        <v>0</v>
      </c>
      <c r="S15" s="4">
        <v>6635.91</v>
      </c>
      <c r="U15" s="4">
        <v>5861.66</v>
      </c>
      <c r="W15" s="4">
        <v>3296.9</v>
      </c>
      <c r="Y15" s="4">
        <v>5633</v>
      </c>
      <c r="AA15" s="4">
        <v>4454.0200000000004</v>
      </c>
      <c r="AC15" s="4">
        <v>10872.92</v>
      </c>
      <c r="AE15" s="4">
        <v>581.07000000000005</v>
      </c>
      <c r="AG15" s="4">
        <v>6955.71</v>
      </c>
      <c r="AI15" s="4">
        <v>5313.98</v>
      </c>
    </row>
    <row r="16" spans="2:43" x14ac:dyDescent="0.3">
      <c r="B16" s="29" t="s">
        <v>21</v>
      </c>
      <c r="D16" s="35"/>
      <c r="E16" s="35"/>
      <c r="F16" s="82"/>
      <c r="G16" s="35"/>
      <c r="H16" s="89">
        <f>SUM(H13:H15)</f>
        <v>54125.490000000005</v>
      </c>
      <c r="I16" s="35"/>
      <c r="J16" s="89">
        <f>SUM(J13:J15)</f>
        <v>82902.560000000012</v>
      </c>
      <c r="K16" s="5"/>
      <c r="N16" s="4">
        <f>SUM(N13:N15)</f>
        <v>6615.36</v>
      </c>
      <c r="O16" s="4">
        <f t="shared" ref="O16:AQ16" si="2">SUM(O13:O15)</f>
        <v>8129.94</v>
      </c>
      <c r="P16" s="4">
        <f t="shared" si="2"/>
        <v>7305.23</v>
      </c>
      <c r="Q16" s="4">
        <f t="shared" si="2"/>
        <v>8468.83</v>
      </c>
      <c r="R16" s="4">
        <f t="shared" si="2"/>
        <v>310046.06</v>
      </c>
      <c r="S16" s="4">
        <f t="shared" si="2"/>
        <v>7221.12</v>
      </c>
      <c r="T16" s="4">
        <f t="shared" si="2"/>
        <v>39683.620000000003</v>
      </c>
      <c r="U16" s="4">
        <f t="shared" si="2"/>
        <v>13965.099999999999</v>
      </c>
      <c r="V16" s="4">
        <f t="shared" si="2"/>
        <v>16661.09</v>
      </c>
      <c r="W16" s="4">
        <f t="shared" si="2"/>
        <v>11063.15</v>
      </c>
      <c r="X16" s="4">
        <f t="shared" si="2"/>
        <v>22271.73</v>
      </c>
      <c r="Y16" s="4">
        <f t="shared" si="2"/>
        <v>11541.869999999999</v>
      </c>
      <c r="Z16" s="4">
        <f t="shared" si="2"/>
        <v>31127.699999999997</v>
      </c>
      <c r="AA16" s="4">
        <f t="shared" si="2"/>
        <v>15497.99</v>
      </c>
      <c r="AB16" s="4">
        <f t="shared" si="2"/>
        <v>17410.52</v>
      </c>
      <c r="AC16" s="4">
        <f t="shared" si="2"/>
        <v>36039.480000000003</v>
      </c>
      <c r="AD16" s="4">
        <f t="shared" si="2"/>
        <v>26190.129999999997</v>
      </c>
      <c r="AE16" s="4">
        <f t="shared" si="2"/>
        <v>2566</v>
      </c>
      <c r="AF16" s="4">
        <f t="shared" si="2"/>
        <v>52584.19</v>
      </c>
      <c r="AG16" s="4">
        <f t="shared" si="2"/>
        <v>32432.71</v>
      </c>
      <c r="AH16" s="4">
        <f t="shared" si="2"/>
        <v>39408.620000000003</v>
      </c>
      <c r="AI16" s="4">
        <f t="shared" si="2"/>
        <v>14716.869999999999</v>
      </c>
      <c r="AJ16" s="4">
        <f t="shared" si="2"/>
        <v>0</v>
      </c>
      <c r="AK16" s="4">
        <f t="shared" si="2"/>
        <v>0</v>
      </c>
      <c r="AL16" s="4">
        <f t="shared" si="2"/>
        <v>0</v>
      </c>
      <c r="AM16" s="4">
        <f t="shared" si="2"/>
        <v>0</v>
      </c>
      <c r="AN16" s="4">
        <f t="shared" si="2"/>
        <v>0</v>
      </c>
      <c r="AO16" s="4">
        <f t="shared" si="2"/>
        <v>0</v>
      </c>
      <c r="AP16" s="4">
        <f t="shared" si="2"/>
        <v>0</v>
      </c>
      <c r="AQ16" s="4">
        <f t="shared" si="2"/>
        <v>0</v>
      </c>
    </row>
    <row r="17" spans="2:43" ht="15" thickBot="1" x14ac:dyDescent="0.35">
      <c r="B17" s="29" t="s">
        <v>22</v>
      </c>
      <c r="D17" s="35"/>
      <c r="E17" s="35"/>
      <c r="F17" s="82"/>
      <c r="G17" s="35"/>
      <c r="H17" s="90">
        <f>H10+H16</f>
        <v>1186120.94</v>
      </c>
      <c r="I17" s="35"/>
      <c r="J17" s="90">
        <f>J10+J16</f>
        <v>1072665.6900000002</v>
      </c>
      <c r="K17" s="5"/>
      <c r="N17" s="4">
        <f>N10+N16</f>
        <v>274150.46999999997</v>
      </c>
      <c r="O17" s="4">
        <f t="shared" ref="O17:AQ17" si="3">O10+O16</f>
        <v>31592.899999999998</v>
      </c>
      <c r="P17" s="4">
        <f t="shared" si="3"/>
        <v>308094.09999999998</v>
      </c>
      <c r="Q17" s="4">
        <f t="shared" si="3"/>
        <v>28307.86</v>
      </c>
      <c r="R17" s="4">
        <f t="shared" si="3"/>
        <v>1038741.97</v>
      </c>
      <c r="S17" s="4">
        <f t="shared" si="3"/>
        <v>32932.559999999998</v>
      </c>
      <c r="T17" s="4">
        <f t="shared" si="3"/>
        <v>652987.41</v>
      </c>
      <c r="U17" s="4">
        <f t="shared" si="3"/>
        <v>56587.67</v>
      </c>
      <c r="V17" s="4">
        <f t="shared" si="3"/>
        <v>715126.74</v>
      </c>
      <c r="W17" s="4">
        <f t="shared" si="3"/>
        <v>81200.289999999994</v>
      </c>
      <c r="X17" s="4">
        <f t="shared" si="3"/>
        <v>799861.19</v>
      </c>
      <c r="Y17" s="4">
        <f t="shared" si="3"/>
        <v>98848.22</v>
      </c>
      <c r="Z17" s="4">
        <f t="shared" si="3"/>
        <v>851483.34</v>
      </c>
      <c r="AA17" s="4">
        <f t="shared" si="3"/>
        <v>131717</v>
      </c>
      <c r="AB17" s="4">
        <f t="shared" si="3"/>
        <v>746901.65</v>
      </c>
      <c r="AC17" s="4">
        <f t="shared" si="3"/>
        <v>118773.20000000001</v>
      </c>
      <c r="AD17" s="4">
        <f t="shared" si="3"/>
        <v>1028429.38</v>
      </c>
      <c r="AE17" s="4">
        <f t="shared" si="3"/>
        <v>177284.8</v>
      </c>
      <c r="AF17" s="4">
        <f t="shared" si="3"/>
        <v>910126.12000000011</v>
      </c>
      <c r="AG17" s="4">
        <f t="shared" si="3"/>
        <v>164653.91</v>
      </c>
      <c r="AH17" s="4">
        <f t="shared" si="3"/>
        <v>1004254.23</v>
      </c>
      <c r="AI17" s="4">
        <f t="shared" si="3"/>
        <v>181866.71</v>
      </c>
      <c r="AJ17" s="4">
        <f t="shared" si="3"/>
        <v>0</v>
      </c>
      <c r="AK17" s="4">
        <f t="shared" si="3"/>
        <v>0</v>
      </c>
      <c r="AL17" s="4">
        <f t="shared" si="3"/>
        <v>0</v>
      </c>
      <c r="AM17" s="4">
        <f t="shared" si="3"/>
        <v>0</v>
      </c>
      <c r="AN17" s="4">
        <f t="shared" si="3"/>
        <v>0</v>
      </c>
      <c r="AO17" s="4">
        <f t="shared" si="3"/>
        <v>0</v>
      </c>
      <c r="AP17" s="4">
        <f t="shared" si="3"/>
        <v>0</v>
      </c>
      <c r="AQ17" s="4">
        <f t="shared" si="3"/>
        <v>0</v>
      </c>
    </row>
    <row r="18" spans="2:43" ht="15" thickTop="1" x14ac:dyDescent="0.3">
      <c r="B18" s="36"/>
      <c r="D18" s="35"/>
      <c r="E18" s="35"/>
      <c r="F18" s="82"/>
      <c r="G18" s="35"/>
      <c r="H18" s="79"/>
      <c r="I18" s="35"/>
      <c r="J18" s="79"/>
      <c r="K18" s="5"/>
    </row>
    <row r="19" spans="2:43" x14ac:dyDescent="0.3">
      <c r="B19" s="29" t="s">
        <v>23</v>
      </c>
      <c r="D19" s="35"/>
      <c r="E19" s="35"/>
      <c r="F19" s="82"/>
      <c r="G19" s="35"/>
      <c r="H19" s="79"/>
      <c r="I19" s="35"/>
      <c r="J19" s="79"/>
      <c r="K19" s="5"/>
    </row>
    <row r="20" spans="2:43" x14ac:dyDescent="0.3">
      <c r="B20" s="36" t="s">
        <v>24</v>
      </c>
      <c r="D20" s="35"/>
      <c r="E20" s="35"/>
      <c r="F20" s="82"/>
      <c r="G20" s="35"/>
      <c r="H20" s="88">
        <v>0</v>
      </c>
      <c r="I20" s="70"/>
      <c r="J20" s="88">
        <v>0</v>
      </c>
      <c r="K20" s="5"/>
      <c r="O20" s="4">
        <v>802.53</v>
      </c>
      <c r="Q20" s="4">
        <v>26.53</v>
      </c>
      <c r="S20" s="4">
        <v>65.069999999999993</v>
      </c>
      <c r="U20" s="4">
        <v>2741.05</v>
      </c>
      <c r="W20" s="4">
        <v>2842.47</v>
      </c>
      <c r="Y20" s="4">
        <v>3107.09</v>
      </c>
      <c r="Z20" s="4">
        <v>0</v>
      </c>
      <c r="AA20" s="4">
        <v>2555.63</v>
      </c>
      <c r="AB20" s="4">
        <v>0</v>
      </c>
      <c r="AC20" s="4">
        <v>3185.51</v>
      </c>
      <c r="AG20" s="4">
        <v>2114.34</v>
      </c>
      <c r="AI20" s="4">
        <v>0</v>
      </c>
    </row>
    <row r="21" spans="2:43" x14ac:dyDescent="0.3">
      <c r="B21" s="29" t="s">
        <v>25</v>
      </c>
      <c r="D21" s="35"/>
      <c r="E21" s="35"/>
      <c r="F21" s="82"/>
      <c r="G21" s="35"/>
      <c r="H21" s="80">
        <f>SUM(H20)</f>
        <v>0</v>
      </c>
      <c r="I21" s="35"/>
      <c r="J21" s="80">
        <f>SUM(J20)</f>
        <v>0</v>
      </c>
      <c r="K21" s="5"/>
      <c r="N21" s="4">
        <f>SUM(N20)</f>
        <v>0</v>
      </c>
      <c r="O21" s="4">
        <f t="shared" ref="O21:AQ21" si="4">SUM(O20)</f>
        <v>802.53</v>
      </c>
      <c r="P21" s="4">
        <f t="shared" si="4"/>
        <v>0</v>
      </c>
      <c r="Q21" s="4">
        <f t="shared" si="4"/>
        <v>26.53</v>
      </c>
      <c r="R21" s="4">
        <f t="shared" si="4"/>
        <v>0</v>
      </c>
      <c r="S21" s="4">
        <f t="shared" si="4"/>
        <v>65.069999999999993</v>
      </c>
      <c r="T21" s="4">
        <f t="shared" si="4"/>
        <v>0</v>
      </c>
      <c r="U21" s="4">
        <f t="shared" si="4"/>
        <v>2741.05</v>
      </c>
      <c r="V21" s="4">
        <f t="shared" si="4"/>
        <v>0</v>
      </c>
      <c r="W21" s="4">
        <f t="shared" si="4"/>
        <v>2842.47</v>
      </c>
      <c r="X21" s="4">
        <f t="shared" si="4"/>
        <v>0</v>
      </c>
      <c r="Y21" s="4">
        <f t="shared" si="4"/>
        <v>3107.09</v>
      </c>
      <c r="Z21" s="4">
        <f t="shared" si="4"/>
        <v>0</v>
      </c>
      <c r="AA21" s="4">
        <f t="shared" si="4"/>
        <v>2555.63</v>
      </c>
      <c r="AB21" s="4">
        <f t="shared" si="4"/>
        <v>0</v>
      </c>
      <c r="AC21" s="4">
        <f t="shared" si="4"/>
        <v>3185.51</v>
      </c>
      <c r="AD21" s="4">
        <f t="shared" si="4"/>
        <v>0</v>
      </c>
      <c r="AE21" s="4">
        <f t="shared" si="4"/>
        <v>0</v>
      </c>
      <c r="AF21" s="4">
        <f t="shared" si="4"/>
        <v>0</v>
      </c>
      <c r="AG21" s="4">
        <f t="shared" si="4"/>
        <v>2114.34</v>
      </c>
      <c r="AH21" s="4">
        <f t="shared" si="4"/>
        <v>0</v>
      </c>
      <c r="AI21" s="4">
        <f t="shared" si="4"/>
        <v>0</v>
      </c>
      <c r="AJ21" s="4">
        <f t="shared" si="4"/>
        <v>0</v>
      </c>
      <c r="AK21" s="4">
        <f t="shared" si="4"/>
        <v>0</v>
      </c>
      <c r="AL21" s="4">
        <f t="shared" si="4"/>
        <v>0</v>
      </c>
      <c r="AM21" s="4">
        <f t="shared" si="4"/>
        <v>0</v>
      </c>
      <c r="AN21" s="4">
        <f t="shared" si="4"/>
        <v>0</v>
      </c>
      <c r="AO21" s="4">
        <f t="shared" si="4"/>
        <v>0</v>
      </c>
      <c r="AP21" s="4">
        <f t="shared" si="4"/>
        <v>0</v>
      </c>
      <c r="AQ21" s="4">
        <f t="shared" si="4"/>
        <v>0</v>
      </c>
    </row>
    <row r="22" spans="2:43" ht="15" thickBot="1" x14ac:dyDescent="0.35">
      <c r="B22" s="29" t="s">
        <v>26</v>
      </c>
      <c r="D22" s="35"/>
      <c r="E22" s="35"/>
      <c r="F22" s="82"/>
      <c r="G22" s="35"/>
      <c r="H22" s="90">
        <f>H17-H21</f>
        <v>1186120.94</v>
      </c>
      <c r="I22" s="35"/>
      <c r="J22" s="90">
        <f>J17-J21</f>
        <v>1072665.6900000002</v>
      </c>
      <c r="K22" s="5"/>
      <c r="N22" s="4">
        <f>N17-N21</f>
        <v>274150.46999999997</v>
      </c>
      <c r="O22" s="4">
        <f t="shared" ref="O22:AQ22" si="5">O17-O21</f>
        <v>30790.37</v>
      </c>
      <c r="P22" s="4">
        <f t="shared" si="5"/>
        <v>308094.09999999998</v>
      </c>
      <c r="Q22" s="4">
        <f t="shared" si="5"/>
        <v>28281.33</v>
      </c>
      <c r="R22" s="4">
        <f t="shared" si="5"/>
        <v>1038741.97</v>
      </c>
      <c r="S22" s="4">
        <f t="shared" si="5"/>
        <v>32867.49</v>
      </c>
      <c r="T22" s="4">
        <f t="shared" si="5"/>
        <v>652987.41</v>
      </c>
      <c r="U22" s="4">
        <f t="shared" si="5"/>
        <v>53846.619999999995</v>
      </c>
      <c r="V22" s="4">
        <f t="shared" si="5"/>
        <v>715126.74</v>
      </c>
      <c r="W22" s="4">
        <f t="shared" si="5"/>
        <v>78357.819999999992</v>
      </c>
      <c r="X22" s="4">
        <f t="shared" si="5"/>
        <v>799861.19</v>
      </c>
      <c r="Y22" s="4">
        <f t="shared" si="5"/>
        <v>95741.13</v>
      </c>
      <c r="Z22" s="4">
        <f t="shared" si="5"/>
        <v>851483.34</v>
      </c>
      <c r="AA22" s="4">
        <f t="shared" si="5"/>
        <v>129161.37</v>
      </c>
      <c r="AB22" s="4">
        <f t="shared" si="5"/>
        <v>746901.65</v>
      </c>
      <c r="AC22" s="4">
        <f t="shared" si="5"/>
        <v>115587.69000000002</v>
      </c>
      <c r="AD22" s="4">
        <f t="shared" si="5"/>
        <v>1028429.38</v>
      </c>
      <c r="AE22" s="4">
        <f t="shared" si="5"/>
        <v>177284.8</v>
      </c>
      <c r="AF22" s="4">
        <f t="shared" si="5"/>
        <v>910126.12000000011</v>
      </c>
      <c r="AG22" s="4">
        <f t="shared" si="5"/>
        <v>162539.57</v>
      </c>
      <c r="AH22" s="4">
        <f t="shared" si="5"/>
        <v>1004254.23</v>
      </c>
      <c r="AI22" s="4">
        <f t="shared" si="5"/>
        <v>181866.71</v>
      </c>
      <c r="AJ22" s="4">
        <f t="shared" si="5"/>
        <v>0</v>
      </c>
      <c r="AK22" s="4">
        <f t="shared" si="5"/>
        <v>0</v>
      </c>
      <c r="AL22" s="4">
        <f t="shared" si="5"/>
        <v>0</v>
      </c>
      <c r="AM22" s="4">
        <f t="shared" si="5"/>
        <v>0</v>
      </c>
      <c r="AN22" s="4">
        <f t="shared" si="5"/>
        <v>0</v>
      </c>
      <c r="AO22" s="4">
        <f t="shared" si="5"/>
        <v>0</v>
      </c>
      <c r="AP22" s="4">
        <f t="shared" si="5"/>
        <v>0</v>
      </c>
      <c r="AQ22" s="4">
        <f t="shared" si="5"/>
        <v>0</v>
      </c>
    </row>
    <row r="23" spans="2:43" ht="15" thickTop="1" x14ac:dyDescent="0.3">
      <c r="B23" s="28"/>
      <c r="D23" s="26"/>
      <c r="E23" s="26"/>
      <c r="F23" s="83"/>
      <c r="G23" s="26"/>
      <c r="H23" s="80"/>
      <c r="I23" s="35"/>
      <c r="J23" s="80"/>
      <c r="K23" s="6"/>
    </row>
    <row r="24" spans="2:43" x14ac:dyDescent="0.3">
      <c r="B24" s="36"/>
      <c r="D24" s="35"/>
      <c r="E24" s="35"/>
      <c r="F24" s="82"/>
      <c r="G24" s="35"/>
      <c r="H24" s="80"/>
      <c r="I24" s="64"/>
      <c r="J24" s="80"/>
      <c r="K24" s="5"/>
    </row>
    <row r="25" spans="2:43" x14ac:dyDescent="0.3">
      <c r="B25" s="36" t="s">
        <v>27</v>
      </c>
      <c r="D25" s="35"/>
      <c r="E25" s="35"/>
      <c r="F25" s="82"/>
      <c r="G25" s="35"/>
      <c r="H25" s="79"/>
      <c r="I25" s="35"/>
      <c r="J25" s="79"/>
      <c r="K25" s="5"/>
    </row>
    <row r="26" spans="2:43" x14ac:dyDescent="0.3">
      <c r="B26" s="29" t="s">
        <v>28</v>
      </c>
      <c r="D26" s="35"/>
      <c r="E26" s="35"/>
      <c r="F26" s="82"/>
      <c r="G26" s="35"/>
      <c r="H26" s="79"/>
      <c r="I26" s="35"/>
      <c r="J26" s="79"/>
      <c r="K26" s="5"/>
    </row>
    <row r="27" spans="2:43" x14ac:dyDescent="0.3">
      <c r="B27" s="36" t="s">
        <v>29</v>
      </c>
      <c r="D27" s="35"/>
      <c r="E27" s="35"/>
      <c r="F27" s="82"/>
      <c r="G27" s="35"/>
      <c r="H27" s="79">
        <f>H22</f>
        <v>1186120.94</v>
      </c>
      <c r="I27" s="35"/>
      <c r="J27" s="79">
        <f>J22</f>
        <v>1072665.6900000002</v>
      </c>
      <c r="K27" s="5"/>
      <c r="N27" s="4">
        <f>N22</f>
        <v>274150.46999999997</v>
      </c>
      <c r="O27" s="4">
        <f t="shared" ref="O27:AQ27" si="6">O22</f>
        <v>30790.37</v>
      </c>
      <c r="P27" s="4">
        <f t="shared" si="6"/>
        <v>308094.09999999998</v>
      </c>
      <c r="Q27" s="4">
        <f t="shared" si="6"/>
        <v>28281.33</v>
      </c>
      <c r="R27" s="4">
        <f t="shared" si="6"/>
        <v>1038741.97</v>
      </c>
      <c r="S27" s="4">
        <f t="shared" si="6"/>
        <v>32867.49</v>
      </c>
      <c r="T27" s="4">
        <f t="shared" si="6"/>
        <v>652987.41</v>
      </c>
      <c r="U27" s="4">
        <f t="shared" si="6"/>
        <v>53846.619999999995</v>
      </c>
      <c r="V27" s="4">
        <f t="shared" si="6"/>
        <v>715126.74</v>
      </c>
      <c r="W27" s="4">
        <f t="shared" si="6"/>
        <v>78357.819999999992</v>
      </c>
      <c r="X27" s="4">
        <f t="shared" si="6"/>
        <v>799861.19</v>
      </c>
      <c r="Y27" s="4">
        <f t="shared" si="6"/>
        <v>95741.13</v>
      </c>
      <c r="Z27" s="4">
        <f t="shared" si="6"/>
        <v>851483.34</v>
      </c>
      <c r="AA27" s="4">
        <f t="shared" si="6"/>
        <v>129161.37</v>
      </c>
      <c r="AB27" s="4">
        <f t="shared" si="6"/>
        <v>746901.65</v>
      </c>
      <c r="AC27" s="4">
        <f t="shared" si="6"/>
        <v>115587.69000000002</v>
      </c>
      <c r="AD27" s="4">
        <f t="shared" si="6"/>
        <v>1028429.38</v>
      </c>
      <c r="AE27" s="4">
        <f t="shared" si="6"/>
        <v>177284.8</v>
      </c>
      <c r="AF27" s="4">
        <f t="shared" si="6"/>
        <v>910126.12000000011</v>
      </c>
      <c r="AG27" s="4">
        <f t="shared" si="6"/>
        <v>162539.57</v>
      </c>
      <c r="AH27" s="4">
        <f t="shared" si="6"/>
        <v>1004254.23</v>
      </c>
      <c r="AI27" s="4">
        <f t="shared" si="6"/>
        <v>181866.71</v>
      </c>
      <c r="AJ27" s="4">
        <f t="shared" si="6"/>
        <v>0</v>
      </c>
      <c r="AK27" s="4">
        <f t="shared" si="6"/>
        <v>0</v>
      </c>
      <c r="AL27" s="4">
        <f t="shared" si="6"/>
        <v>0</v>
      </c>
      <c r="AM27" s="4">
        <f t="shared" si="6"/>
        <v>0</v>
      </c>
      <c r="AN27" s="4">
        <f t="shared" si="6"/>
        <v>0</v>
      </c>
      <c r="AO27" s="4">
        <f t="shared" si="6"/>
        <v>0</v>
      </c>
      <c r="AP27" s="4">
        <f t="shared" si="6"/>
        <v>0</v>
      </c>
      <c r="AQ27" s="4">
        <f t="shared" si="6"/>
        <v>0</v>
      </c>
    </row>
    <row r="28" spans="2:43" ht="15" thickBot="1" x14ac:dyDescent="0.35">
      <c r="B28" s="35"/>
      <c r="D28" s="35"/>
      <c r="E28" s="35"/>
      <c r="F28" s="82">
        <v>4</v>
      </c>
      <c r="G28" s="35"/>
      <c r="H28" s="90">
        <f>SUM(H27)</f>
        <v>1186120.94</v>
      </c>
      <c r="I28" s="35"/>
      <c r="J28" s="90">
        <f>SUM(J27)</f>
        <v>1072665.6900000002</v>
      </c>
      <c r="K28" s="5"/>
      <c r="N28" s="4">
        <f>SUM(N27)</f>
        <v>274150.46999999997</v>
      </c>
      <c r="O28" s="4">
        <f t="shared" ref="O28:AQ28" si="7">SUM(O27)</f>
        <v>30790.37</v>
      </c>
      <c r="P28" s="4">
        <f t="shared" si="7"/>
        <v>308094.09999999998</v>
      </c>
      <c r="Q28" s="4">
        <f t="shared" si="7"/>
        <v>28281.33</v>
      </c>
      <c r="R28" s="4">
        <f t="shared" si="7"/>
        <v>1038741.97</v>
      </c>
      <c r="S28" s="4">
        <f t="shared" si="7"/>
        <v>32867.49</v>
      </c>
      <c r="T28" s="4">
        <f t="shared" si="7"/>
        <v>652987.41</v>
      </c>
      <c r="U28" s="4">
        <f t="shared" si="7"/>
        <v>53846.619999999995</v>
      </c>
      <c r="V28" s="4">
        <f t="shared" si="7"/>
        <v>715126.74</v>
      </c>
      <c r="W28" s="4">
        <f t="shared" si="7"/>
        <v>78357.819999999992</v>
      </c>
      <c r="X28" s="4">
        <f t="shared" si="7"/>
        <v>799861.19</v>
      </c>
      <c r="Y28" s="4">
        <f t="shared" si="7"/>
        <v>95741.13</v>
      </c>
      <c r="Z28" s="4">
        <f t="shared" si="7"/>
        <v>851483.34</v>
      </c>
      <c r="AA28" s="4">
        <f t="shared" si="7"/>
        <v>129161.37</v>
      </c>
      <c r="AB28" s="4">
        <f t="shared" si="7"/>
        <v>746901.65</v>
      </c>
      <c r="AC28" s="4">
        <f t="shared" si="7"/>
        <v>115587.69000000002</v>
      </c>
      <c r="AD28" s="4">
        <f t="shared" si="7"/>
        <v>1028429.38</v>
      </c>
      <c r="AE28" s="4">
        <f t="shared" si="7"/>
        <v>177284.8</v>
      </c>
      <c r="AF28" s="4">
        <f t="shared" si="7"/>
        <v>910126.12000000011</v>
      </c>
      <c r="AG28" s="4">
        <f t="shared" si="7"/>
        <v>162539.57</v>
      </c>
      <c r="AH28" s="4">
        <f t="shared" si="7"/>
        <v>1004254.23</v>
      </c>
      <c r="AI28" s="4">
        <f t="shared" si="7"/>
        <v>181866.71</v>
      </c>
      <c r="AJ28" s="4">
        <f t="shared" si="7"/>
        <v>0</v>
      </c>
      <c r="AK28" s="4">
        <f t="shared" si="7"/>
        <v>0</v>
      </c>
      <c r="AL28" s="4">
        <f t="shared" si="7"/>
        <v>0</v>
      </c>
      <c r="AM28" s="4">
        <f t="shared" si="7"/>
        <v>0</v>
      </c>
      <c r="AN28" s="4">
        <f t="shared" si="7"/>
        <v>0</v>
      </c>
      <c r="AO28" s="4">
        <f t="shared" si="7"/>
        <v>0</v>
      </c>
      <c r="AP28" s="4">
        <f t="shared" si="7"/>
        <v>0</v>
      </c>
      <c r="AQ28" s="4">
        <f t="shared" si="7"/>
        <v>0</v>
      </c>
    </row>
    <row r="29" spans="2:43" ht="15" thickTop="1" x14ac:dyDescent="0.3">
      <c r="B29" s="26"/>
      <c r="C29" s="26"/>
      <c r="D29" s="26"/>
      <c r="E29" s="26"/>
      <c r="F29" s="83"/>
      <c r="G29" s="26"/>
      <c r="H29" s="80"/>
      <c r="I29" s="35"/>
      <c r="J29" s="80"/>
      <c r="K29" s="6"/>
    </row>
    <row r="30" spans="2:43" x14ac:dyDescent="0.3">
      <c r="B30" s="26"/>
      <c r="C30" s="26"/>
      <c r="D30" s="26"/>
      <c r="E30" s="26"/>
      <c r="F30" s="83"/>
      <c r="G30" s="26"/>
      <c r="H30" s="81"/>
      <c r="I30" s="65"/>
      <c r="J30" s="81"/>
      <c r="K30" s="6"/>
      <c r="Y30" s="118"/>
    </row>
  </sheetData>
  <mergeCells count="3">
    <mergeCell ref="B1:J1"/>
    <mergeCell ref="B3:J3"/>
    <mergeCell ref="B4:J4"/>
  </mergeCells>
  <pageMargins left="0.70866141732283472" right="0.70866141732283472" top="0.74803149606299213" bottom="0.74803149606299213" header="0.31496062992125984" footer="0.31496062992125984"/>
  <pageSetup paperSize="9" orientation="portrait" r:id="rId1"/>
  <headerFooter>
    <oddHeader>&amp;RPage &amp;P</oddHeader>
    <oddFooter>&amp;C&amp;8The accompanying notes form part of these financial statements
This report should be read in conjunction with the following compilation report of Best Tax Strategies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6"/>
  <sheetViews>
    <sheetView topLeftCell="B1" workbookViewId="0">
      <pane xSplit="9" ySplit="7" topLeftCell="AC14" activePane="bottomRight" state="frozenSplit"/>
      <selection activeCell="R18" sqref="R18"/>
      <selection pane="topRight" activeCell="R18" sqref="R18"/>
      <selection pane="bottomLeft" activeCell="R18" sqref="R18"/>
      <selection pane="bottomRight" activeCell="R18" sqref="R18"/>
    </sheetView>
  </sheetViews>
  <sheetFormatPr defaultColWidth="9.109375" defaultRowHeight="14.4" x14ac:dyDescent="0.3"/>
  <cols>
    <col min="1" max="1" width="0" style="4" hidden="1" customWidth="1"/>
    <col min="2" max="4" width="3.33203125" style="51" customWidth="1"/>
    <col min="5" max="5" width="41" style="51" customWidth="1"/>
    <col min="6" max="6" width="10.6640625" style="62" customWidth="1"/>
    <col min="7" max="7" width="2" style="51" customWidth="1"/>
    <col min="8" max="8" width="10.6640625" style="52" customWidth="1"/>
    <col min="9" max="9" width="2" style="51" customWidth="1"/>
    <col min="10" max="10" width="10.6640625" style="52" customWidth="1"/>
    <col min="11" max="19" width="9.109375" style="4"/>
    <col min="20" max="20" width="10.44140625" style="4" bestFit="1" customWidth="1"/>
    <col min="21" max="21" width="9.109375" style="4"/>
    <col min="22" max="22" width="10.6640625" style="4" bestFit="1" customWidth="1"/>
    <col min="23" max="23" width="9.109375" style="4"/>
    <col min="24" max="24" width="10.44140625" style="4" bestFit="1" customWidth="1"/>
    <col min="25" max="25" width="9.109375" style="4"/>
    <col min="26" max="26" width="10.44140625" style="4" bestFit="1" customWidth="1"/>
    <col min="27" max="27" width="9.109375" style="4"/>
    <col min="28" max="28" width="10.6640625" style="4" bestFit="1" customWidth="1"/>
    <col min="29" max="29" width="9.6640625" style="4" bestFit="1" customWidth="1"/>
    <col min="30" max="31" width="9.109375" style="4"/>
    <col min="32" max="32" width="10.6640625" style="4" bestFit="1" customWidth="1"/>
    <col min="33" max="33" width="9.6640625" style="4" bestFit="1" customWidth="1"/>
    <col min="34" max="16384" width="9.109375" style="4"/>
  </cols>
  <sheetData>
    <row r="1" spans="2:43" s="17" customFormat="1" ht="15.6" x14ac:dyDescent="0.3">
      <c r="B1" s="136" t="str">
        <f>Cover!$B$22</f>
        <v>Infensus Superannuation Fund</v>
      </c>
      <c r="C1" s="136"/>
      <c r="D1" s="136"/>
      <c r="E1" s="136"/>
      <c r="F1" s="136"/>
      <c r="G1" s="136"/>
      <c r="H1" s="136"/>
      <c r="I1" s="136"/>
      <c r="J1" s="136"/>
      <c r="N1" s="17" t="str">
        <f>N3&amp;N4</f>
        <v>G &amp; L2013</v>
      </c>
      <c r="O1" s="17" t="str">
        <f t="shared" ref="O1:AQ1" si="0">O3&amp;O4</f>
        <v>DGO2013</v>
      </c>
      <c r="P1" s="17" t="str">
        <f t="shared" si="0"/>
        <v>G &amp; L2014</v>
      </c>
      <c r="Q1" s="17" t="str">
        <f t="shared" si="0"/>
        <v>DGO2014</v>
      </c>
      <c r="R1" s="17" t="str">
        <f t="shared" si="0"/>
        <v>G &amp; L2015</v>
      </c>
      <c r="S1" s="17" t="str">
        <f t="shared" si="0"/>
        <v>DGO2015</v>
      </c>
      <c r="T1" s="17" t="str">
        <f t="shared" si="0"/>
        <v>G &amp; L2016</v>
      </c>
      <c r="U1" s="17" t="str">
        <f t="shared" si="0"/>
        <v>DGO2016</v>
      </c>
      <c r="V1" s="17" t="str">
        <f t="shared" si="0"/>
        <v>G &amp; L2017</v>
      </c>
      <c r="W1" s="17" t="str">
        <f t="shared" si="0"/>
        <v>DGO2017</v>
      </c>
      <c r="X1" s="17" t="str">
        <f t="shared" si="0"/>
        <v>G &amp; L2018</v>
      </c>
      <c r="Y1" s="17" t="str">
        <f t="shared" si="0"/>
        <v>DGO2018</v>
      </c>
      <c r="Z1" s="17" t="str">
        <f t="shared" si="0"/>
        <v>G &amp; L2019</v>
      </c>
      <c r="AA1" s="17" t="str">
        <f t="shared" si="0"/>
        <v>DGO2019</v>
      </c>
      <c r="AB1" s="17" t="str">
        <f t="shared" si="0"/>
        <v>G &amp; L2020</v>
      </c>
      <c r="AC1" s="17" t="str">
        <f t="shared" si="0"/>
        <v>DGO2020</v>
      </c>
      <c r="AD1" s="17" t="str">
        <f t="shared" si="0"/>
        <v>G &amp; L2021</v>
      </c>
      <c r="AE1" s="17" t="str">
        <f t="shared" si="0"/>
        <v>DGO2021</v>
      </c>
      <c r="AF1" s="17" t="str">
        <f t="shared" si="0"/>
        <v>G &amp; L2022</v>
      </c>
      <c r="AG1" s="17" t="str">
        <f t="shared" si="0"/>
        <v>DGO2022</v>
      </c>
      <c r="AH1" s="17" t="str">
        <f t="shared" si="0"/>
        <v>G &amp; L2023</v>
      </c>
      <c r="AI1" s="17" t="str">
        <f t="shared" si="0"/>
        <v>DGO2023</v>
      </c>
      <c r="AJ1" s="17" t="str">
        <f t="shared" si="0"/>
        <v>G &amp; L2024</v>
      </c>
      <c r="AK1" s="17" t="str">
        <f t="shared" si="0"/>
        <v>DGO2024</v>
      </c>
      <c r="AL1" s="17" t="str">
        <f t="shared" si="0"/>
        <v>G &amp; L2025</v>
      </c>
      <c r="AM1" s="17" t="str">
        <f t="shared" si="0"/>
        <v>DGO2025</v>
      </c>
      <c r="AN1" s="17" t="str">
        <f t="shared" si="0"/>
        <v>G &amp; L2026</v>
      </c>
      <c r="AO1" s="17" t="str">
        <f t="shared" si="0"/>
        <v>DGO2026</v>
      </c>
      <c r="AP1" s="17" t="str">
        <f t="shared" si="0"/>
        <v>G &amp; L2027</v>
      </c>
      <c r="AQ1" s="17" t="str">
        <f t="shared" si="0"/>
        <v>DGO2027</v>
      </c>
    </row>
    <row r="2" spans="2:43" s="12" customFormat="1" ht="6.6" x14ac:dyDescent="0.15">
      <c r="B2" s="73"/>
      <c r="C2" s="42"/>
      <c r="D2" s="42"/>
      <c r="E2" s="42"/>
      <c r="F2" s="43"/>
      <c r="G2" s="42"/>
      <c r="H2" s="43"/>
      <c r="I2" s="42"/>
      <c r="J2" s="43"/>
    </row>
    <row r="3" spans="2:43" s="17" customFormat="1" ht="15.6" x14ac:dyDescent="0.3">
      <c r="B3" s="136" t="str">
        <f>Contents!$D$10</f>
        <v>Operating Statement</v>
      </c>
      <c r="C3" s="136"/>
      <c r="D3" s="136"/>
      <c r="E3" s="136"/>
      <c r="F3" s="136"/>
      <c r="G3" s="136"/>
      <c r="H3" s="136"/>
      <c r="I3" s="136"/>
      <c r="J3" s="136"/>
      <c r="N3" s="17" t="s">
        <v>233</v>
      </c>
      <c r="O3" s="17" t="s">
        <v>218</v>
      </c>
      <c r="P3" s="17" t="s">
        <v>233</v>
      </c>
      <c r="Q3" s="17" t="s">
        <v>218</v>
      </c>
      <c r="R3" s="17" t="s">
        <v>233</v>
      </c>
      <c r="S3" s="17" t="s">
        <v>218</v>
      </c>
      <c r="T3" s="17" t="s">
        <v>233</v>
      </c>
      <c r="U3" s="17" t="s">
        <v>218</v>
      </c>
      <c r="V3" s="17" t="s">
        <v>233</v>
      </c>
      <c r="W3" s="17" t="s">
        <v>218</v>
      </c>
      <c r="X3" s="17" t="s">
        <v>233</v>
      </c>
      <c r="Y3" s="17" t="s">
        <v>218</v>
      </c>
      <c r="Z3" s="17" t="s">
        <v>233</v>
      </c>
      <c r="AA3" s="17" t="s">
        <v>218</v>
      </c>
      <c r="AB3" s="17" t="s">
        <v>233</v>
      </c>
      <c r="AC3" s="17" t="s">
        <v>218</v>
      </c>
      <c r="AD3" s="17" t="s">
        <v>233</v>
      </c>
      <c r="AE3" s="17" t="s">
        <v>218</v>
      </c>
      <c r="AF3" s="17" t="s">
        <v>233</v>
      </c>
      <c r="AG3" s="17" t="s">
        <v>218</v>
      </c>
      <c r="AH3" s="17" t="s">
        <v>233</v>
      </c>
      <c r="AI3" s="17" t="s">
        <v>218</v>
      </c>
      <c r="AJ3" s="17" t="s">
        <v>233</v>
      </c>
      <c r="AK3" s="17" t="s">
        <v>218</v>
      </c>
      <c r="AL3" s="17" t="s">
        <v>233</v>
      </c>
      <c r="AM3" s="17" t="s">
        <v>218</v>
      </c>
      <c r="AN3" s="17" t="s">
        <v>233</v>
      </c>
      <c r="AO3" s="17" t="s">
        <v>218</v>
      </c>
      <c r="AP3" s="17" t="s">
        <v>233</v>
      </c>
      <c r="AQ3" s="17" t="s">
        <v>218</v>
      </c>
    </row>
    <row r="4" spans="2:43" s="17" customFormat="1" ht="15.6" x14ac:dyDescent="0.3">
      <c r="B4" s="137">
        <f>Cover!$B$26</f>
        <v>2023</v>
      </c>
      <c r="C4" s="137"/>
      <c r="D4" s="137"/>
      <c r="E4" s="137"/>
      <c r="F4" s="137"/>
      <c r="G4" s="137"/>
      <c r="H4" s="137"/>
      <c r="I4" s="137"/>
      <c r="J4" s="137"/>
      <c r="N4" s="17">
        <v>2013</v>
      </c>
      <c r="O4" s="17">
        <v>2013</v>
      </c>
      <c r="P4" s="17">
        <v>2014</v>
      </c>
      <c r="Q4" s="17">
        <v>2014</v>
      </c>
      <c r="R4" s="17">
        <v>2015</v>
      </c>
      <c r="S4" s="17">
        <v>2015</v>
      </c>
      <c r="T4" s="17">
        <v>2016</v>
      </c>
      <c r="U4" s="17">
        <v>2016</v>
      </c>
      <c r="V4" s="17">
        <v>2017</v>
      </c>
      <c r="W4" s="17">
        <v>2017</v>
      </c>
      <c r="X4" s="17">
        <v>2018</v>
      </c>
      <c r="Y4" s="17">
        <v>2018</v>
      </c>
      <c r="Z4" s="17">
        <v>2019</v>
      </c>
      <c r="AA4" s="17">
        <v>2019</v>
      </c>
      <c r="AB4" s="17">
        <v>2020</v>
      </c>
      <c r="AC4" s="17">
        <v>2020</v>
      </c>
      <c r="AD4" s="17">
        <v>2021</v>
      </c>
      <c r="AE4" s="17">
        <v>2021</v>
      </c>
      <c r="AF4" s="17">
        <v>2022</v>
      </c>
      <c r="AG4" s="17">
        <v>2022</v>
      </c>
      <c r="AH4" s="17">
        <v>2023</v>
      </c>
      <c r="AI4" s="17">
        <v>2023</v>
      </c>
      <c r="AJ4" s="17">
        <v>2024</v>
      </c>
      <c r="AK4" s="17">
        <v>2024</v>
      </c>
      <c r="AL4" s="17">
        <v>2025</v>
      </c>
      <c r="AM4" s="17">
        <v>2025</v>
      </c>
      <c r="AN4" s="17">
        <v>2026</v>
      </c>
      <c r="AO4" s="17">
        <v>2026</v>
      </c>
      <c r="AP4" s="17">
        <v>2027</v>
      </c>
      <c r="AQ4" s="17">
        <v>2027</v>
      </c>
    </row>
    <row r="5" spans="2:43" s="20" customFormat="1" ht="8.25" customHeight="1" x14ac:dyDescent="0.3">
      <c r="B5" s="44"/>
      <c r="C5" s="63"/>
      <c r="D5" s="63"/>
      <c r="E5" s="63"/>
      <c r="F5" s="46"/>
      <c r="G5" s="63"/>
      <c r="H5" s="47"/>
      <c r="I5" s="63"/>
      <c r="J5" s="47"/>
      <c r="K5" s="17"/>
    </row>
    <row r="6" spans="2:43" s="17" customFormat="1" ht="15.6" x14ac:dyDescent="0.3">
      <c r="B6" s="75"/>
      <c r="C6" s="45"/>
      <c r="D6" s="45"/>
      <c r="E6" s="45"/>
      <c r="F6" s="48" t="s">
        <v>211</v>
      </c>
      <c r="G6" s="45"/>
      <c r="H6" s="49">
        <f>Cover!$B$26</f>
        <v>2023</v>
      </c>
      <c r="I6" s="49"/>
      <c r="J6" s="49">
        <f>H6-1</f>
        <v>2022</v>
      </c>
    </row>
    <row r="7" spans="2:43" s="17" customFormat="1" ht="15.6" x14ac:dyDescent="0.3">
      <c r="B7" s="75"/>
      <c r="C7" s="45"/>
      <c r="D7" s="45"/>
      <c r="E7" s="45"/>
      <c r="F7" s="46"/>
      <c r="G7" s="45"/>
      <c r="H7" s="48" t="s">
        <v>122</v>
      </c>
      <c r="I7" s="50"/>
      <c r="J7" s="48" t="s">
        <v>122</v>
      </c>
    </row>
    <row r="8" spans="2:43" s="20" customFormat="1" ht="8.25" customHeight="1" x14ac:dyDescent="0.3">
      <c r="B8" s="44"/>
      <c r="C8" s="63"/>
      <c r="D8" s="63"/>
      <c r="E8" s="63"/>
      <c r="F8" s="46"/>
      <c r="G8" s="63"/>
      <c r="H8" s="47"/>
      <c r="I8" s="63"/>
      <c r="J8" s="47"/>
      <c r="K8" s="17"/>
    </row>
    <row r="9" spans="2:43" x14ac:dyDescent="0.3">
      <c r="B9" s="29" t="s">
        <v>30</v>
      </c>
      <c r="C9" s="35"/>
      <c r="D9" s="35"/>
      <c r="E9" s="35"/>
      <c r="F9" s="82"/>
      <c r="G9" s="35"/>
      <c r="H9" s="79"/>
      <c r="I9" s="35"/>
      <c r="J9" s="79"/>
      <c r="K9" s="5"/>
    </row>
    <row r="10" spans="2:43" x14ac:dyDescent="0.3">
      <c r="B10" s="36" t="s">
        <v>31</v>
      </c>
      <c r="D10" s="35"/>
      <c r="E10" s="35"/>
      <c r="F10" s="82">
        <v>7</v>
      </c>
      <c r="G10" s="35"/>
      <c r="H10" s="79">
        <f>IF(Cover!$R$18&gt;0,SUMIF($N$1:$AQ$1,Cover!$R$18&amp;H$6,$N10:$AQ10),SUMIF($N$4:$AQ$4,H$6,$N10:$AQ10))</f>
        <v>56150.58</v>
      </c>
      <c r="I10" s="70"/>
      <c r="J10" s="79">
        <f>IF(Cover!$R$18&gt;0,SUMIF($N$1:$AQ$1,Cover!$R$18&amp;J$6,$N10:$AQ10),SUMIF($N$4:$AQ$4,J$6,$N10:$AQ10))</f>
        <v>54116.439999999995</v>
      </c>
      <c r="K10" s="5"/>
      <c r="N10" s="4">
        <v>8747.68</v>
      </c>
      <c r="O10" s="4">
        <v>1235.21</v>
      </c>
      <c r="P10" s="4">
        <v>16852.669999999998</v>
      </c>
      <c r="Q10" s="4">
        <v>0</v>
      </c>
      <c r="R10" s="4">
        <v>29902</v>
      </c>
      <c r="S10" s="4">
        <v>0</v>
      </c>
      <c r="T10" s="4">
        <v>37046.76</v>
      </c>
      <c r="U10" s="4">
        <v>587.07000000000005</v>
      </c>
      <c r="V10" s="4">
        <v>36252.33</v>
      </c>
      <c r="W10" s="4">
        <v>290.5</v>
      </c>
      <c r="X10" s="4">
        <v>39665.06</v>
      </c>
      <c r="Y10" s="4">
        <v>2393.6999999999998</v>
      </c>
      <c r="Z10" s="4">
        <v>56839.9</v>
      </c>
      <c r="AA10" s="4">
        <v>5267.63</v>
      </c>
      <c r="AB10" s="4">
        <v>38942.230000000003</v>
      </c>
      <c r="AC10" s="4">
        <v>1954.4</v>
      </c>
      <c r="AD10" s="4">
        <v>28755.26</v>
      </c>
      <c r="AE10" s="4">
        <v>2186.36</v>
      </c>
      <c r="AF10" s="4">
        <v>49047.31</v>
      </c>
      <c r="AG10" s="4">
        <v>5069.13</v>
      </c>
      <c r="AH10" s="4">
        <v>46928.98</v>
      </c>
      <c r="AI10" s="4">
        <v>9221.6</v>
      </c>
    </row>
    <row r="11" spans="2:43" x14ac:dyDescent="0.3">
      <c r="B11" s="36" t="s">
        <v>32</v>
      </c>
      <c r="D11" s="35"/>
      <c r="E11" s="35"/>
      <c r="F11" s="82">
        <v>8</v>
      </c>
      <c r="G11" s="35"/>
      <c r="H11" s="79">
        <f>IF(Cover!$R$18&gt;0,SUMIF($N$1:$AQ$1,Cover!$R$18&amp;H$6,$N11:$AQ11),SUMIF($N$4:$AQ$4,H$6,$N11:$AQ11))</f>
        <v>184.92</v>
      </c>
      <c r="I11" s="70"/>
      <c r="J11" s="79">
        <f>IF(Cover!$R$18&gt;0,SUMIF($N$1:$AQ$1,Cover!$R$18&amp;J$6,$N11:$AQ11),SUMIF($N$4:$AQ$4,J$6,$N11:$AQ11))</f>
        <v>51.1</v>
      </c>
      <c r="K11" s="5"/>
      <c r="N11" s="4">
        <v>23.48</v>
      </c>
      <c r="O11" s="4">
        <v>111.89</v>
      </c>
      <c r="P11" s="4">
        <v>18.97</v>
      </c>
      <c r="Q11" s="4">
        <v>89.94</v>
      </c>
      <c r="R11" s="4">
        <v>10559.76</v>
      </c>
      <c r="S11" s="4">
        <v>26.87</v>
      </c>
      <c r="T11" s="4">
        <v>1697.29</v>
      </c>
      <c r="U11" s="4">
        <v>41</v>
      </c>
      <c r="V11" s="4">
        <v>378.32</v>
      </c>
      <c r="W11" s="4">
        <v>308.93</v>
      </c>
      <c r="X11" s="4">
        <v>39.21</v>
      </c>
      <c r="Y11" s="4">
        <v>118.38</v>
      </c>
      <c r="Z11" s="4">
        <v>35.61</v>
      </c>
      <c r="AA11" s="4">
        <v>142.37</v>
      </c>
      <c r="AB11" s="4">
        <v>190.07</v>
      </c>
      <c r="AC11" s="4">
        <v>203.4</v>
      </c>
      <c r="AD11" s="4">
        <v>47.93</v>
      </c>
      <c r="AE11" s="4">
        <v>10.41</v>
      </c>
      <c r="AF11" s="4">
        <v>47.68</v>
      </c>
      <c r="AG11" s="4">
        <v>3.42</v>
      </c>
      <c r="AH11" s="4">
        <v>179.51</v>
      </c>
      <c r="AI11" s="4">
        <v>5.41</v>
      </c>
    </row>
    <row r="12" spans="2:43" x14ac:dyDescent="0.3">
      <c r="B12" s="36" t="s">
        <v>33</v>
      </c>
      <c r="D12" s="35"/>
      <c r="E12" s="35"/>
      <c r="F12" s="82">
        <v>9</v>
      </c>
      <c r="G12" s="35"/>
      <c r="H12" s="79">
        <f>IF(Cover!$R$18&gt;0,SUMIF($N$1:$AQ$1,Cover!$R$18&amp;H$6,$N12:$AQ12),SUMIF($N$4:$AQ$4,H$6,$N12:$AQ12))</f>
        <v>65163.939999999995</v>
      </c>
      <c r="I12" s="70"/>
      <c r="J12" s="79">
        <f>IF(Cover!$R$18&gt;0,SUMIF($N$1:$AQ$1,Cover!$R$18&amp;J$6,$N12:$AQ12),SUMIF($N$4:$AQ$4,J$6,$N12:$AQ12))</f>
        <v>-203255.38999999998</v>
      </c>
      <c r="K12" s="5"/>
      <c r="N12" s="4">
        <v>43719.41</v>
      </c>
      <c r="O12" s="4">
        <v>-16252.21</v>
      </c>
      <c r="P12" s="4">
        <v>33352.449999999997</v>
      </c>
      <c r="Q12" s="4">
        <v>-3283.05</v>
      </c>
      <c r="R12" s="4">
        <v>-38345.31</v>
      </c>
      <c r="S12" s="4">
        <v>5202.01</v>
      </c>
      <c r="T12" s="4">
        <v>-154199.78</v>
      </c>
      <c r="U12" s="4">
        <v>4794.96</v>
      </c>
      <c r="V12" s="4">
        <v>85164.06</v>
      </c>
      <c r="W12" s="4">
        <v>10263.08</v>
      </c>
      <c r="X12" s="4">
        <f>60544.96+639.41</f>
        <v>61184.37</v>
      </c>
      <c r="Y12" s="4">
        <f>-13746.62+5371.92</f>
        <v>-8374.7000000000007</v>
      </c>
      <c r="Z12" s="4">
        <v>42766.18</v>
      </c>
      <c r="AA12" s="4">
        <v>7862.76</v>
      </c>
      <c r="AB12" s="4">
        <f>-267074.7-2993.96</f>
        <v>-270068.66000000003</v>
      </c>
      <c r="AC12" s="4">
        <f>2237.42-45030.08</f>
        <v>-42792.66</v>
      </c>
      <c r="AD12" s="4">
        <f>223640.03+37041.63</f>
        <v>260681.66</v>
      </c>
      <c r="AE12" s="4">
        <f>57972.41+10639.92</f>
        <v>68612.33</v>
      </c>
      <c r="AF12" s="4">
        <f>46828.92-207586.71</f>
        <v>-160757.78999999998</v>
      </c>
      <c r="AG12" s="4">
        <v>-42497.599999999999</v>
      </c>
      <c r="AH12" s="4">
        <v>54219.06</v>
      </c>
      <c r="AI12" s="4">
        <v>10944.88</v>
      </c>
    </row>
    <row r="13" spans="2:43" ht="15" thickBot="1" x14ac:dyDescent="0.35">
      <c r="B13" s="29" t="s">
        <v>34</v>
      </c>
      <c r="C13" s="35"/>
      <c r="D13" s="35"/>
      <c r="E13" s="35"/>
      <c r="F13" s="82"/>
      <c r="G13" s="35"/>
      <c r="H13" s="90">
        <f>SUM(H10:H12)</f>
        <v>121499.44</v>
      </c>
      <c r="I13" s="35"/>
      <c r="J13" s="90">
        <f>SUM(J10:J12)</f>
        <v>-149087.84999999998</v>
      </c>
      <c r="K13" s="5"/>
      <c r="N13" s="4">
        <f t="shared" ref="N13" si="1">SUM(N10:N12)</f>
        <v>52490.570000000007</v>
      </c>
      <c r="O13" s="4">
        <f>SUM(O10:O12)</f>
        <v>-14905.109999999999</v>
      </c>
      <c r="P13" s="4">
        <f t="shared" ref="P13:AQ13" si="2">SUM(P10:P12)</f>
        <v>50224.09</v>
      </c>
      <c r="Q13" s="4">
        <f t="shared" si="2"/>
        <v>-3193.11</v>
      </c>
      <c r="R13" s="4">
        <f t="shared" si="2"/>
        <v>2116.4500000000044</v>
      </c>
      <c r="S13" s="4">
        <f t="shared" si="2"/>
        <v>5228.88</v>
      </c>
      <c r="T13" s="4">
        <f t="shared" si="2"/>
        <v>-115455.73</v>
      </c>
      <c r="U13" s="4">
        <f t="shared" si="2"/>
        <v>5423.03</v>
      </c>
      <c r="V13" s="4">
        <f t="shared" si="2"/>
        <v>121794.70999999999</v>
      </c>
      <c r="W13" s="4">
        <f t="shared" si="2"/>
        <v>10862.51</v>
      </c>
      <c r="X13" s="4">
        <f t="shared" si="2"/>
        <v>100888.64</v>
      </c>
      <c r="Y13" s="4">
        <f t="shared" si="2"/>
        <v>-5862.6200000000008</v>
      </c>
      <c r="Z13" s="4">
        <f t="shared" si="2"/>
        <v>99641.69</v>
      </c>
      <c r="AA13" s="4">
        <f t="shared" si="2"/>
        <v>13272.76</v>
      </c>
      <c r="AB13" s="4">
        <f t="shared" si="2"/>
        <v>-230936.36000000004</v>
      </c>
      <c r="AC13" s="4">
        <f t="shared" si="2"/>
        <v>-40634.86</v>
      </c>
      <c r="AD13" s="4">
        <f t="shared" si="2"/>
        <v>289484.84999999998</v>
      </c>
      <c r="AE13" s="4">
        <f t="shared" si="2"/>
        <v>70809.100000000006</v>
      </c>
      <c r="AF13" s="4">
        <f t="shared" si="2"/>
        <v>-111662.79999999999</v>
      </c>
      <c r="AG13" s="4">
        <f t="shared" ref="AG13" si="3">SUM(AG10:AG12)</f>
        <v>-37425.049999999996</v>
      </c>
      <c r="AH13" s="4">
        <f t="shared" si="2"/>
        <v>101327.55</v>
      </c>
      <c r="AI13" s="4">
        <f t="shared" si="2"/>
        <v>20171.89</v>
      </c>
      <c r="AJ13" s="4">
        <f t="shared" si="2"/>
        <v>0</v>
      </c>
      <c r="AK13" s="4">
        <f t="shared" si="2"/>
        <v>0</v>
      </c>
      <c r="AL13" s="4">
        <f t="shared" si="2"/>
        <v>0</v>
      </c>
      <c r="AM13" s="4">
        <f t="shared" si="2"/>
        <v>0</v>
      </c>
      <c r="AN13" s="4">
        <f t="shared" si="2"/>
        <v>0</v>
      </c>
      <c r="AO13" s="4">
        <f t="shared" si="2"/>
        <v>0</v>
      </c>
      <c r="AP13" s="4">
        <f t="shared" si="2"/>
        <v>0</v>
      </c>
      <c r="AQ13" s="4">
        <f t="shared" si="2"/>
        <v>0</v>
      </c>
    </row>
    <row r="14" spans="2:43" ht="15" thickTop="1" x14ac:dyDescent="0.3">
      <c r="B14" s="36"/>
      <c r="C14" s="35"/>
      <c r="D14" s="35"/>
      <c r="E14" s="35"/>
      <c r="F14" s="82"/>
      <c r="G14" s="35"/>
      <c r="H14" s="79"/>
      <c r="I14" s="35"/>
      <c r="J14" s="79"/>
      <c r="K14" s="5"/>
    </row>
    <row r="15" spans="2:43" x14ac:dyDescent="0.3">
      <c r="B15" s="29" t="s">
        <v>35</v>
      </c>
      <c r="C15" s="35"/>
      <c r="D15" s="35"/>
      <c r="E15" s="35"/>
      <c r="F15" s="82"/>
      <c r="G15" s="35"/>
      <c r="H15" s="79"/>
      <c r="I15" s="35"/>
      <c r="J15" s="79"/>
      <c r="K15" s="5"/>
    </row>
    <row r="16" spans="2:43" hidden="1" x14ac:dyDescent="0.3">
      <c r="B16" s="36" t="s">
        <v>229</v>
      </c>
      <c r="C16" s="35"/>
      <c r="D16" s="35"/>
      <c r="E16" s="35"/>
      <c r="F16" s="82"/>
      <c r="G16" s="35"/>
      <c r="H16" s="79">
        <f>IF(Cover!$R$18&gt;0,SUMIF($N$1:$AQ$1,Cover!$R$18&amp;H$6,$N16:$AQ16),SUMIF($N$4:$AQ$4,H$6,$N16:$AQ16))</f>
        <v>0</v>
      </c>
      <c r="I16" s="70"/>
      <c r="J16" s="79">
        <f>IF(Cover!$R$18&gt;0,SUMIF($N$1:$AQ$1,Cover!$R$18&amp;J$6,$N16:$AQ16),SUMIF($N$4:$AQ$4,J$6,$N16:$AQ16))</f>
        <v>0</v>
      </c>
      <c r="K16" s="5"/>
      <c r="N16" s="4">
        <v>5263.58</v>
      </c>
      <c r="O16" s="4">
        <v>0</v>
      </c>
      <c r="P16" s="4">
        <v>0</v>
      </c>
    </row>
    <row r="17" spans="1:43" hidden="1" x14ac:dyDescent="0.3">
      <c r="B17" s="36" t="s">
        <v>4</v>
      </c>
      <c r="C17" s="35"/>
      <c r="D17" s="35"/>
      <c r="E17" s="35"/>
      <c r="F17" s="82"/>
      <c r="G17" s="35"/>
      <c r="H17" s="79">
        <f>IF(Cover!$R$18&gt;0,SUMIF($N$1:$AQ$1,Cover!$R$18&amp;H$6,$N17:$AQ17),SUMIF($N$4:$AQ$4,H$6,$N17:$AQ17))</f>
        <v>0</v>
      </c>
      <c r="I17" s="70"/>
      <c r="J17" s="79">
        <f>IF(Cover!$R$18&gt;0,SUMIF($N$1:$AQ$1,Cover!$R$18&amp;J$6,$N17:$AQ17),SUMIF($N$4:$AQ$4,J$6,$N17:$AQ17))</f>
        <v>0</v>
      </c>
      <c r="K17" s="5"/>
      <c r="N17" s="4">
        <v>0</v>
      </c>
      <c r="O17" s="4">
        <v>6975</v>
      </c>
      <c r="P17" s="4">
        <v>0</v>
      </c>
      <c r="Q17" s="4">
        <v>18.63</v>
      </c>
      <c r="U17" s="4">
        <v>0</v>
      </c>
    </row>
    <row r="18" spans="1:43" x14ac:dyDescent="0.3">
      <c r="B18" s="36" t="s">
        <v>1</v>
      </c>
      <c r="C18" s="35"/>
      <c r="D18" s="35"/>
      <c r="E18" s="35"/>
      <c r="F18" s="82"/>
      <c r="G18" s="35"/>
      <c r="H18" s="88">
        <f>IF(Cover!$R$18&gt;0,SUMIF($N$1:$AQ$1,Cover!$R$18&amp;H$6,$N18:$AQ18),SUMIF($N$4:$AQ$4,H$6,$N18:$AQ18))</f>
        <v>2500</v>
      </c>
      <c r="I18" s="70"/>
      <c r="J18" s="88">
        <f>IF(Cover!$R$18&gt;0,SUMIF($N$1:$AQ$1,Cover!$R$18&amp;J$6,$N18:$AQ18),SUMIF($N$4:$AQ$4,J$6,$N18:$AQ18))</f>
        <v>20000</v>
      </c>
      <c r="K18" s="5"/>
      <c r="N18" s="4">
        <v>2000</v>
      </c>
      <c r="O18" s="4">
        <v>500</v>
      </c>
      <c r="P18" s="4">
        <v>0</v>
      </c>
      <c r="Q18" s="4">
        <v>1000</v>
      </c>
      <c r="R18" s="4">
        <v>859000</v>
      </c>
      <c r="S18" s="4">
        <v>1152.8</v>
      </c>
      <c r="U18" s="4">
        <v>20000</v>
      </c>
      <c r="W18" s="4">
        <v>20000</v>
      </c>
      <c r="Y18" s="4">
        <v>25000</v>
      </c>
      <c r="AA18" s="4">
        <v>25000</v>
      </c>
      <c r="AC18" s="4">
        <v>25000</v>
      </c>
      <c r="AE18" s="4">
        <v>2500</v>
      </c>
      <c r="AG18" s="4">
        <v>20000</v>
      </c>
      <c r="AI18" s="4">
        <v>2500</v>
      </c>
    </row>
    <row r="19" spans="1:43" x14ac:dyDescent="0.3">
      <c r="B19" s="29" t="s">
        <v>36</v>
      </c>
      <c r="C19" s="35"/>
      <c r="D19" s="35"/>
      <c r="E19" s="35"/>
      <c r="F19" s="82"/>
      <c r="G19" s="35"/>
      <c r="H19" s="80">
        <f>SUM(H16:H18)</f>
        <v>2500</v>
      </c>
      <c r="I19" s="35"/>
      <c r="J19" s="80">
        <f>SUM(J16:J18)</f>
        <v>20000</v>
      </c>
      <c r="K19" s="5"/>
      <c r="N19" s="4">
        <f t="shared" ref="N19" si="4">SUM(N16:N18)</f>
        <v>7263.58</v>
      </c>
      <c r="O19" s="4">
        <f>SUM(O16:O18)</f>
        <v>7475</v>
      </c>
      <c r="P19" s="4">
        <f t="shared" ref="P19:AQ19" si="5">SUM(P16:P18)</f>
        <v>0</v>
      </c>
      <c r="Q19" s="4">
        <f t="shared" si="5"/>
        <v>1018.63</v>
      </c>
      <c r="R19" s="4">
        <f t="shared" si="5"/>
        <v>859000</v>
      </c>
      <c r="S19" s="4">
        <f t="shared" si="5"/>
        <v>1152.8</v>
      </c>
      <c r="T19" s="4">
        <f t="shared" si="5"/>
        <v>0</v>
      </c>
      <c r="U19" s="4">
        <f t="shared" si="5"/>
        <v>20000</v>
      </c>
      <c r="V19" s="4">
        <f t="shared" si="5"/>
        <v>0</v>
      </c>
      <c r="W19" s="4">
        <f t="shared" si="5"/>
        <v>20000</v>
      </c>
      <c r="X19" s="4">
        <f t="shared" si="5"/>
        <v>0</v>
      </c>
      <c r="Y19" s="4">
        <f t="shared" si="5"/>
        <v>25000</v>
      </c>
      <c r="Z19" s="4">
        <f t="shared" si="5"/>
        <v>0</v>
      </c>
      <c r="AA19" s="4">
        <f t="shared" si="5"/>
        <v>25000</v>
      </c>
      <c r="AB19" s="4">
        <f t="shared" si="5"/>
        <v>0</v>
      </c>
      <c r="AC19" s="4">
        <f t="shared" si="5"/>
        <v>25000</v>
      </c>
      <c r="AD19" s="4">
        <f t="shared" si="5"/>
        <v>0</v>
      </c>
      <c r="AE19" s="4">
        <f t="shared" si="5"/>
        <v>2500</v>
      </c>
      <c r="AF19" s="4">
        <f t="shared" si="5"/>
        <v>0</v>
      </c>
      <c r="AG19" s="4">
        <f t="shared" si="5"/>
        <v>20000</v>
      </c>
      <c r="AH19" s="4">
        <f t="shared" si="5"/>
        <v>0</v>
      </c>
      <c r="AI19" s="4">
        <f t="shared" si="5"/>
        <v>2500</v>
      </c>
      <c r="AJ19" s="4">
        <f t="shared" si="5"/>
        <v>0</v>
      </c>
      <c r="AK19" s="4">
        <f t="shared" si="5"/>
        <v>0</v>
      </c>
      <c r="AL19" s="4">
        <f t="shared" si="5"/>
        <v>0</v>
      </c>
      <c r="AM19" s="4">
        <f t="shared" si="5"/>
        <v>0</v>
      </c>
      <c r="AN19" s="4">
        <f t="shared" si="5"/>
        <v>0</v>
      </c>
      <c r="AO19" s="4">
        <f t="shared" si="5"/>
        <v>0</v>
      </c>
      <c r="AP19" s="4">
        <f t="shared" si="5"/>
        <v>0</v>
      </c>
      <c r="AQ19" s="4">
        <f t="shared" si="5"/>
        <v>0</v>
      </c>
    </row>
    <row r="20" spans="1:43" ht="15" thickBot="1" x14ac:dyDescent="0.35">
      <c r="B20" s="29" t="s">
        <v>37</v>
      </c>
      <c r="C20" s="35"/>
      <c r="D20" s="35"/>
      <c r="E20" s="35"/>
      <c r="F20" s="82"/>
      <c r="G20" s="35"/>
      <c r="H20" s="90">
        <f>H19+H13</f>
        <v>123999.44</v>
      </c>
      <c r="I20" s="35"/>
      <c r="J20" s="90">
        <f>J19+J13</f>
        <v>-129087.84999999998</v>
      </c>
      <c r="K20" s="5"/>
      <c r="N20" s="4">
        <f>SUM(N19,N13)</f>
        <v>59754.150000000009</v>
      </c>
      <c r="O20" s="4">
        <f t="shared" ref="O20:AQ20" si="6">SUM(O19,O13)</f>
        <v>-7430.1099999999988</v>
      </c>
      <c r="P20" s="4">
        <f t="shared" si="6"/>
        <v>50224.09</v>
      </c>
      <c r="Q20" s="4">
        <f t="shared" si="6"/>
        <v>-2174.48</v>
      </c>
      <c r="R20" s="4">
        <f t="shared" si="6"/>
        <v>861116.45</v>
      </c>
      <c r="S20" s="4">
        <f t="shared" si="6"/>
        <v>6381.68</v>
      </c>
      <c r="T20" s="4">
        <f t="shared" si="6"/>
        <v>-115455.73</v>
      </c>
      <c r="U20" s="4">
        <f t="shared" si="6"/>
        <v>25423.03</v>
      </c>
      <c r="V20" s="4">
        <f t="shared" si="6"/>
        <v>121794.70999999999</v>
      </c>
      <c r="W20" s="4">
        <f t="shared" si="6"/>
        <v>30862.510000000002</v>
      </c>
      <c r="X20" s="4">
        <f t="shared" si="6"/>
        <v>100888.64</v>
      </c>
      <c r="Y20" s="4">
        <f t="shared" si="6"/>
        <v>19137.379999999997</v>
      </c>
      <c r="Z20" s="4">
        <f t="shared" si="6"/>
        <v>99641.69</v>
      </c>
      <c r="AA20" s="4">
        <f t="shared" si="6"/>
        <v>38272.76</v>
      </c>
      <c r="AB20" s="4">
        <f t="shared" si="6"/>
        <v>-230936.36000000004</v>
      </c>
      <c r="AC20" s="4">
        <f t="shared" si="6"/>
        <v>-15634.86</v>
      </c>
      <c r="AD20" s="4">
        <f t="shared" si="6"/>
        <v>289484.84999999998</v>
      </c>
      <c r="AE20" s="4">
        <f t="shared" si="6"/>
        <v>73309.100000000006</v>
      </c>
      <c r="AF20" s="4">
        <f t="shared" si="6"/>
        <v>-111662.79999999999</v>
      </c>
      <c r="AG20" s="4">
        <f t="shared" si="6"/>
        <v>-17425.049999999996</v>
      </c>
      <c r="AH20" s="4">
        <f t="shared" si="6"/>
        <v>101327.55</v>
      </c>
      <c r="AI20" s="4">
        <f t="shared" si="6"/>
        <v>22671.89</v>
      </c>
      <c r="AJ20" s="4">
        <f t="shared" si="6"/>
        <v>0</v>
      </c>
      <c r="AK20" s="4">
        <f t="shared" si="6"/>
        <v>0</v>
      </c>
      <c r="AL20" s="4">
        <f t="shared" si="6"/>
        <v>0</v>
      </c>
      <c r="AM20" s="4">
        <f t="shared" si="6"/>
        <v>0</v>
      </c>
      <c r="AN20" s="4">
        <f t="shared" si="6"/>
        <v>0</v>
      </c>
      <c r="AO20" s="4">
        <f t="shared" si="6"/>
        <v>0</v>
      </c>
      <c r="AP20" s="4">
        <f t="shared" si="6"/>
        <v>0</v>
      </c>
      <c r="AQ20" s="4">
        <f t="shared" si="6"/>
        <v>0</v>
      </c>
    </row>
    <row r="21" spans="1:43" ht="15" thickTop="1" x14ac:dyDescent="0.3">
      <c r="B21" s="36"/>
      <c r="C21" s="35"/>
      <c r="D21" s="35"/>
      <c r="E21" s="35"/>
      <c r="F21" s="82"/>
      <c r="G21" s="35"/>
      <c r="H21" s="79"/>
      <c r="I21" s="35"/>
      <c r="J21" s="79"/>
      <c r="K21" s="5"/>
    </row>
    <row r="22" spans="1:43" x14ac:dyDescent="0.3">
      <c r="B22" s="29" t="s">
        <v>38</v>
      </c>
      <c r="C22" s="35"/>
      <c r="D22" s="35"/>
      <c r="E22" s="35"/>
      <c r="F22" s="82"/>
      <c r="G22" s="35"/>
      <c r="H22" s="79"/>
      <c r="I22" s="35"/>
      <c r="J22" s="79"/>
      <c r="K22" s="5"/>
    </row>
    <row r="23" spans="1:43" x14ac:dyDescent="0.3">
      <c r="A23" s="4">
        <v>314</v>
      </c>
      <c r="B23" s="36" t="s">
        <v>311</v>
      </c>
      <c r="C23" s="35"/>
      <c r="D23" s="35"/>
      <c r="E23" s="35"/>
      <c r="F23" s="82"/>
      <c r="G23" s="35"/>
      <c r="H23" s="79">
        <f>IF(Cover!$R$18&gt;0,SUMIF($N$1:$AQ$1,Cover!$R$18&amp;H$6,$N23:$AQ23),SUMIF($N$4:$AQ$4,H$6,$N23:$AQ23))</f>
        <v>3300</v>
      </c>
      <c r="I23" s="70"/>
      <c r="J23" s="79">
        <f>IF(Cover!$R$18&gt;0,SUMIF($N$1:$AQ$1,Cover!$R$18&amp;J$6,$N23:$AQ23),SUMIF($N$4:$AQ$4,J$6,$N23:$AQ23))</f>
        <v>2200</v>
      </c>
      <c r="K23" s="5"/>
      <c r="AD23" s="4">
        <v>1100</v>
      </c>
      <c r="AE23" s="4">
        <v>1100</v>
      </c>
      <c r="AF23" s="4">
        <v>1100</v>
      </c>
      <c r="AG23" s="4">
        <v>1100</v>
      </c>
      <c r="AH23" s="4">
        <v>1650</v>
      </c>
      <c r="AI23" s="4">
        <v>1650</v>
      </c>
    </row>
    <row r="24" spans="1:43" x14ac:dyDescent="0.3">
      <c r="A24" s="4">
        <v>314</v>
      </c>
      <c r="B24" s="124" t="s">
        <v>0</v>
      </c>
      <c r="C24" s="123"/>
      <c r="D24" s="123"/>
      <c r="E24" s="123"/>
      <c r="F24" s="82"/>
      <c r="G24" s="123"/>
      <c r="H24" s="79">
        <f>IF(Cover!$R$18&gt;0,SUMIF($N$1:$AQ$1,Cover!$R$18&amp;H$6,$N24:$AQ24),SUMIF($N$4:$AQ$4,H$6,$N24:$AQ24))</f>
        <v>330</v>
      </c>
      <c r="I24" s="70"/>
      <c r="J24" s="79">
        <f>IF(Cover!$R$18&gt;0,SUMIF($N$1:$AQ$1,Cover!$R$18&amp;J$6,$N24:$AQ24),SUMIF($N$4:$AQ$4,J$6,$N24:$AQ24))</f>
        <v>330</v>
      </c>
      <c r="K24" s="5"/>
      <c r="O24" s="4">
        <v>231</v>
      </c>
      <c r="P24" s="4">
        <v>165</v>
      </c>
      <c r="Q24" s="4">
        <v>165</v>
      </c>
      <c r="R24" s="4">
        <v>165</v>
      </c>
      <c r="S24" s="4">
        <v>165</v>
      </c>
      <c r="T24" s="4">
        <v>176</v>
      </c>
      <c r="U24" s="4">
        <v>176</v>
      </c>
      <c r="V24" s="4">
        <v>165</v>
      </c>
      <c r="W24" s="4">
        <v>165</v>
      </c>
      <c r="X24" s="4">
        <v>165</v>
      </c>
      <c r="Y24" s="4">
        <v>165</v>
      </c>
      <c r="Z24" s="4">
        <v>379.5</v>
      </c>
      <c r="AA24" s="4">
        <f>300.5-53</f>
        <v>247.5</v>
      </c>
      <c r="AB24" s="4">
        <v>247.5</v>
      </c>
      <c r="AC24" s="4">
        <v>247.5</v>
      </c>
      <c r="AD24" s="4">
        <v>247.5</v>
      </c>
      <c r="AE24" s="4">
        <v>247.5</v>
      </c>
      <c r="AF24" s="4">
        <v>165</v>
      </c>
      <c r="AG24" s="4">
        <v>165</v>
      </c>
      <c r="AH24" s="4">
        <v>165</v>
      </c>
      <c r="AI24" s="4">
        <v>165</v>
      </c>
    </row>
    <row r="25" spans="1:43" hidden="1" x14ac:dyDescent="0.3">
      <c r="B25" s="93" t="s">
        <v>253</v>
      </c>
      <c r="C25" s="92"/>
      <c r="D25" s="92"/>
      <c r="E25" s="92"/>
      <c r="F25" s="82"/>
      <c r="G25" s="92"/>
      <c r="H25" s="79">
        <f>IF(Cover!$R$18&gt;0,SUMIF($N$1:$AQ$1,Cover!$R$18&amp;H$6,$N25:$AQ25),SUMIF($N$4:$AQ$4,H$6,$N25:$AQ25))</f>
        <v>0</v>
      </c>
      <c r="I25" s="70"/>
      <c r="J25" s="79">
        <f>IF(Cover!$R$18&gt;0,SUMIF($N$1:$AQ$1,Cover!$R$18&amp;J$6,$N25:$AQ25),SUMIF($N$4:$AQ$4,J$6,$N25:$AQ25))</f>
        <v>0</v>
      </c>
      <c r="K25" s="5"/>
      <c r="R25" s="4">
        <v>1.5</v>
      </c>
      <c r="U25" s="4">
        <v>0</v>
      </c>
    </row>
    <row r="26" spans="1:43" hidden="1" x14ac:dyDescent="0.3">
      <c r="A26" s="4">
        <v>367</v>
      </c>
      <c r="B26" s="36" t="s">
        <v>39</v>
      </c>
      <c r="C26" s="35"/>
      <c r="D26" s="35"/>
      <c r="E26" s="35"/>
      <c r="F26" s="82"/>
      <c r="G26" s="35"/>
      <c r="H26" s="79">
        <f>IF(Cover!$R$18&gt;0,SUMIF($N$1:$AQ$1,Cover!$R$18&amp;H$6,$N26:$AQ26),SUMIF($N$4:$AQ$4,H$6,$N26:$AQ26))</f>
        <v>0</v>
      </c>
      <c r="I26" s="70"/>
      <c r="J26" s="79">
        <f>IF(Cover!$R$18&gt;0,SUMIF($N$1:$AQ$1,Cover!$R$18&amp;J$6,$N26:$AQ26),SUMIF($N$4:$AQ$4,J$6,$N26:$AQ26))</f>
        <v>0</v>
      </c>
      <c r="K26" s="5"/>
      <c r="O26" s="4">
        <v>383.77</v>
      </c>
      <c r="Q26" s="4">
        <v>401.64</v>
      </c>
      <c r="S26" s="4">
        <v>427.26</v>
      </c>
      <c r="U26" s="4">
        <v>447.72</v>
      </c>
      <c r="W26" s="4">
        <v>473.08</v>
      </c>
      <c r="Y26" s="4">
        <v>511.05</v>
      </c>
      <c r="AA26" s="4">
        <v>558.26</v>
      </c>
      <c r="AC26" s="4">
        <v>611.53</v>
      </c>
      <c r="AE26" s="4">
        <v>0</v>
      </c>
    </row>
    <row r="27" spans="1:43" hidden="1" x14ac:dyDescent="0.3">
      <c r="B27" s="122" t="s">
        <v>303</v>
      </c>
      <c r="C27" s="121"/>
      <c r="D27" s="121"/>
      <c r="E27" s="121"/>
      <c r="F27" s="82"/>
      <c r="G27" s="121"/>
      <c r="H27" s="79">
        <f>IF(Cover!$R$18&gt;0,SUMIF($N$1:$AQ$1,Cover!$R$18&amp;H$6,$N27:$AQ27),SUMIF($N$4:$AQ$4,H$6,$N27:$AQ27))</f>
        <v>0</v>
      </c>
      <c r="I27" s="70"/>
      <c r="J27" s="79">
        <f>IF(Cover!$R$18&gt;0,SUMIF($N$1:$AQ$1,Cover!$R$18&amp;J$6,$N27:$AQ27),SUMIF($N$4:$AQ$4,J$6,$N27:$AQ27))</f>
        <v>0</v>
      </c>
      <c r="K27" s="5"/>
      <c r="AB27" s="4">
        <v>40</v>
      </c>
    </row>
    <row r="28" spans="1:43" x14ac:dyDescent="0.3">
      <c r="A28" s="4">
        <v>335</v>
      </c>
      <c r="B28" s="36" t="s">
        <v>6</v>
      </c>
      <c r="C28" s="35"/>
      <c r="D28" s="35"/>
      <c r="E28" s="35"/>
      <c r="F28" s="82"/>
      <c r="G28" s="35"/>
      <c r="H28" s="79">
        <f>IF(Cover!$R$18&gt;0,SUMIF($N$1:$AQ$1,Cover!$R$18&amp;H$6,$N28:$AQ28),SUMIF($N$4:$AQ$4,H$6,$N28:$AQ28))</f>
        <v>259</v>
      </c>
      <c r="I28" s="70"/>
      <c r="J28" s="79">
        <f>IF(Cover!$R$18&gt;0,SUMIF($N$1:$AQ$1,Cover!$R$18&amp;J$6,$N28:$AQ28),SUMIF($N$4:$AQ$4,J$6,$N28:$AQ28))</f>
        <v>259</v>
      </c>
      <c r="K28" s="5"/>
      <c r="O28" s="4">
        <v>200</v>
      </c>
      <c r="Q28" s="4">
        <v>321</v>
      </c>
      <c r="S28" s="4">
        <v>388</v>
      </c>
      <c r="U28" s="4">
        <v>259</v>
      </c>
      <c r="W28" s="4">
        <v>259</v>
      </c>
      <c r="Y28" s="4">
        <v>259</v>
      </c>
      <c r="AA28" s="4">
        <v>259</v>
      </c>
      <c r="AC28" s="4">
        <v>259</v>
      </c>
      <c r="AE28" s="4">
        <v>259</v>
      </c>
      <c r="AG28" s="4">
        <v>259</v>
      </c>
      <c r="AH28" s="4">
        <v>0</v>
      </c>
      <c r="AI28" s="4">
        <v>259</v>
      </c>
    </row>
    <row r="29" spans="1:43" x14ac:dyDescent="0.3">
      <c r="A29" s="4">
        <v>464</v>
      </c>
      <c r="B29" s="36" t="s">
        <v>5</v>
      </c>
      <c r="C29" s="35"/>
      <c r="D29" s="35"/>
      <c r="E29" s="35"/>
      <c r="F29" s="82"/>
      <c r="G29" s="35"/>
      <c r="H29" s="88">
        <f>IF(Cover!$R$18&gt;0,SUMIF($N$1:$AQ$1,Cover!$R$18&amp;H$6,$N29:$AQ29),SUMIF($N$4:$AQ$4,H$6,$N29:$AQ29))</f>
        <v>59</v>
      </c>
      <c r="I29" s="70"/>
      <c r="J29" s="88">
        <f>IF(Cover!$R$18&gt;0,SUMIF($N$1:$AQ$1,Cover!$R$18&amp;J$6,$N29:$AQ29),SUMIF($N$4:$AQ$4,J$6,$N29:$AQ29))</f>
        <v>56</v>
      </c>
      <c r="K29" s="5"/>
      <c r="O29" s="4">
        <v>127.15</v>
      </c>
      <c r="Q29" s="4">
        <v>44</v>
      </c>
      <c r="S29" s="4">
        <v>45</v>
      </c>
      <c r="U29" s="4">
        <v>46</v>
      </c>
      <c r="W29" s="4">
        <v>47</v>
      </c>
      <c r="Y29" s="4">
        <v>48</v>
      </c>
      <c r="AA29" s="4">
        <v>53</v>
      </c>
      <c r="AC29" s="4">
        <v>54</v>
      </c>
      <c r="AE29" s="4">
        <v>55</v>
      </c>
      <c r="AG29" s="4">
        <v>56</v>
      </c>
      <c r="AH29" s="4">
        <v>0</v>
      </c>
      <c r="AI29" s="4">
        <v>59</v>
      </c>
    </row>
    <row r="30" spans="1:43" x14ac:dyDescent="0.3">
      <c r="B30" s="29" t="s">
        <v>40</v>
      </c>
      <c r="C30" s="35"/>
      <c r="D30" s="35"/>
      <c r="E30" s="35"/>
      <c r="F30" s="82"/>
      <c r="G30" s="35"/>
      <c r="H30" s="80">
        <f>SUM(H23:H29)</f>
        <v>3948</v>
      </c>
      <c r="I30" s="35"/>
      <c r="J30" s="80">
        <f>SUM(J23:J29)</f>
        <v>2845</v>
      </c>
      <c r="K30" s="5"/>
      <c r="N30" s="4">
        <f t="shared" ref="N30" si="7">SUM(N23:N29)</f>
        <v>0</v>
      </c>
      <c r="O30" s="4">
        <f>SUM(O23:O29)</f>
        <v>941.92</v>
      </c>
      <c r="P30" s="4">
        <f t="shared" ref="P30:AQ30" si="8">SUM(P23:P29)</f>
        <v>165</v>
      </c>
      <c r="Q30" s="4">
        <f t="shared" si="8"/>
        <v>931.64</v>
      </c>
      <c r="R30" s="4">
        <f t="shared" si="8"/>
        <v>166.5</v>
      </c>
      <c r="S30" s="4">
        <f t="shared" si="8"/>
        <v>1025.26</v>
      </c>
      <c r="T30" s="4">
        <f t="shared" si="8"/>
        <v>176</v>
      </c>
      <c r="U30" s="4">
        <f t="shared" si="8"/>
        <v>928.72</v>
      </c>
      <c r="V30" s="4">
        <f t="shared" si="8"/>
        <v>165</v>
      </c>
      <c r="W30" s="4">
        <f t="shared" si="8"/>
        <v>944.07999999999993</v>
      </c>
      <c r="X30" s="4">
        <f t="shared" si="8"/>
        <v>165</v>
      </c>
      <c r="Y30" s="4">
        <f t="shared" si="8"/>
        <v>983.05</v>
      </c>
      <c r="Z30" s="4">
        <f t="shared" si="8"/>
        <v>379.5</v>
      </c>
      <c r="AA30" s="4">
        <f t="shared" si="8"/>
        <v>1117.76</v>
      </c>
      <c r="AB30" s="4">
        <f t="shared" si="8"/>
        <v>287.5</v>
      </c>
      <c r="AC30" s="4">
        <f t="shared" si="8"/>
        <v>1172.03</v>
      </c>
      <c r="AD30" s="4">
        <f t="shared" si="8"/>
        <v>1347.5</v>
      </c>
      <c r="AE30" s="4">
        <f t="shared" si="8"/>
        <v>1661.5</v>
      </c>
      <c r="AF30" s="4">
        <f t="shared" si="8"/>
        <v>1265</v>
      </c>
      <c r="AG30" s="4">
        <f t="shared" si="8"/>
        <v>1580</v>
      </c>
      <c r="AH30" s="4">
        <f t="shared" si="8"/>
        <v>1815</v>
      </c>
      <c r="AI30" s="4">
        <f t="shared" si="8"/>
        <v>2133</v>
      </c>
      <c r="AJ30" s="4">
        <f t="shared" si="8"/>
        <v>0</v>
      </c>
      <c r="AK30" s="4">
        <f t="shared" si="8"/>
        <v>0</v>
      </c>
      <c r="AL30" s="4">
        <f t="shared" si="8"/>
        <v>0</v>
      </c>
      <c r="AM30" s="4">
        <f t="shared" si="8"/>
        <v>0</v>
      </c>
      <c r="AN30" s="4">
        <f t="shared" si="8"/>
        <v>0</v>
      </c>
      <c r="AO30" s="4">
        <f t="shared" si="8"/>
        <v>0</v>
      </c>
      <c r="AP30" s="4">
        <f t="shared" si="8"/>
        <v>0</v>
      </c>
      <c r="AQ30" s="4">
        <f t="shared" si="8"/>
        <v>0</v>
      </c>
    </row>
    <row r="31" spans="1:43" x14ac:dyDescent="0.3">
      <c r="B31" s="29"/>
      <c r="C31" s="35"/>
      <c r="D31" s="35"/>
      <c r="E31" s="35"/>
      <c r="F31" s="82"/>
      <c r="G31" s="35"/>
      <c r="H31" s="80"/>
      <c r="I31" s="64"/>
      <c r="J31" s="80"/>
      <c r="K31" s="5"/>
    </row>
    <row r="32" spans="1:43" x14ac:dyDescent="0.3">
      <c r="B32" s="36" t="s">
        <v>41</v>
      </c>
      <c r="C32" s="35"/>
      <c r="D32" s="35"/>
      <c r="E32" s="35"/>
      <c r="F32" s="82"/>
      <c r="G32" s="35"/>
      <c r="H32" s="79">
        <f>H20-H30</f>
        <v>120051.44</v>
      </c>
      <c r="I32" s="35"/>
      <c r="J32" s="79">
        <f>J20-J30</f>
        <v>-131932.84999999998</v>
      </c>
      <c r="K32" s="5"/>
      <c r="N32" s="4">
        <v>59754.15</v>
      </c>
      <c r="O32" s="4">
        <v>-8372.0300000000007</v>
      </c>
      <c r="P32" s="4">
        <v>50059.09</v>
      </c>
      <c r="Q32" s="4">
        <v>-3106.12</v>
      </c>
      <c r="R32" s="4">
        <v>860949.95</v>
      </c>
      <c r="S32" s="4">
        <v>5356.42</v>
      </c>
      <c r="T32" s="4">
        <f t="shared" ref="T32" si="9">T20-T30</f>
        <v>-115631.73</v>
      </c>
      <c r="U32" s="4">
        <f>U20-U30</f>
        <v>24494.309999999998</v>
      </c>
      <c r="V32" s="4">
        <f t="shared" ref="V32:AQ32" si="10">V20-V30</f>
        <v>121629.70999999999</v>
      </c>
      <c r="W32" s="4">
        <f t="shared" si="10"/>
        <v>29918.43</v>
      </c>
      <c r="X32" s="4">
        <f t="shared" si="10"/>
        <v>100723.64</v>
      </c>
      <c r="Y32" s="4">
        <f t="shared" si="10"/>
        <v>18154.329999999998</v>
      </c>
      <c r="Z32" s="4">
        <f t="shared" si="10"/>
        <v>99262.19</v>
      </c>
      <c r="AA32" s="4">
        <f t="shared" si="10"/>
        <v>37155</v>
      </c>
      <c r="AB32" s="4">
        <f t="shared" si="10"/>
        <v>-231223.86000000004</v>
      </c>
      <c r="AC32" s="4">
        <f t="shared" si="10"/>
        <v>-16806.89</v>
      </c>
      <c r="AD32" s="4">
        <f t="shared" si="10"/>
        <v>288137.34999999998</v>
      </c>
      <c r="AE32" s="4">
        <f t="shared" si="10"/>
        <v>71647.600000000006</v>
      </c>
      <c r="AF32" s="4">
        <f t="shared" si="10"/>
        <v>-112927.79999999999</v>
      </c>
      <c r="AG32" s="4">
        <f t="shared" si="10"/>
        <v>-19005.049999999996</v>
      </c>
      <c r="AH32" s="4">
        <f t="shared" si="10"/>
        <v>99512.55</v>
      </c>
      <c r="AI32" s="4">
        <f t="shared" si="10"/>
        <v>20538.89</v>
      </c>
      <c r="AJ32" s="4">
        <f t="shared" si="10"/>
        <v>0</v>
      </c>
      <c r="AK32" s="4">
        <f t="shared" si="10"/>
        <v>0</v>
      </c>
      <c r="AL32" s="4">
        <f t="shared" si="10"/>
        <v>0</v>
      </c>
      <c r="AM32" s="4">
        <f t="shared" si="10"/>
        <v>0</v>
      </c>
      <c r="AN32" s="4">
        <f t="shared" si="10"/>
        <v>0</v>
      </c>
      <c r="AO32" s="4">
        <f t="shared" si="10"/>
        <v>0</v>
      </c>
      <c r="AP32" s="4">
        <f t="shared" si="10"/>
        <v>0</v>
      </c>
      <c r="AQ32" s="4">
        <f t="shared" si="10"/>
        <v>0</v>
      </c>
    </row>
    <row r="33" spans="2:43" x14ac:dyDescent="0.3">
      <c r="B33" s="36" t="str">
        <f>IF(H33&lt;0,"Income tax benefit","Income tax expense")</f>
        <v>Income tax benefit</v>
      </c>
      <c r="D33" s="35"/>
      <c r="E33" s="35"/>
      <c r="F33" s="82">
        <v>10</v>
      </c>
      <c r="G33" s="35"/>
      <c r="H33" s="79">
        <f>IF(Cover!$R$18&gt;0,SUMIF($N$1:$AQ$1,Cover!$R$18&amp;H$6,$N33:$AQ33),SUMIF($N$4:$AQ$4,H$6,$N33:$AQ33))</f>
        <v>-18653.810000000001</v>
      </c>
      <c r="I33" s="70"/>
      <c r="J33" s="79">
        <f>IF(Cover!$R$18&gt;0,SUMIF($N$1:$AQ$1,Cover!$R$18&amp;J$6,$N33:$AQ33),SUMIF($N$4:$AQ$4,J$6,$N33:$AQ33))</f>
        <v>-24594.36</v>
      </c>
      <c r="K33" s="5"/>
      <c r="N33" s="4">
        <v>-3600.62</v>
      </c>
      <c r="O33" s="4">
        <v>-1736.51</v>
      </c>
      <c r="P33" s="4">
        <v>-7094.54</v>
      </c>
      <c r="Q33" s="4">
        <v>-597.08000000000004</v>
      </c>
      <c r="R33" s="4">
        <v>-12772.32</v>
      </c>
      <c r="S33" s="4">
        <v>770.26</v>
      </c>
      <c r="T33" s="4">
        <v>-15877.17</v>
      </c>
      <c r="U33" s="4">
        <v>3515.18</v>
      </c>
      <c r="V33" s="4">
        <v>-15509.62</v>
      </c>
      <c r="W33" s="4">
        <v>5407.23</v>
      </c>
      <c r="X33" s="4">
        <v>-16010.81</v>
      </c>
      <c r="Y33" s="4">
        <v>770.56</v>
      </c>
      <c r="Z33" s="4">
        <v>-24359.96</v>
      </c>
      <c r="AA33" s="4">
        <v>3735.22</v>
      </c>
      <c r="AB33" s="4">
        <v>-16318.22</v>
      </c>
      <c r="AC33" s="4">
        <v>-3233.21</v>
      </c>
      <c r="AD33" s="4">
        <v>-12060.38</v>
      </c>
      <c r="AE33" s="4">
        <v>9950.49</v>
      </c>
      <c r="AF33" s="4">
        <v>-20334.54</v>
      </c>
      <c r="AG33" s="4">
        <v>-4259.82</v>
      </c>
      <c r="AH33" s="4">
        <v>-19865.560000000001</v>
      </c>
      <c r="AI33" s="4">
        <v>1211.75</v>
      </c>
    </row>
    <row r="34" spans="2:43" ht="15" thickBot="1" x14ac:dyDescent="0.35">
      <c r="B34" s="29" t="s">
        <v>42</v>
      </c>
      <c r="D34" s="35"/>
      <c r="E34" s="35"/>
      <c r="F34" s="82">
        <v>4</v>
      </c>
      <c r="G34" s="35"/>
      <c r="H34" s="90">
        <f>H32-H33</f>
        <v>138705.25</v>
      </c>
      <c r="I34" s="35"/>
      <c r="J34" s="90">
        <f>J32-J33</f>
        <v>-107338.48999999998</v>
      </c>
      <c r="K34" s="5"/>
      <c r="N34" s="4">
        <v>63354.77</v>
      </c>
      <c r="O34" s="4">
        <v>-6635.52</v>
      </c>
      <c r="P34" s="4">
        <v>57153.63</v>
      </c>
      <c r="Q34" s="4">
        <v>-2509.04</v>
      </c>
      <c r="R34" s="4">
        <v>873722.27</v>
      </c>
      <c r="S34" s="4">
        <v>4586.16</v>
      </c>
      <c r="T34" s="4">
        <f t="shared" ref="T34" si="11">T32-T33</f>
        <v>-99754.559999999998</v>
      </c>
      <c r="U34" s="4">
        <f>U32-U33</f>
        <v>20979.129999999997</v>
      </c>
      <c r="V34" s="4">
        <f t="shared" ref="V34:AQ34" si="12">V32-V33</f>
        <v>137139.32999999999</v>
      </c>
      <c r="W34" s="4">
        <f t="shared" si="12"/>
        <v>24511.200000000001</v>
      </c>
      <c r="X34" s="4">
        <f t="shared" si="12"/>
        <v>116734.45</v>
      </c>
      <c r="Y34" s="4">
        <f t="shared" si="12"/>
        <v>17383.769999999997</v>
      </c>
      <c r="Z34" s="4">
        <f t="shared" si="12"/>
        <v>123622.15</v>
      </c>
      <c r="AA34" s="4">
        <f t="shared" si="12"/>
        <v>33419.78</v>
      </c>
      <c r="AB34" s="4">
        <f t="shared" si="12"/>
        <v>-214905.64000000004</v>
      </c>
      <c r="AC34" s="4">
        <f t="shared" si="12"/>
        <v>-13573.68</v>
      </c>
      <c r="AD34" s="4">
        <f t="shared" si="12"/>
        <v>300197.73</v>
      </c>
      <c r="AE34" s="4">
        <f t="shared" si="12"/>
        <v>61697.110000000008</v>
      </c>
      <c r="AF34" s="4">
        <f t="shared" si="12"/>
        <v>-92593.25999999998</v>
      </c>
      <c r="AG34" s="4">
        <f t="shared" si="12"/>
        <v>-14745.229999999996</v>
      </c>
      <c r="AH34" s="4">
        <f t="shared" si="12"/>
        <v>119378.11</v>
      </c>
      <c r="AI34" s="4">
        <f t="shared" si="12"/>
        <v>19327.14</v>
      </c>
      <c r="AJ34" s="4">
        <f t="shared" si="12"/>
        <v>0</v>
      </c>
      <c r="AK34" s="4">
        <f t="shared" si="12"/>
        <v>0</v>
      </c>
      <c r="AL34" s="4">
        <f t="shared" si="12"/>
        <v>0</v>
      </c>
      <c r="AM34" s="4">
        <f t="shared" si="12"/>
        <v>0</v>
      </c>
      <c r="AN34" s="4">
        <f t="shared" si="12"/>
        <v>0</v>
      </c>
      <c r="AO34" s="4">
        <f t="shared" si="12"/>
        <v>0</v>
      </c>
      <c r="AP34" s="4">
        <f t="shared" si="12"/>
        <v>0</v>
      </c>
      <c r="AQ34" s="4">
        <f t="shared" si="12"/>
        <v>0</v>
      </c>
    </row>
    <row r="35" spans="2:43" ht="15" thickTop="1" x14ac:dyDescent="0.3">
      <c r="B35" s="26"/>
      <c r="C35" s="26"/>
      <c r="D35" s="26"/>
      <c r="E35" s="26"/>
      <c r="F35" s="83"/>
      <c r="G35" s="26"/>
      <c r="H35" s="80"/>
      <c r="I35" s="35"/>
      <c r="J35" s="80"/>
      <c r="K35" s="6"/>
    </row>
    <row r="36" spans="2:43" x14ac:dyDescent="0.3">
      <c r="B36" s="28"/>
      <c r="H36" s="53"/>
      <c r="I36" s="68"/>
      <c r="J36" s="53"/>
      <c r="K36" s="1"/>
      <c r="R36" s="118"/>
    </row>
  </sheetData>
  <mergeCells count="3">
    <mergeCell ref="B1:J1"/>
    <mergeCell ref="B3:J3"/>
    <mergeCell ref="B4:J4"/>
  </mergeCells>
  <pageMargins left="0.70866141732283472" right="0.70866141732283472" top="0.74803149606299213" bottom="0.74803149606299213" header="0.31496062992125984" footer="0.31496062992125984"/>
  <pageSetup paperSize="9" orientation="portrait" r:id="rId1"/>
  <headerFooter>
    <oddHeader>&amp;RPage &amp;P</oddHeader>
    <oddFooter>&amp;C&amp;8The accompanying notes form part of these financial statements
This report should be read in conjunction with the following compilation report of Best Tax Strategies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83"/>
  <sheetViews>
    <sheetView workbookViewId="0">
      <pane xSplit="10" ySplit="7" topLeftCell="AD63" activePane="bottomRight" state="frozenSplit"/>
      <selection activeCell="R18" sqref="R18"/>
      <selection pane="topRight" activeCell="R18" sqref="R18"/>
      <selection pane="bottomLeft" activeCell="R18" sqref="R18"/>
      <selection pane="bottomRight" activeCell="R18" sqref="R18"/>
    </sheetView>
  </sheetViews>
  <sheetFormatPr defaultColWidth="9.109375" defaultRowHeight="14.4" x14ac:dyDescent="0.3"/>
  <cols>
    <col min="1" max="1" width="0" style="4" hidden="1" customWidth="1"/>
    <col min="2" max="4" width="3.33203125" style="51" customWidth="1"/>
    <col min="5" max="5" width="41" style="51" customWidth="1"/>
    <col min="6" max="6" width="10.6640625" style="57" customWidth="1"/>
    <col min="7" max="7" width="2" style="51" customWidth="1"/>
    <col min="8" max="8" width="10.6640625" style="57" customWidth="1"/>
    <col min="9" max="9" width="2" style="51" customWidth="1"/>
    <col min="10" max="10" width="10.6640625" style="57" customWidth="1"/>
    <col min="11" max="11" width="9.109375" style="1"/>
    <col min="12" max="13" width="9.109375" style="4"/>
    <col min="14" max="14" width="10" style="4" bestFit="1" customWidth="1"/>
    <col min="15" max="15" width="9.88671875" style="4" customWidth="1"/>
    <col min="16" max="16" width="10" style="4" bestFit="1" customWidth="1"/>
    <col min="17" max="19" width="9.109375" style="4"/>
    <col min="20" max="20" width="10.88671875" style="4" bestFit="1" customWidth="1"/>
    <col min="21" max="25" width="9.109375" style="4"/>
    <col min="26" max="26" width="10.44140625" style="4" bestFit="1" customWidth="1"/>
    <col min="27" max="27" width="10" style="4" bestFit="1" customWidth="1"/>
    <col min="28" max="28" width="10.6640625" style="4" bestFit="1" customWidth="1"/>
    <col min="29" max="29" width="9.109375" style="4"/>
    <col min="30" max="30" width="11" style="4" bestFit="1" customWidth="1"/>
    <col min="31" max="31" width="9.109375" style="4"/>
    <col min="32" max="32" width="11" style="4" bestFit="1" customWidth="1"/>
    <col min="33" max="33" width="10" style="4" bestFit="1" customWidth="1"/>
    <col min="34" max="16384" width="9.109375" style="4"/>
  </cols>
  <sheetData>
    <row r="1" spans="2:43" s="17" customFormat="1" ht="15.6" x14ac:dyDescent="0.3">
      <c r="B1" s="136" t="str">
        <f>Cover!$B$22</f>
        <v>Infensus Superannuation Fund</v>
      </c>
      <c r="C1" s="136"/>
      <c r="D1" s="136"/>
      <c r="E1" s="136"/>
      <c r="F1" s="136"/>
      <c r="G1" s="136"/>
      <c r="H1" s="136"/>
      <c r="I1" s="136"/>
      <c r="J1" s="136"/>
      <c r="N1" s="17" t="str">
        <f>N3&amp;N4</f>
        <v>G &amp; L2013</v>
      </c>
      <c r="O1" s="17" t="str">
        <f t="shared" ref="O1:AQ1" si="0">O3&amp;O4</f>
        <v>DGO2013</v>
      </c>
      <c r="P1" s="17" t="str">
        <f t="shared" si="0"/>
        <v>G &amp; L2014</v>
      </c>
      <c r="Q1" s="17" t="str">
        <f t="shared" si="0"/>
        <v>DGO2014</v>
      </c>
      <c r="R1" s="17" t="str">
        <f t="shared" si="0"/>
        <v>G &amp; L2015</v>
      </c>
      <c r="S1" s="17" t="str">
        <f t="shared" si="0"/>
        <v>DGO2015</v>
      </c>
      <c r="T1" s="17" t="str">
        <f t="shared" si="0"/>
        <v>G &amp; L2016</v>
      </c>
      <c r="U1" s="17" t="str">
        <f t="shared" si="0"/>
        <v>DGO2016</v>
      </c>
      <c r="V1" s="17" t="str">
        <f t="shared" si="0"/>
        <v>G &amp; L2017</v>
      </c>
      <c r="W1" s="17" t="str">
        <f t="shared" si="0"/>
        <v>DGO2017</v>
      </c>
      <c r="X1" s="17" t="str">
        <f t="shared" si="0"/>
        <v>G &amp; L2018</v>
      </c>
      <c r="Y1" s="17" t="str">
        <f t="shared" si="0"/>
        <v>DGO2018</v>
      </c>
      <c r="Z1" s="17" t="str">
        <f t="shared" si="0"/>
        <v>G &amp; L2019</v>
      </c>
      <c r="AA1" s="17" t="str">
        <f t="shared" si="0"/>
        <v>DGO2019</v>
      </c>
      <c r="AB1" s="17" t="str">
        <f t="shared" si="0"/>
        <v>G &amp; L2020</v>
      </c>
      <c r="AC1" s="17" t="str">
        <f t="shared" si="0"/>
        <v>DGO2020</v>
      </c>
      <c r="AD1" s="17" t="str">
        <f t="shared" si="0"/>
        <v>G &amp; L2021</v>
      </c>
      <c r="AE1" s="17" t="str">
        <f t="shared" si="0"/>
        <v>DGO2021</v>
      </c>
      <c r="AF1" s="17" t="str">
        <f t="shared" si="0"/>
        <v>G &amp; L2022</v>
      </c>
      <c r="AG1" s="17" t="str">
        <f t="shared" si="0"/>
        <v>DGO2022</v>
      </c>
      <c r="AH1" s="17" t="str">
        <f t="shared" si="0"/>
        <v>G &amp; L2023</v>
      </c>
      <c r="AI1" s="17" t="str">
        <f t="shared" si="0"/>
        <v>DGO2023</v>
      </c>
      <c r="AJ1" s="17" t="str">
        <f t="shared" si="0"/>
        <v>G &amp; L2024</v>
      </c>
      <c r="AK1" s="17" t="str">
        <f t="shared" si="0"/>
        <v>DGO2024</v>
      </c>
      <c r="AL1" s="17" t="str">
        <f t="shared" si="0"/>
        <v>G &amp; L2025</v>
      </c>
      <c r="AM1" s="17" t="str">
        <f t="shared" si="0"/>
        <v>DGO2025</v>
      </c>
      <c r="AN1" s="17" t="str">
        <f t="shared" si="0"/>
        <v>G &amp; L2026</v>
      </c>
      <c r="AO1" s="17" t="str">
        <f t="shared" si="0"/>
        <v>DGO2026</v>
      </c>
      <c r="AP1" s="17" t="str">
        <f t="shared" si="0"/>
        <v>G &amp; L2027</v>
      </c>
      <c r="AQ1" s="17" t="str">
        <f t="shared" si="0"/>
        <v>DGO2027</v>
      </c>
    </row>
    <row r="2" spans="2:43" s="12" customFormat="1" ht="6.6" x14ac:dyDescent="0.15">
      <c r="B2" s="73"/>
      <c r="C2" s="42"/>
      <c r="D2" s="42"/>
      <c r="E2" s="42"/>
      <c r="F2" s="74"/>
      <c r="G2" s="42"/>
      <c r="H2" s="74"/>
      <c r="I2" s="42"/>
      <c r="J2" s="74"/>
    </row>
    <row r="3" spans="2:43" s="17" customFormat="1" ht="15.6" x14ac:dyDescent="0.3">
      <c r="B3" s="136" t="str">
        <f>Contents!$D$11</f>
        <v>Notes to the Financial Statements</v>
      </c>
      <c r="C3" s="136"/>
      <c r="D3" s="136"/>
      <c r="E3" s="136"/>
      <c r="F3" s="136"/>
      <c r="G3" s="136"/>
      <c r="H3" s="136"/>
      <c r="I3" s="136"/>
      <c r="J3" s="136"/>
      <c r="N3" s="17" t="s">
        <v>233</v>
      </c>
      <c r="O3" s="17" t="s">
        <v>218</v>
      </c>
      <c r="P3" s="17" t="s">
        <v>233</v>
      </c>
      <c r="Q3" s="17" t="s">
        <v>218</v>
      </c>
      <c r="R3" s="17" t="s">
        <v>233</v>
      </c>
      <c r="S3" s="17" t="s">
        <v>218</v>
      </c>
      <c r="T3" s="17" t="s">
        <v>233</v>
      </c>
      <c r="U3" s="17" t="s">
        <v>218</v>
      </c>
      <c r="V3" s="17" t="s">
        <v>233</v>
      </c>
      <c r="W3" s="17" t="s">
        <v>218</v>
      </c>
      <c r="X3" s="17" t="s">
        <v>233</v>
      </c>
      <c r="Y3" s="17" t="s">
        <v>218</v>
      </c>
      <c r="Z3" s="17" t="s">
        <v>233</v>
      </c>
      <c r="AA3" s="17" t="s">
        <v>218</v>
      </c>
      <c r="AB3" s="17" t="s">
        <v>233</v>
      </c>
      <c r="AC3" s="17" t="s">
        <v>218</v>
      </c>
      <c r="AD3" s="17" t="s">
        <v>233</v>
      </c>
      <c r="AE3" s="17" t="s">
        <v>218</v>
      </c>
      <c r="AF3" s="17" t="s">
        <v>233</v>
      </c>
      <c r="AG3" s="17" t="s">
        <v>218</v>
      </c>
      <c r="AH3" s="17" t="s">
        <v>233</v>
      </c>
      <c r="AI3" s="17" t="s">
        <v>218</v>
      </c>
      <c r="AJ3" s="17" t="s">
        <v>233</v>
      </c>
      <c r="AK3" s="17" t="s">
        <v>218</v>
      </c>
      <c r="AL3" s="17" t="s">
        <v>233</v>
      </c>
      <c r="AM3" s="17" t="s">
        <v>218</v>
      </c>
      <c r="AN3" s="17" t="s">
        <v>233</v>
      </c>
      <c r="AO3" s="17" t="s">
        <v>218</v>
      </c>
      <c r="AP3" s="17" t="s">
        <v>233</v>
      </c>
      <c r="AQ3" s="17" t="s">
        <v>218</v>
      </c>
    </row>
    <row r="4" spans="2:43" s="17" customFormat="1" ht="15.6" x14ac:dyDescent="0.3">
      <c r="B4" s="137">
        <f>Cover!$B$26</f>
        <v>2023</v>
      </c>
      <c r="C4" s="137"/>
      <c r="D4" s="137"/>
      <c r="E4" s="137"/>
      <c r="F4" s="137"/>
      <c r="G4" s="137"/>
      <c r="H4" s="137"/>
      <c r="I4" s="137"/>
      <c r="J4" s="137"/>
      <c r="N4" s="17">
        <v>2013</v>
      </c>
      <c r="O4" s="17">
        <v>2013</v>
      </c>
      <c r="P4" s="17">
        <v>2014</v>
      </c>
      <c r="Q4" s="17">
        <v>2014</v>
      </c>
      <c r="R4" s="17">
        <v>2015</v>
      </c>
      <c r="S4" s="17">
        <v>2015</v>
      </c>
      <c r="T4" s="17">
        <v>2016</v>
      </c>
      <c r="U4" s="17">
        <v>2016</v>
      </c>
      <c r="V4" s="17">
        <v>2017</v>
      </c>
      <c r="W4" s="17">
        <v>2017</v>
      </c>
      <c r="X4" s="17">
        <v>2018</v>
      </c>
      <c r="Y4" s="17">
        <v>2018</v>
      </c>
      <c r="Z4" s="17">
        <v>2019</v>
      </c>
      <c r="AA4" s="17">
        <v>2019</v>
      </c>
      <c r="AB4" s="17">
        <v>2020</v>
      </c>
      <c r="AC4" s="17">
        <v>2020</v>
      </c>
      <c r="AD4" s="17">
        <v>2021</v>
      </c>
      <c r="AE4" s="17">
        <v>2021</v>
      </c>
      <c r="AF4" s="17">
        <v>2022</v>
      </c>
      <c r="AG4" s="17">
        <v>2022</v>
      </c>
      <c r="AH4" s="17">
        <v>2023</v>
      </c>
      <c r="AI4" s="17">
        <v>2023</v>
      </c>
      <c r="AJ4" s="17">
        <v>2024</v>
      </c>
      <c r="AK4" s="17">
        <v>2024</v>
      </c>
      <c r="AL4" s="17">
        <v>2025</v>
      </c>
      <c r="AM4" s="17">
        <v>2025</v>
      </c>
      <c r="AN4" s="17">
        <v>2026</v>
      </c>
      <c r="AO4" s="17">
        <v>2026</v>
      </c>
      <c r="AP4" s="17">
        <v>2027</v>
      </c>
      <c r="AQ4" s="17">
        <v>2027</v>
      </c>
    </row>
    <row r="5" spans="2:43" s="20" customFormat="1" ht="8.25" customHeight="1" x14ac:dyDescent="0.3">
      <c r="B5" s="44"/>
      <c r="C5" s="63"/>
      <c r="D5" s="63"/>
      <c r="E5" s="63"/>
      <c r="F5" s="54"/>
      <c r="G5" s="63"/>
      <c r="H5" s="54"/>
      <c r="I5" s="63"/>
      <c r="J5" s="54"/>
      <c r="K5" s="17"/>
    </row>
    <row r="6" spans="2:43" s="17" customFormat="1" ht="15.6" x14ac:dyDescent="0.3">
      <c r="B6" s="75"/>
      <c r="C6" s="45"/>
      <c r="D6" s="45"/>
      <c r="E6" s="45"/>
      <c r="F6" s="56"/>
      <c r="G6" s="45"/>
      <c r="H6" s="55">
        <f>Cover!$B$26</f>
        <v>2023</v>
      </c>
      <c r="I6" s="49"/>
      <c r="J6" s="55">
        <f>H6-1</f>
        <v>2022</v>
      </c>
    </row>
    <row r="7" spans="2:43" s="17" customFormat="1" ht="15.6" x14ac:dyDescent="0.3">
      <c r="B7" s="75"/>
      <c r="C7" s="45"/>
      <c r="D7" s="45"/>
      <c r="E7" s="45"/>
      <c r="F7" s="76"/>
      <c r="G7" s="45"/>
      <c r="H7" s="56" t="s">
        <v>122</v>
      </c>
      <c r="I7" s="50"/>
      <c r="J7" s="56" t="s">
        <v>122</v>
      </c>
    </row>
    <row r="8" spans="2:43" s="20" customFormat="1" ht="8.25" customHeight="1" x14ac:dyDescent="0.3">
      <c r="B8" s="44"/>
      <c r="C8" s="63"/>
      <c r="D8" s="63"/>
      <c r="E8" s="63"/>
      <c r="F8" s="54"/>
      <c r="G8" s="63"/>
      <c r="H8" s="54"/>
      <c r="I8" s="63"/>
      <c r="J8" s="54"/>
      <c r="K8" s="17"/>
    </row>
    <row r="9" spans="2:43" x14ac:dyDescent="0.3">
      <c r="B9" s="29"/>
    </row>
    <row r="10" spans="2:43" x14ac:dyDescent="0.3">
      <c r="B10" s="29">
        <v>1</v>
      </c>
      <c r="C10" s="29" t="s">
        <v>244</v>
      </c>
      <c r="D10" s="29"/>
      <c r="E10" s="29"/>
      <c r="F10" s="58"/>
      <c r="G10" s="29"/>
      <c r="H10" s="58"/>
      <c r="I10" s="29"/>
      <c r="J10" s="58"/>
      <c r="K10" s="34"/>
    </row>
    <row r="11" spans="2:43" x14ac:dyDescent="0.3">
      <c r="B11" s="29"/>
    </row>
    <row r="12" spans="2:43" ht="52.5" customHeight="1" x14ac:dyDescent="0.3">
      <c r="C12" s="138" t="s">
        <v>43</v>
      </c>
      <c r="D12" s="138"/>
      <c r="E12" s="138"/>
      <c r="F12" s="138"/>
      <c r="G12" s="138"/>
      <c r="H12" s="138"/>
      <c r="I12" s="138"/>
      <c r="J12" s="138"/>
      <c r="K12" s="7"/>
    </row>
    <row r="13" spans="2:43" x14ac:dyDescent="0.3">
      <c r="B13" s="36"/>
    </row>
    <row r="14" spans="2:43" ht="39" customHeight="1" x14ac:dyDescent="0.3">
      <c r="C14" s="138" t="s">
        <v>44</v>
      </c>
      <c r="D14" s="138"/>
      <c r="E14" s="138"/>
      <c r="F14" s="138"/>
      <c r="G14" s="138"/>
      <c r="H14" s="138"/>
      <c r="I14" s="138"/>
      <c r="J14" s="138"/>
      <c r="K14" s="7"/>
    </row>
    <row r="15" spans="2:43" hidden="1" x14ac:dyDescent="0.3">
      <c r="B15" s="36"/>
    </row>
    <row r="16" spans="2:43" ht="39.75" customHeight="1" x14ac:dyDescent="0.3">
      <c r="C16" s="138" t="s">
        <v>45</v>
      </c>
      <c r="D16" s="138"/>
      <c r="E16" s="138"/>
      <c r="F16" s="138"/>
      <c r="G16" s="138"/>
      <c r="H16" s="138"/>
      <c r="I16" s="138"/>
      <c r="J16" s="138"/>
      <c r="K16" s="7"/>
    </row>
    <row r="17" spans="2:11" ht="17.25" customHeight="1" x14ac:dyDescent="0.3">
      <c r="C17" s="138" t="s">
        <v>46</v>
      </c>
      <c r="D17" s="138"/>
      <c r="E17" s="138"/>
      <c r="F17" s="138"/>
      <c r="G17" s="138"/>
      <c r="H17" s="138"/>
      <c r="I17" s="138"/>
      <c r="J17" s="138"/>
      <c r="K17" s="7"/>
    </row>
    <row r="18" spans="2:11" x14ac:dyDescent="0.3">
      <c r="B18" s="36"/>
    </row>
    <row r="19" spans="2:11" x14ac:dyDescent="0.3">
      <c r="C19" s="29" t="s">
        <v>47</v>
      </c>
      <c r="D19" s="29" t="s">
        <v>48</v>
      </c>
      <c r="E19" s="29"/>
      <c r="F19" s="58"/>
      <c r="G19" s="29"/>
      <c r="H19" s="58"/>
      <c r="I19" s="29"/>
      <c r="J19" s="58"/>
      <c r="K19" s="34"/>
    </row>
    <row r="20" spans="2:11" x14ac:dyDescent="0.3">
      <c r="B20" s="29"/>
    </row>
    <row r="21" spans="2:11" x14ac:dyDescent="0.3">
      <c r="D21" s="36" t="s">
        <v>49</v>
      </c>
      <c r="E21" s="36"/>
    </row>
    <row r="22" spans="2:11" x14ac:dyDescent="0.3">
      <c r="B22" s="36"/>
    </row>
    <row r="23" spans="2:11" ht="39.75" customHeight="1" x14ac:dyDescent="0.3">
      <c r="D23" s="36" t="s">
        <v>50</v>
      </c>
      <c r="E23" s="138" t="s">
        <v>51</v>
      </c>
      <c r="F23" s="138"/>
      <c r="G23" s="138"/>
      <c r="H23" s="138"/>
      <c r="I23" s="138"/>
      <c r="J23" s="138"/>
      <c r="K23" s="7"/>
    </row>
    <row r="24" spans="2:11" x14ac:dyDescent="0.3">
      <c r="B24" s="36"/>
    </row>
    <row r="25" spans="2:11" ht="26.25" customHeight="1" x14ac:dyDescent="0.3">
      <c r="D25" s="36" t="s">
        <v>52</v>
      </c>
      <c r="E25" s="138" t="s">
        <v>53</v>
      </c>
      <c r="F25" s="138"/>
      <c r="G25" s="138"/>
      <c r="H25" s="138"/>
      <c r="I25" s="138"/>
      <c r="J25" s="138"/>
      <c r="K25" s="7"/>
    </row>
    <row r="26" spans="2:11" x14ac:dyDescent="0.3">
      <c r="B26" s="36"/>
    </row>
    <row r="27" spans="2:11" ht="39" customHeight="1" x14ac:dyDescent="0.3">
      <c r="D27" s="138" t="s">
        <v>54</v>
      </c>
      <c r="E27" s="138"/>
      <c r="F27" s="138"/>
      <c r="G27" s="138"/>
      <c r="H27" s="138"/>
      <c r="I27" s="138"/>
      <c r="J27" s="138"/>
    </row>
    <row r="28" spans="2:11" x14ac:dyDescent="0.3">
      <c r="B28" s="36"/>
    </row>
    <row r="29" spans="2:11" x14ac:dyDescent="0.3">
      <c r="D29" s="36" t="s">
        <v>55</v>
      </c>
    </row>
    <row r="30" spans="2:11" x14ac:dyDescent="0.3">
      <c r="B30" s="36"/>
    </row>
    <row r="31" spans="2:11" ht="27" customHeight="1" x14ac:dyDescent="0.3">
      <c r="D31" s="36" t="s">
        <v>50</v>
      </c>
      <c r="E31" s="138" t="s">
        <v>56</v>
      </c>
      <c r="F31" s="138"/>
      <c r="G31" s="138"/>
      <c r="H31" s="138"/>
      <c r="I31" s="138"/>
      <c r="J31" s="138"/>
      <c r="K31" s="7"/>
    </row>
    <row r="32" spans="2:11" x14ac:dyDescent="0.3">
      <c r="B32" s="36"/>
    </row>
    <row r="33" spans="2:11" ht="26.25" customHeight="1" x14ac:dyDescent="0.3">
      <c r="D33" s="36" t="s">
        <v>52</v>
      </c>
      <c r="E33" s="138" t="s">
        <v>57</v>
      </c>
      <c r="F33" s="138"/>
      <c r="G33" s="138"/>
      <c r="H33" s="138"/>
      <c r="I33" s="138"/>
      <c r="J33" s="138"/>
      <c r="K33" s="7"/>
    </row>
    <row r="34" spans="2:11" x14ac:dyDescent="0.3">
      <c r="B34" s="36"/>
    </row>
    <row r="35" spans="2:11" ht="26.25" customHeight="1" x14ac:dyDescent="0.3">
      <c r="D35" s="36" t="s">
        <v>58</v>
      </c>
      <c r="E35" s="138" t="s">
        <v>59</v>
      </c>
      <c r="F35" s="138"/>
      <c r="G35" s="138"/>
      <c r="H35" s="138"/>
      <c r="I35" s="138"/>
      <c r="J35" s="138"/>
      <c r="K35" s="7"/>
    </row>
    <row r="36" spans="2:11" x14ac:dyDescent="0.3">
      <c r="B36" s="36"/>
    </row>
    <row r="37" spans="2:11" x14ac:dyDescent="0.3">
      <c r="D37" s="36" t="s">
        <v>60</v>
      </c>
      <c r="E37" s="138" t="s">
        <v>61</v>
      </c>
      <c r="F37" s="138"/>
      <c r="G37" s="138"/>
      <c r="H37" s="138"/>
      <c r="I37" s="138"/>
      <c r="J37" s="138"/>
      <c r="K37" s="7"/>
    </row>
    <row r="38" spans="2:11" x14ac:dyDescent="0.3">
      <c r="B38" s="36"/>
    </row>
    <row r="39" spans="2:11" ht="27" customHeight="1" x14ac:dyDescent="0.3">
      <c r="D39" s="138" t="s">
        <v>62</v>
      </c>
      <c r="E39" s="138"/>
      <c r="F39" s="138"/>
      <c r="G39" s="138"/>
      <c r="H39" s="138"/>
      <c r="I39" s="138"/>
      <c r="J39" s="138"/>
    </row>
    <row r="40" spans="2:11" hidden="1" x14ac:dyDescent="0.3">
      <c r="B40" s="36"/>
    </row>
    <row r="41" spans="2:11" ht="39" customHeight="1" x14ac:dyDescent="0.3">
      <c r="D41" s="138" t="s">
        <v>63</v>
      </c>
      <c r="E41" s="138"/>
      <c r="F41" s="138"/>
      <c r="G41" s="138"/>
      <c r="H41" s="138"/>
      <c r="I41" s="138"/>
      <c r="J41" s="138"/>
    </row>
    <row r="42" spans="2:11" x14ac:dyDescent="0.3">
      <c r="B42" s="36"/>
    </row>
    <row r="43" spans="2:11" ht="78.75" customHeight="1" x14ac:dyDescent="0.3">
      <c r="D43" s="138" t="s">
        <v>64</v>
      </c>
      <c r="E43" s="138"/>
      <c r="F43" s="138"/>
      <c r="G43" s="138"/>
      <c r="H43" s="138"/>
      <c r="I43" s="138"/>
      <c r="J43" s="138"/>
    </row>
    <row r="44" spans="2:11" x14ac:dyDescent="0.3">
      <c r="B44" s="36"/>
    </row>
    <row r="45" spans="2:11" x14ac:dyDescent="0.3">
      <c r="C45" s="29" t="s">
        <v>65</v>
      </c>
      <c r="D45" s="29" t="s">
        <v>66</v>
      </c>
      <c r="E45" s="29"/>
      <c r="F45" s="58"/>
      <c r="G45" s="29"/>
      <c r="H45" s="58"/>
      <c r="I45" s="29"/>
      <c r="K45" s="34"/>
    </row>
    <row r="46" spans="2:11" x14ac:dyDescent="0.3">
      <c r="B46" s="29"/>
    </row>
    <row r="47" spans="2:11" ht="44.25" customHeight="1" x14ac:dyDescent="0.3">
      <c r="D47" s="138" t="s">
        <v>67</v>
      </c>
      <c r="E47" s="138"/>
      <c r="F47" s="138"/>
      <c r="G47" s="138"/>
      <c r="H47" s="138"/>
      <c r="I47" s="138"/>
      <c r="J47" s="138"/>
    </row>
    <row r="48" spans="2:11" x14ac:dyDescent="0.3">
      <c r="B48" s="36"/>
    </row>
    <row r="49" spans="2:11" x14ac:dyDescent="0.3">
      <c r="C49" s="29" t="s">
        <v>68</v>
      </c>
      <c r="D49" s="29" t="s">
        <v>69</v>
      </c>
      <c r="E49" s="29"/>
      <c r="F49" s="58"/>
      <c r="G49" s="29"/>
      <c r="H49" s="58"/>
      <c r="I49" s="29"/>
      <c r="J49" s="58"/>
      <c r="K49" s="34"/>
    </row>
    <row r="50" spans="2:11" x14ac:dyDescent="0.3">
      <c r="B50" s="29"/>
    </row>
    <row r="51" spans="2:11" x14ac:dyDescent="0.3">
      <c r="D51" s="36" t="s">
        <v>70</v>
      </c>
    </row>
    <row r="52" spans="2:11" x14ac:dyDescent="0.3">
      <c r="B52" s="36"/>
    </row>
    <row r="53" spans="2:11" x14ac:dyDescent="0.3">
      <c r="D53" s="29" t="s">
        <v>71</v>
      </c>
      <c r="E53" s="29"/>
    </row>
    <row r="54" spans="2:11" ht="27.75" customHeight="1" x14ac:dyDescent="0.3">
      <c r="D54" s="138" t="s">
        <v>72</v>
      </c>
      <c r="E54" s="138"/>
      <c r="F54" s="138"/>
      <c r="G54" s="138"/>
      <c r="H54" s="138"/>
      <c r="I54" s="138"/>
      <c r="J54" s="138"/>
    </row>
    <row r="55" spans="2:11" x14ac:dyDescent="0.3">
      <c r="B55" s="36"/>
    </row>
    <row r="56" spans="2:11" x14ac:dyDescent="0.3">
      <c r="D56" s="29" t="s">
        <v>73</v>
      </c>
      <c r="E56" s="29"/>
    </row>
    <row r="57" spans="2:11" ht="26.25" customHeight="1" x14ac:dyDescent="0.3">
      <c r="D57" s="138" t="s">
        <v>287</v>
      </c>
      <c r="E57" s="138"/>
      <c r="F57" s="138"/>
      <c r="G57" s="138"/>
      <c r="H57" s="138"/>
      <c r="I57" s="138"/>
      <c r="J57" s="138"/>
    </row>
    <row r="58" spans="2:11" x14ac:dyDescent="0.3">
      <c r="B58" s="36"/>
    </row>
    <row r="59" spans="2:11" x14ac:dyDescent="0.3">
      <c r="D59" s="29" t="s">
        <v>74</v>
      </c>
      <c r="E59" s="29"/>
    </row>
    <row r="60" spans="2:11" ht="40.5" customHeight="1" x14ac:dyDescent="0.3">
      <c r="D60" s="138" t="s">
        <v>75</v>
      </c>
      <c r="E60" s="138"/>
      <c r="F60" s="138"/>
      <c r="G60" s="138"/>
      <c r="H60" s="138"/>
      <c r="I60" s="138"/>
      <c r="J60" s="138"/>
    </row>
    <row r="61" spans="2:11" x14ac:dyDescent="0.3">
      <c r="B61" s="36"/>
    </row>
    <row r="62" spans="2:11" x14ac:dyDescent="0.3">
      <c r="D62" s="29" t="s">
        <v>76</v>
      </c>
      <c r="E62" s="29"/>
    </row>
    <row r="63" spans="2:11" ht="52.5" customHeight="1" x14ac:dyDescent="0.3">
      <c r="D63" s="138" t="s">
        <v>77</v>
      </c>
      <c r="E63" s="138"/>
      <c r="F63" s="138"/>
      <c r="G63" s="138"/>
      <c r="H63" s="138"/>
      <c r="I63" s="138"/>
      <c r="J63" s="138"/>
    </row>
    <row r="64" spans="2:11" hidden="1" x14ac:dyDescent="0.3">
      <c r="B64" s="36"/>
    </row>
    <row r="65" spans="2:11" x14ac:dyDescent="0.3">
      <c r="C65" s="29" t="s">
        <v>78</v>
      </c>
      <c r="D65" s="29" t="s">
        <v>79</v>
      </c>
      <c r="E65" s="29"/>
      <c r="F65" s="58"/>
      <c r="G65" s="29"/>
      <c r="H65" s="58"/>
      <c r="I65" s="29"/>
      <c r="J65" s="58"/>
      <c r="K65" s="34"/>
    </row>
    <row r="66" spans="2:11" x14ac:dyDescent="0.3">
      <c r="B66" s="29"/>
    </row>
    <row r="67" spans="2:11" ht="52.5" customHeight="1" x14ac:dyDescent="0.3">
      <c r="D67" s="138" t="s">
        <v>80</v>
      </c>
      <c r="E67" s="138"/>
      <c r="F67" s="138"/>
      <c r="G67" s="138"/>
      <c r="H67" s="138"/>
      <c r="I67" s="138"/>
      <c r="J67" s="138"/>
    </row>
    <row r="68" spans="2:11" x14ac:dyDescent="0.3">
      <c r="B68" s="36"/>
    </row>
    <row r="69" spans="2:11" x14ac:dyDescent="0.3">
      <c r="C69" s="29" t="s">
        <v>81</v>
      </c>
      <c r="D69" s="29" t="s">
        <v>82</v>
      </c>
      <c r="E69" s="29"/>
      <c r="F69" s="58"/>
      <c r="G69" s="29"/>
      <c r="H69" s="58"/>
      <c r="I69" s="29"/>
      <c r="J69" s="58"/>
      <c r="K69" s="34"/>
    </row>
    <row r="70" spans="2:11" x14ac:dyDescent="0.3">
      <c r="B70" s="29"/>
    </row>
    <row r="71" spans="2:11" ht="27.75" customHeight="1" x14ac:dyDescent="0.3">
      <c r="D71" s="138" t="s">
        <v>83</v>
      </c>
      <c r="E71" s="138"/>
      <c r="F71" s="138"/>
      <c r="G71" s="138"/>
      <c r="H71" s="138"/>
      <c r="I71" s="138"/>
      <c r="J71" s="138"/>
    </row>
    <row r="72" spans="2:11" x14ac:dyDescent="0.3">
      <c r="B72" s="36"/>
      <c r="C72" s="36"/>
    </row>
    <row r="73" spans="2:11" ht="39" customHeight="1" x14ac:dyDescent="0.3">
      <c r="D73" s="138" t="s">
        <v>84</v>
      </c>
      <c r="E73" s="138"/>
      <c r="F73" s="138"/>
      <c r="G73" s="138"/>
      <c r="H73" s="138"/>
      <c r="I73" s="138"/>
      <c r="J73" s="138"/>
    </row>
    <row r="74" spans="2:11" x14ac:dyDescent="0.3">
      <c r="B74" s="36"/>
      <c r="C74" s="36"/>
    </row>
    <row r="75" spans="2:11" ht="27.75" customHeight="1" x14ac:dyDescent="0.3">
      <c r="D75" s="138" t="s">
        <v>85</v>
      </c>
      <c r="E75" s="138"/>
      <c r="F75" s="138"/>
      <c r="G75" s="138"/>
      <c r="H75" s="138"/>
      <c r="I75" s="138"/>
      <c r="J75" s="138"/>
    </row>
    <row r="76" spans="2:11" x14ac:dyDescent="0.3">
      <c r="B76" s="36"/>
      <c r="C76" s="36"/>
    </row>
    <row r="77" spans="2:11" ht="28.5" customHeight="1" x14ac:dyDescent="0.3">
      <c r="D77" s="138" t="s">
        <v>86</v>
      </c>
      <c r="E77" s="138"/>
      <c r="F77" s="138"/>
      <c r="G77" s="138"/>
      <c r="H77" s="138"/>
      <c r="I77" s="138"/>
      <c r="J77" s="138"/>
    </row>
    <row r="78" spans="2:11" x14ac:dyDescent="0.3">
      <c r="B78" s="36"/>
      <c r="C78" s="36"/>
    </row>
    <row r="79" spans="2:11" ht="51.75" customHeight="1" x14ac:dyDescent="0.3">
      <c r="D79" s="138" t="s">
        <v>87</v>
      </c>
      <c r="E79" s="138"/>
      <c r="F79" s="138"/>
      <c r="G79" s="138"/>
      <c r="H79" s="138"/>
      <c r="I79" s="138"/>
      <c r="J79" s="138"/>
    </row>
    <row r="80" spans="2:11" x14ac:dyDescent="0.3">
      <c r="B80" s="36"/>
      <c r="C80" s="36"/>
    </row>
    <row r="81" spans="2:11" ht="39.75" customHeight="1" x14ac:dyDescent="0.3">
      <c r="D81" s="138" t="s">
        <v>88</v>
      </c>
      <c r="E81" s="138"/>
      <c r="F81" s="138"/>
      <c r="G81" s="138"/>
      <c r="H81" s="138"/>
      <c r="I81" s="138"/>
      <c r="J81" s="138"/>
    </row>
    <row r="82" spans="2:11" x14ac:dyDescent="0.3">
      <c r="B82" s="36"/>
      <c r="C82" s="36"/>
    </row>
    <row r="83" spans="2:11" ht="40.5" customHeight="1" x14ac:dyDescent="0.3">
      <c r="D83" s="138" t="s">
        <v>89</v>
      </c>
      <c r="E83" s="138"/>
      <c r="F83" s="138"/>
      <c r="G83" s="138"/>
      <c r="H83" s="138"/>
      <c r="I83" s="138"/>
      <c r="J83" s="138"/>
    </row>
    <row r="84" spans="2:11" x14ac:dyDescent="0.3">
      <c r="B84" s="36"/>
      <c r="C84" s="36"/>
    </row>
    <row r="85" spans="2:11" x14ac:dyDescent="0.3">
      <c r="D85" s="36" t="s">
        <v>90</v>
      </c>
      <c r="E85" s="138" t="s">
        <v>91</v>
      </c>
      <c r="F85" s="138"/>
      <c r="G85" s="138"/>
      <c r="H85" s="138"/>
      <c r="I85" s="138"/>
      <c r="J85" s="138"/>
      <c r="K85" s="30"/>
    </row>
    <row r="86" spans="2:11" x14ac:dyDescent="0.3">
      <c r="B86" s="36"/>
      <c r="C86" s="36"/>
    </row>
    <row r="87" spans="2:11" ht="66" customHeight="1" x14ac:dyDescent="0.3">
      <c r="D87" s="36" t="s">
        <v>92</v>
      </c>
      <c r="E87" s="138" t="s">
        <v>93</v>
      </c>
      <c r="F87" s="138"/>
      <c r="G87" s="138"/>
      <c r="H87" s="138"/>
      <c r="I87" s="138"/>
      <c r="J87" s="138"/>
      <c r="K87" s="30"/>
    </row>
    <row r="88" spans="2:11" x14ac:dyDescent="0.3">
      <c r="B88" s="36"/>
    </row>
    <row r="89" spans="2:11" x14ac:dyDescent="0.3">
      <c r="C89" s="29" t="s">
        <v>94</v>
      </c>
      <c r="D89" s="139" t="s">
        <v>95</v>
      </c>
      <c r="E89" s="139"/>
      <c r="F89" s="139"/>
      <c r="G89" s="139"/>
      <c r="H89" s="139"/>
      <c r="I89" s="139"/>
      <c r="J89" s="139"/>
      <c r="K89" s="34"/>
    </row>
    <row r="90" spans="2:11" x14ac:dyDescent="0.3">
      <c r="B90" s="29"/>
    </row>
    <row r="91" spans="2:11" ht="40.5" customHeight="1" x14ac:dyDescent="0.3">
      <c r="D91" s="138" t="s">
        <v>96</v>
      </c>
      <c r="E91" s="138"/>
      <c r="F91" s="138"/>
      <c r="G91" s="138"/>
      <c r="H91" s="138"/>
      <c r="I91" s="138"/>
      <c r="J91" s="138"/>
    </row>
    <row r="92" spans="2:11" x14ac:dyDescent="0.3">
      <c r="B92" s="36"/>
    </row>
    <row r="93" spans="2:11" ht="41.25" customHeight="1" x14ac:dyDescent="0.3">
      <c r="C93" s="35"/>
      <c r="D93" s="138" t="s">
        <v>97</v>
      </c>
      <c r="E93" s="138"/>
      <c r="F93" s="138"/>
      <c r="G93" s="138"/>
      <c r="H93" s="138"/>
      <c r="I93" s="138"/>
      <c r="J93" s="138"/>
    </row>
    <row r="96" spans="2:11" x14ac:dyDescent="0.3">
      <c r="B96" s="36"/>
    </row>
    <row r="97" spans="1:35" x14ac:dyDescent="0.3">
      <c r="B97" s="29">
        <v>2</v>
      </c>
      <c r="C97" s="29" t="s">
        <v>16</v>
      </c>
      <c r="D97" s="29"/>
      <c r="E97" s="29"/>
      <c r="F97" s="58"/>
      <c r="G97" s="29"/>
      <c r="H97" s="58"/>
      <c r="I97" s="29"/>
      <c r="J97" s="58"/>
      <c r="K97" s="34"/>
    </row>
    <row r="98" spans="1:35" x14ac:dyDescent="0.3">
      <c r="B98" s="29"/>
    </row>
    <row r="99" spans="1:35" x14ac:dyDescent="0.3">
      <c r="A99" s="4" t="s">
        <v>170</v>
      </c>
      <c r="B99" s="35"/>
      <c r="C99" s="36" t="s">
        <v>313</v>
      </c>
      <c r="D99" s="35"/>
      <c r="E99" s="35"/>
      <c r="F99" s="61"/>
      <c r="G99" s="35"/>
      <c r="H99" s="79">
        <f>IF(Cover!$R$18&gt;0,SUMIF($N$1:$AQ$1,Cover!$R$18&amp;H$6,$N99:$AQ99),SUMIF($N$4:$AQ$4,H$6,$N99:$AQ99))</f>
        <v>21330</v>
      </c>
      <c r="I99" s="70"/>
      <c r="J99" s="79">
        <f>IF(Cover!$R$18&gt;0,SUMIF($N$1:$AQ$1,Cover!$R$18&amp;J$6,$N99:$AQ99),SUMIF($N$4:$AQ$4,J$6,$N99:$AQ99))</f>
        <v>25785</v>
      </c>
      <c r="K99" s="5"/>
      <c r="AD99" s="4">
        <v>34000</v>
      </c>
      <c r="AF99" s="4">
        <v>25785</v>
      </c>
      <c r="AH99" s="4">
        <v>21330</v>
      </c>
    </row>
    <row r="100" spans="1:35" x14ac:dyDescent="0.3">
      <c r="A100" s="4" t="s">
        <v>170</v>
      </c>
      <c r="B100" s="123"/>
      <c r="C100" s="124" t="s">
        <v>305</v>
      </c>
      <c r="D100" s="123"/>
      <c r="E100" s="123"/>
      <c r="F100" s="61"/>
      <c r="G100" s="123"/>
      <c r="H100" s="79">
        <f>IF(Cover!$R$18&gt;0,SUMIF($N$1:$AQ$1,Cover!$R$18&amp;H$6,$N100:$AQ100),SUMIF($N$4:$AQ$4,H$6,$N100:$AQ100))</f>
        <v>34592</v>
      </c>
      <c r="I100" s="70"/>
      <c r="J100" s="79">
        <f>IF(Cover!$R$18&gt;0,SUMIF($N$1:$AQ$1,Cover!$R$18&amp;J$6,$N100:$AQ100),SUMIF($N$4:$AQ$4,J$6,$N100:$AQ100))</f>
        <v>26400</v>
      </c>
      <c r="K100" s="5"/>
      <c r="AB100" s="4">
        <v>20460</v>
      </c>
      <c r="AD100" s="4">
        <v>9840</v>
      </c>
      <c r="AF100" s="4">
        <v>26400</v>
      </c>
      <c r="AH100" s="4">
        <v>34592</v>
      </c>
    </row>
    <row r="101" spans="1:35" hidden="1" x14ac:dyDescent="0.3">
      <c r="A101" s="4" t="s">
        <v>170</v>
      </c>
      <c r="B101" s="121"/>
      <c r="C101" s="122" t="s">
        <v>186</v>
      </c>
      <c r="D101" s="121"/>
      <c r="E101" s="121"/>
      <c r="F101" s="61"/>
      <c r="G101" s="121"/>
      <c r="H101" s="79">
        <f>IF(Cover!$R$18&gt;0,SUMIF($N$1:$AQ$1,Cover!$R$18&amp;H$6,$N101:$AQ101),SUMIF($N$4:$AQ$4,H$6,$N101:$AQ101))</f>
        <v>0</v>
      </c>
      <c r="I101" s="70"/>
      <c r="J101" s="79">
        <f>IF(Cover!$R$18&gt;0,SUMIF($N$1:$AQ$1,Cover!$R$18&amp;J$6,$N101:$AQ101),SUMIF($N$4:$AQ$4,J$6,$N101:$AQ101))</f>
        <v>0</v>
      </c>
      <c r="K101" s="5"/>
      <c r="N101" s="4">
        <v>2598.96</v>
      </c>
      <c r="P101" s="4">
        <v>2648.94</v>
      </c>
      <c r="R101" s="4">
        <v>3149.82</v>
      </c>
      <c r="T101" s="4">
        <v>513.29999999999995</v>
      </c>
      <c r="V101" s="4">
        <v>513.29999999999995</v>
      </c>
      <c r="X101" s="4">
        <v>513.29999999999995</v>
      </c>
      <c r="Z101" s="4">
        <v>513.29999999999995</v>
      </c>
      <c r="AB101" s="4">
        <v>0</v>
      </c>
      <c r="AD101" s="4">
        <v>0</v>
      </c>
    </row>
    <row r="102" spans="1:35" x14ac:dyDescent="0.3">
      <c r="B102" s="96"/>
      <c r="C102" s="97" t="s">
        <v>259</v>
      </c>
      <c r="D102" s="96"/>
      <c r="E102" s="96"/>
      <c r="F102" s="61"/>
      <c r="G102" s="96"/>
      <c r="H102" s="79">
        <f>IF(Cover!$R$18&gt;0,SUMIF($N$1:$AQ$1,Cover!$R$18&amp;H$6,$N102:$AQ102),SUMIF($N$4:$AQ$4,H$6,$N102:$AQ102))</f>
        <v>217752.64</v>
      </c>
      <c r="I102" s="70"/>
      <c r="J102" s="79">
        <f>IF(Cover!$R$18&gt;0,SUMIF($N$1:$AQ$1,Cover!$R$18&amp;J$6,$N102:$AQ102),SUMIF($N$4:$AQ$4,J$6,$N102:$AQ102))</f>
        <v>189678.3</v>
      </c>
      <c r="K102" s="5"/>
      <c r="T102" s="4">
        <v>32562</v>
      </c>
      <c r="V102" s="4">
        <v>38772</v>
      </c>
      <c r="X102" s="4">
        <v>38124</v>
      </c>
      <c r="Z102" s="4">
        <v>38083.5</v>
      </c>
      <c r="AB102" s="4">
        <v>67290.399999999994</v>
      </c>
      <c r="AD102" s="4">
        <v>101621.5</v>
      </c>
      <c r="AF102" s="4">
        <v>189678.3</v>
      </c>
      <c r="AH102" s="4">
        <v>217752.64</v>
      </c>
    </row>
    <row r="103" spans="1:35" x14ac:dyDescent="0.3">
      <c r="B103" s="111"/>
      <c r="C103" s="112" t="s">
        <v>296</v>
      </c>
      <c r="D103" s="111"/>
      <c r="E103" s="111"/>
      <c r="F103" s="61"/>
      <c r="G103" s="111"/>
      <c r="H103" s="79">
        <f>IF(Cover!$R$18&gt;0,SUMIF($N$1:$AQ$1,Cover!$R$18&amp;H$6,$N103:$AQ103),SUMIF($N$4:$AQ$4,H$6,$N103:$AQ103))</f>
        <v>180</v>
      </c>
      <c r="I103" s="70"/>
      <c r="J103" s="79">
        <f>IF(Cover!$R$18&gt;0,SUMIF($N$1:$AQ$1,Cover!$R$18&amp;J$6,$N103:$AQ103),SUMIF($N$4:$AQ$4,J$6,$N103:$AQ103))</f>
        <v>300</v>
      </c>
      <c r="K103" s="5"/>
      <c r="Y103" s="4">
        <v>2300</v>
      </c>
      <c r="AA103" s="4">
        <v>8400</v>
      </c>
      <c r="AC103" s="4">
        <v>3000</v>
      </c>
      <c r="AE103" s="4">
        <v>1620</v>
      </c>
      <c r="AG103" s="4">
        <v>300</v>
      </c>
      <c r="AI103" s="4">
        <v>180</v>
      </c>
    </row>
    <row r="104" spans="1:35" x14ac:dyDescent="0.3">
      <c r="B104" s="104"/>
      <c r="C104" s="105" t="s">
        <v>277</v>
      </c>
      <c r="D104" s="104"/>
      <c r="E104" s="104"/>
      <c r="F104" s="61"/>
      <c r="G104" s="104"/>
      <c r="H104" s="79">
        <f>IF(Cover!$R$18&gt;0,SUMIF($N$1:$AQ$1,Cover!$R$18&amp;H$6,$N104:$AQ104),SUMIF($N$4:$AQ$4,H$6,$N104:$AQ104))</f>
        <v>88087.05</v>
      </c>
      <c r="I104" s="70"/>
      <c r="J104" s="79">
        <f>IF(Cover!$R$18&gt;0,SUMIF($N$1:$AQ$1,Cover!$R$18&amp;J$6,$N104:$AQ104),SUMIF($N$4:$AQ$4,J$6,$N104:$AQ104))</f>
        <v>107020.15000000001</v>
      </c>
      <c r="K104" s="5"/>
      <c r="V104" s="4">
        <v>13740</v>
      </c>
      <c r="X104" s="4">
        <v>20380</v>
      </c>
      <c r="Z104" s="4">
        <v>19060</v>
      </c>
      <c r="AB104" s="4">
        <v>37020</v>
      </c>
      <c r="AC104" s="4">
        <v>21595</v>
      </c>
      <c r="AD104" s="4">
        <v>68297.67</v>
      </c>
      <c r="AE104" s="4">
        <v>41432.28</v>
      </c>
      <c r="AF104" s="4">
        <v>76684.990000000005</v>
      </c>
      <c r="AG104" s="4">
        <v>30335.16</v>
      </c>
      <c r="AH104" s="4">
        <v>63118.53</v>
      </c>
      <c r="AI104" s="4">
        <v>24968.52</v>
      </c>
    </row>
    <row r="105" spans="1:35" hidden="1" x14ac:dyDescent="0.3">
      <c r="A105" s="4" t="s">
        <v>171</v>
      </c>
      <c r="B105" s="35"/>
      <c r="C105" s="36" t="s">
        <v>172</v>
      </c>
      <c r="D105" s="35"/>
      <c r="E105" s="35"/>
      <c r="F105" s="61"/>
      <c r="G105" s="35"/>
      <c r="H105" s="79">
        <f>IF(Cover!$R$18&gt;0,SUMIF($N$1:$AQ$1,Cover!$R$18&amp;H$6,$N105:$AQ105),SUMIF($N$4:$AQ$4,H$6,$N105:$AQ105))</f>
        <v>0</v>
      </c>
      <c r="I105" s="70"/>
      <c r="J105" s="79">
        <f>IF(Cover!$R$18&gt;0,SUMIF($N$1:$AQ$1,Cover!$R$18&amp;J$6,$N105:$AQ105),SUMIF($N$4:$AQ$4,J$6,$N105:$AQ105))</f>
        <v>0</v>
      </c>
      <c r="K105" s="5"/>
      <c r="N105" s="4">
        <v>9097.2999999999993</v>
      </c>
      <c r="P105" s="4">
        <v>10411</v>
      </c>
      <c r="R105" s="4">
        <v>129569.5</v>
      </c>
      <c r="T105" s="4">
        <v>89333.5</v>
      </c>
      <c r="V105" s="4">
        <v>111511.2</v>
      </c>
      <c r="X105" s="4">
        <v>162428.9</v>
      </c>
      <c r="Z105" s="4">
        <v>197156.4</v>
      </c>
      <c r="AB105" s="4">
        <v>135757.79999999999</v>
      </c>
      <c r="AD105" s="4">
        <v>0</v>
      </c>
    </row>
    <row r="106" spans="1:35" hidden="1" x14ac:dyDescent="0.3">
      <c r="A106" s="4" t="s">
        <v>160</v>
      </c>
      <c r="B106" s="35"/>
      <c r="C106" s="36" t="s">
        <v>98</v>
      </c>
      <c r="D106" s="35"/>
      <c r="E106" s="35"/>
      <c r="F106" s="61"/>
      <c r="G106" s="35"/>
      <c r="H106" s="79">
        <f>IF(Cover!$R$18&gt;0,SUMIF($N$1:$AQ$1,Cover!$R$18&amp;H$6,$N106:$AQ106),SUMIF($N$4:$AQ$4,H$6,$N106:$AQ106))</f>
        <v>0</v>
      </c>
      <c r="I106" s="70"/>
      <c r="J106" s="79">
        <f>IF(Cover!$R$18&gt;0,SUMIF($N$1:$AQ$1,Cover!$R$18&amp;J$6,$N106:$AQ106),SUMIF($N$4:$AQ$4,J$6,$N106:$AQ106))</f>
        <v>0</v>
      </c>
      <c r="K106" s="5"/>
      <c r="N106" s="4">
        <v>2064.15</v>
      </c>
      <c r="O106" s="4">
        <v>4590</v>
      </c>
      <c r="P106" s="4">
        <v>565.73</v>
      </c>
      <c r="Q106" s="4">
        <v>1258</v>
      </c>
      <c r="R106" s="4">
        <v>336.38</v>
      </c>
      <c r="S106" s="4">
        <v>748</v>
      </c>
      <c r="T106" s="4">
        <v>0</v>
      </c>
      <c r="U106" s="4">
        <v>612</v>
      </c>
      <c r="V106" s="4">
        <v>0</v>
      </c>
      <c r="W106" s="4">
        <v>0</v>
      </c>
    </row>
    <row r="107" spans="1:35" hidden="1" x14ac:dyDescent="0.3">
      <c r="A107" s="4" t="s">
        <v>161</v>
      </c>
      <c r="B107" s="35"/>
      <c r="C107" s="36" t="s">
        <v>159</v>
      </c>
      <c r="D107" s="35"/>
      <c r="E107" s="35"/>
      <c r="F107" s="61"/>
      <c r="G107" s="35"/>
      <c r="H107" s="79">
        <f>IF(Cover!$R$18&gt;0,SUMIF($N$1:$AQ$1,Cover!$R$18&amp;H$6,$N107:$AQ107),SUMIF($N$4:$AQ$4,H$6,$N107:$AQ107))</f>
        <v>0</v>
      </c>
      <c r="I107" s="70"/>
      <c r="J107" s="79">
        <f>IF(Cover!$R$18&gt;0,SUMIF($N$1:$AQ$1,Cover!$R$18&amp;J$6,$N107:$AQ107),SUMIF($N$4:$AQ$4,J$6,$N107:$AQ107))</f>
        <v>0</v>
      </c>
      <c r="K107" s="5"/>
      <c r="N107" s="4">
        <v>1812.5</v>
      </c>
      <c r="O107" s="4">
        <v>7250</v>
      </c>
      <c r="P107" s="4">
        <v>1250</v>
      </c>
      <c r="Q107" s="4">
        <v>5000</v>
      </c>
      <c r="R107" s="4">
        <v>3465</v>
      </c>
      <c r="S107" s="4">
        <v>13860</v>
      </c>
      <c r="T107" s="4">
        <v>5145</v>
      </c>
      <c r="U107" s="4">
        <v>20580</v>
      </c>
      <c r="V107" s="4">
        <v>7140</v>
      </c>
      <c r="W107" s="4">
        <v>28560</v>
      </c>
      <c r="X107" s="4">
        <v>6405</v>
      </c>
      <c r="Y107" s="4">
        <v>25620</v>
      </c>
      <c r="Z107" s="4">
        <v>6825</v>
      </c>
      <c r="AA107" s="4">
        <v>27300</v>
      </c>
      <c r="AB107" s="4">
        <v>0</v>
      </c>
      <c r="AD107" s="4">
        <v>0</v>
      </c>
    </row>
    <row r="108" spans="1:35" x14ac:dyDescent="0.3">
      <c r="A108" s="4" t="s">
        <v>162</v>
      </c>
      <c r="B108" s="35"/>
      <c r="C108" s="36" t="s">
        <v>99</v>
      </c>
      <c r="D108" s="35"/>
      <c r="E108" s="35"/>
      <c r="F108" s="61"/>
      <c r="G108" s="35"/>
      <c r="H108" s="79">
        <f>IF(Cover!$R$18&gt;0,SUMIF($N$1:$AQ$1,Cover!$R$18&amp;H$6,$N108:$AQ108),SUMIF($N$4:$AQ$4,H$6,$N108:$AQ108))</f>
        <v>0</v>
      </c>
      <c r="I108" s="70"/>
      <c r="J108" s="79">
        <f>IF(Cover!$R$18&gt;0,SUMIF($N$1:$AQ$1,Cover!$R$18&amp;J$6,$N108:$AQ108),SUMIF($N$4:$AQ$4,J$6,$N108:$AQ108))</f>
        <v>81.94</v>
      </c>
      <c r="K108" s="5"/>
      <c r="N108" s="4">
        <v>482</v>
      </c>
      <c r="O108" s="4">
        <v>68.040000000000006</v>
      </c>
      <c r="P108" s="4">
        <v>385.6</v>
      </c>
      <c r="Q108" s="4">
        <v>54.4</v>
      </c>
      <c r="R108" s="4">
        <v>443.44</v>
      </c>
      <c r="S108" s="4">
        <v>62.56</v>
      </c>
      <c r="T108" s="4">
        <v>332.58</v>
      </c>
      <c r="U108" s="4">
        <v>46.92</v>
      </c>
      <c r="V108" s="4">
        <v>110.86</v>
      </c>
      <c r="W108" s="4">
        <v>15.64</v>
      </c>
      <c r="X108" s="4">
        <v>81.94</v>
      </c>
      <c r="Y108" s="4">
        <v>0</v>
      </c>
      <c r="Z108" s="4">
        <v>57.84</v>
      </c>
      <c r="AA108" s="4">
        <v>0</v>
      </c>
      <c r="AB108" s="4">
        <v>43.38</v>
      </c>
      <c r="AD108" s="4">
        <v>77.12</v>
      </c>
      <c r="AF108" s="4">
        <v>81.94</v>
      </c>
      <c r="AH108" s="4">
        <v>0</v>
      </c>
    </row>
    <row r="109" spans="1:35" x14ac:dyDescent="0.3">
      <c r="A109" s="4" t="s">
        <v>165</v>
      </c>
      <c r="B109" s="123"/>
      <c r="C109" s="124" t="s">
        <v>314</v>
      </c>
      <c r="D109" s="123"/>
      <c r="E109" s="123"/>
      <c r="F109" s="61"/>
      <c r="G109" s="123"/>
      <c r="H109" s="79">
        <f>IF(Cover!$R$18&gt;0,SUMIF($N$1:$AQ$1,Cover!$R$18&amp;H$6,$N109:$AQ109),SUMIF($N$4:$AQ$4,H$6,$N109:$AQ109))</f>
        <v>24600</v>
      </c>
      <c r="I109" s="70"/>
      <c r="J109" s="79">
        <f>IF(Cover!$R$18&gt;0,SUMIF($N$1:$AQ$1,Cover!$R$18&amp;J$6,$N109:$AQ109),SUMIF($N$4:$AQ$4,J$6,$N109:$AQ109))</f>
        <v>33120</v>
      </c>
      <c r="K109" s="5"/>
      <c r="AD109" s="4">
        <v>33180</v>
      </c>
      <c r="AF109" s="4">
        <v>33120</v>
      </c>
      <c r="AH109" s="4">
        <v>24600</v>
      </c>
    </row>
    <row r="110" spans="1:35" hidden="1" x14ac:dyDescent="0.3">
      <c r="A110" s="4" t="s">
        <v>165</v>
      </c>
      <c r="B110" s="35"/>
      <c r="C110" s="36" t="s">
        <v>100</v>
      </c>
      <c r="D110" s="35"/>
      <c r="E110" s="35"/>
      <c r="F110" s="61"/>
      <c r="G110" s="35"/>
      <c r="H110" s="79">
        <f>IF(Cover!$R$18&gt;0,SUMIF($N$1:$AQ$1,Cover!$R$18&amp;H$6,$N110:$AQ110),SUMIF($N$4:$AQ$4,H$6,$N110:$AQ110))</f>
        <v>0</v>
      </c>
      <c r="I110" s="70"/>
      <c r="J110" s="79">
        <f>IF(Cover!$R$18&gt;0,SUMIF($N$1:$AQ$1,Cover!$R$18&amp;J$6,$N110:$AQ110),SUMIF($N$4:$AQ$4,J$6,$N110:$AQ110))</f>
        <v>0</v>
      </c>
      <c r="K110" s="5"/>
      <c r="N110" s="4">
        <v>2100</v>
      </c>
      <c r="O110" s="4">
        <v>1071.8800000000001</v>
      </c>
      <c r="P110" s="4">
        <v>2460</v>
      </c>
      <c r="Q110" s="4">
        <v>1255.6300000000001</v>
      </c>
      <c r="R110" s="4">
        <v>1020</v>
      </c>
      <c r="S110" s="4">
        <v>520.63</v>
      </c>
      <c r="T110" s="4">
        <v>600</v>
      </c>
      <c r="U110" s="4">
        <v>306.25</v>
      </c>
      <c r="V110" s="4">
        <v>0</v>
      </c>
      <c r="W110" s="4">
        <v>0</v>
      </c>
      <c r="X110" s="4">
        <v>360</v>
      </c>
      <c r="Y110" s="4">
        <v>183.75</v>
      </c>
      <c r="Z110" s="4">
        <v>360</v>
      </c>
      <c r="AA110" s="4">
        <v>183.75</v>
      </c>
      <c r="AB110" s="4">
        <v>0</v>
      </c>
    </row>
    <row r="111" spans="1:35" x14ac:dyDescent="0.3">
      <c r="B111" s="102"/>
      <c r="C111" s="103" t="s">
        <v>273</v>
      </c>
      <c r="D111" s="102"/>
      <c r="E111" s="102"/>
      <c r="F111" s="61"/>
      <c r="G111" s="102"/>
      <c r="H111" s="79">
        <f>IF(Cover!$R$18&gt;0,SUMIF($N$1:$AQ$1,Cover!$R$18&amp;H$6,$N111:$AQ111),SUMIF($N$4:$AQ$4,H$6,$N111:$AQ111))</f>
        <v>3480</v>
      </c>
      <c r="I111" s="70"/>
      <c r="J111" s="79">
        <f>IF(Cover!$R$18&gt;0,SUMIF($N$1:$AQ$1,Cover!$R$18&amp;J$6,$N111:$AQ111),SUMIF($N$4:$AQ$4,J$6,$N111:$AQ111))</f>
        <v>3710</v>
      </c>
      <c r="K111" s="5"/>
      <c r="W111" s="4">
        <v>7926.5</v>
      </c>
      <c r="Y111" s="4">
        <v>25265.200000000001</v>
      </c>
      <c r="AA111" s="4">
        <v>32796.06</v>
      </c>
      <c r="AF111" s="4">
        <v>3710</v>
      </c>
      <c r="AH111" s="4">
        <v>3480</v>
      </c>
    </row>
    <row r="112" spans="1:35" x14ac:dyDescent="0.3">
      <c r="B112" s="123"/>
      <c r="C112" s="124" t="s">
        <v>315</v>
      </c>
      <c r="D112" s="123"/>
      <c r="E112" s="123"/>
      <c r="F112" s="61"/>
      <c r="G112" s="123"/>
      <c r="H112" s="79">
        <f>IF(Cover!$R$18&gt;0,SUMIF($N$1:$AQ$1,Cover!$R$18&amp;H$6,$N112:$AQ112),SUMIF($N$4:$AQ$4,H$6,$N112:$AQ112))</f>
        <v>33950</v>
      </c>
      <c r="I112" s="70"/>
      <c r="J112" s="79">
        <f>IF(Cover!$R$18&gt;0,SUMIF($N$1:$AQ$1,Cover!$R$18&amp;J$6,$N112:$AQ112),SUMIF($N$4:$AQ$4,J$6,$N112:$AQ112))</f>
        <v>19460</v>
      </c>
      <c r="K112" s="5"/>
      <c r="AD112" s="4">
        <v>57900</v>
      </c>
      <c r="AF112" s="4">
        <v>19460</v>
      </c>
      <c r="AH112" s="4">
        <v>33950</v>
      </c>
    </row>
    <row r="113" spans="1:43" x14ac:dyDescent="0.3">
      <c r="B113" s="123"/>
      <c r="C113" s="124" t="s">
        <v>316</v>
      </c>
      <c r="D113" s="123"/>
      <c r="E113" s="123"/>
      <c r="F113" s="61"/>
      <c r="G113" s="123"/>
      <c r="H113" s="79">
        <f>IF(Cover!$R$18&gt;0,SUMIF($N$1:$AQ$1,Cover!$R$18&amp;H$6,$N113:$AQ113),SUMIF($N$4:$AQ$4,H$6,$N113:$AQ113))</f>
        <v>2100</v>
      </c>
      <c r="I113" s="70"/>
      <c r="J113" s="79">
        <f>IF(Cover!$R$18&gt;0,SUMIF($N$1:$AQ$1,Cover!$R$18&amp;J$6,$N113:$AQ113),SUMIF($N$4:$AQ$4,J$6,$N113:$AQ113))</f>
        <v>4425</v>
      </c>
      <c r="K113" s="5"/>
      <c r="AD113" s="4">
        <v>3900</v>
      </c>
      <c r="AF113" s="4">
        <v>4425</v>
      </c>
      <c r="AH113" s="4">
        <v>2100</v>
      </c>
    </row>
    <row r="114" spans="1:43" x14ac:dyDescent="0.3">
      <c r="A114" s="4" t="s">
        <v>163</v>
      </c>
      <c r="B114" s="35"/>
      <c r="C114" s="36" t="s">
        <v>101</v>
      </c>
      <c r="D114" s="35"/>
      <c r="E114" s="35"/>
      <c r="F114" s="61"/>
      <c r="G114" s="35"/>
      <c r="H114" s="79">
        <f>IF(Cover!$R$18&gt;0,SUMIF($N$1:$AQ$1,Cover!$R$18&amp;H$6,$N114:$AQ114),SUMIF($N$4:$AQ$4,H$6,$N114:$AQ114))</f>
        <v>255683.52000000002</v>
      </c>
      <c r="I114" s="70"/>
      <c r="J114" s="79">
        <f>IF(Cover!$R$18&gt;0,SUMIF($N$1:$AQ$1,Cover!$R$18&amp;J$6,$N114:$AQ114),SUMIF($N$4:$AQ$4,J$6,$N114:$AQ114))</f>
        <v>265573.44</v>
      </c>
      <c r="K114" s="5"/>
      <c r="N114" s="4">
        <v>138130.72</v>
      </c>
      <c r="O114" s="4">
        <v>10447.36</v>
      </c>
      <c r="P114" s="4">
        <v>152558.12</v>
      </c>
      <c r="Q114" s="4">
        <v>12128.6</v>
      </c>
      <c r="R114" s="4">
        <v>275373.77</v>
      </c>
      <c r="S114" s="4">
        <v>10259.48</v>
      </c>
      <c r="T114" s="4">
        <v>210229.81</v>
      </c>
      <c r="U114" s="4">
        <v>10172</v>
      </c>
      <c r="V114" s="4">
        <v>215030.53</v>
      </c>
      <c r="W114" s="4">
        <v>14795</v>
      </c>
      <c r="X114" s="4">
        <v>207411.47</v>
      </c>
      <c r="Y114" s="4">
        <v>14801.4</v>
      </c>
      <c r="Z114" s="4">
        <v>202190.24</v>
      </c>
      <c r="AA114" s="4">
        <v>14428.8</v>
      </c>
      <c r="AB114" s="4">
        <v>163615.6</v>
      </c>
      <c r="AC114" s="4">
        <v>13045.52</v>
      </c>
      <c r="AD114" s="4">
        <v>235455.6</v>
      </c>
      <c r="AE114" s="4">
        <v>18773.52</v>
      </c>
      <c r="AF114" s="4">
        <v>245962.2</v>
      </c>
      <c r="AG114" s="4">
        <v>19611.240000000002</v>
      </c>
      <c r="AH114" s="4">
        <v>236802.6</v>
      </c>
      <c r="AI114" s="4">
        <v>18880.919999999998</v>
      </c>
    </row>
    <row r="115" spans="1:43" x14ac:dyDescent="0.3">
      <c r="B115" s="111"/>
      <c r="C115" s="112" t="s">
        <v>295</v>
      </c>
      <c r="D115" s="111"/>
      <c r="E115" s="111"/>
      <c r="F115" s="61"/>
      <c r="G115" s="111"/>
      <c r="H115" s="79">
        <f>IF(Cover!$R$18&gt;0,SUMIF($N$1:$AQ$1,Cover!$R$18&amp;H$6,$N115:$AQ115),SUMIF($N$4:$AQ$4,H$6,$N115:$AQ115))</f>
        <v>34420.400000000001</v>
      </c>
      <c r="I115" s="70"/>
      <c r="J115" s="79">
        <f>IF(Cover!$R$18&gt;0,SUMIF($N$1:$AQ$1,Cover!$R$18&amp;J$6,$N115:$AQ115),SUMIF($N$4:$AQ$4,J$6,$N115:$AQ115))</f>
        <v>13284.8</v>
      </c>
      <c r="K115" s="5"/>
      <c r="Y115" s="4">
        <v>19136</v>
      </c>
      <c r="AA115" s="4">
        <v>19430.400000000001</v>
      </c>
      <c r="AC115" s="4">
        <v>13648.2</v>
      </c>
      <c r="AE115" s="4">
        <v>18423</v>
      </c>
      <c r="AG115" s="4">
        <v>13284.8</v>
      </c>
      <c r="AI115" s="4">
        <v>34420.400000000001</v>
      </c>
    </row>
    <row r="116" spans="1:43" hidden="1" x14ac:dyDescent="0.3">
      <c r="A116" s="4" t="s">
        <v>164</v>
      </c>
      <c r="B116" s="35"/>
      <c r="C116" s="36" t="s">
        <v>102</v>
      </c>
      <c r="D116" s="35"/>
      <c r="E116" s="35"/>
      <c r="F116" s="61"/>
      <c r="G116" s="35"/>
      <c r="H116" s="79">
        <f>IF(Cover!$R$18&gt;0,SUMIF($N$1:$AQ$1,Cover!$R$18&amp;H$6,$N116:$AQ116),SUMIF($N$4:$AQ$4,H$6,$N116:$AQ116))</f>
        <v>0</v>
      </c>
      <c r="I116" s="70"/>
      <c r="J116" s="79">
        <f>IF(Cover!$R$18&gt;0,SUMIF($N$1:$AQ$1,Cover!$R$18&amp;J$6,$N116:$AQ116),SUMIF($N$4:$AQ$4,J$6,$N116:$AQ116))</f>
        <v>0</v>
      </c>
      <c r="K116" s="5"/>
      <c r="O116" s="4">
        <v>35.68</v>
      </c>
      <c r="Q116" s="4">
        <v>142.4</v>
      </c>
      <c r="S116" s="4">
        <v>260.77</v>
      </c>
      <c r="U116" s="4">
        <v>159.31</v>
      </c>
      <c r="W116" s="4">
        <v>0</v>
      </c>
      <c r="X116" s="4">
        <v>0</v>
      </c>
    </row>
    <row r="117" spans="1:43" x14ac:dyDescent="0.3">
      <c r="B117" s="121"/>
      <c r="C117" s="122" t="s">
        <v>306</v>
      </c>
      <c r="D117" s="121"/>
      <c r="E117" s="121"/>
      <c r="F117" s="61"/>
      <c r="G117" s="121"/>
      <c r="H117" s="79">
        <f>IF(Cover!$R$18&gt;0,SUMIF($N$1:$AQ$1,Cover!$R$18&amp;H$6,$N117:$AQ117),SUMIF($N$4:$AQ$4,H$6,$N117:$AQ117))</f>
        <v>131410.70000000001</v>
      </c>
      <c r="I117" s="70"/>
      <c r="J117" s="79">
        <f>IF(Cover!$R$18&gt;0,SUMIF($N$1:$AQ$1,Cover!$R$18&amp;J$6,$N117:$AQ117),SUMIF($N$4:$AQ$4,J$6,$N117:$AQ117))</f>
        <v>53400</v>
      </c>
      <c r="K117" s="5"/>
      <c r="AB117" s="4">
        <v>20280</v>
      </c>
      <c r="AD117" s="4">
        <v>40980</v>
      </c>
      <c r="AF117" s="4">
        <v>53400</v>
      </c>
      <c r="AH117" s="4">
        <v>131410.70000000001</v>
      </c>
    </row>
    <row r="118" spans="1:43" hidden="1" x14ac:dyDescent="0.3">
      <c r="B118" s="92"/>
      <c r="C118" s="93" t="s">
        <v>254</v>
      </c>
      <c r="D118" s="92"/>
      <c r="E118" s="92"/>
      <c r="F118" s="61"/>
      <c r="G118" s="92"/>
      <c r="H118" s="79">
        <f>IF(Cover!$R$18&gt;0,SUMIF($N$1:$AQ$1,Cover!$R$18&amp;H$6,$N118:$AQ118),SUMIF($N$4:$AQ$4,H$6,$N118:$AQ118))</f>
        <v>0</v>
      </c>
      <c r="I118" s="70"/>
      <c r="J118" s="79">
        <f>IF(Cover!$R$18&gt;0,SUMIF($N$1:$AQ$1,Cover!$R$18&amp;J$6,$N118:$AQ118),SUMIF($N$4:$AQ$4,J$6,$N118:$AQ118))</f>
        <v>0</v>
      </c>
      <c r="K118" s="5"/>
      <c r="R118" s="4">
        <v>23490</v>
      </c>
      <c r="T118" s="4">
        <v>22109.599999999999</v>
      </c>
      <c r="V118" s="4">
        <v>26557.95</v>
      </c>
      <c r="X118" s="4">
        <v>54956.55</v>
      </c>
      <c r="Z118" s="4">
        <v>62056.2</v>
      </c>
      <c r="AB118" s="4">
        <v>51754.5</v>
      </c>
      <c r="AD118" s="4">
        <v>69233.850000000006</v>
      </c>
      <c r="AF118" s="4">
        <v>0</v>
      </c>
    </row>
    <row r="119" spans="1:43" hidden="1" x14ac:dyDescent="0.3">
      <c r="B119" s="92"/>
      <c r="C119" s="93" t="s">
        <v>255</v>
      </c>
      <c r="D119" s="92"/>
      <c r="E119" s="92"/>
      <c r="F119" s="61"/>
      <c r="G119" s="92"/>
      <c r="H119" s="79">
        <f>IF(Cover!$R$18&gt;0,SUMIF($N$1:$AQ$1,Cover!$R$18&amp;H$6,$N119:$AQ119),SUMIF($N$4:$AQ$4,H$6,$N119:$AQ119))</f>
        <v>0</v>
      </c>
      <c r="I119" s="70"/>
      <c r="J119" s="79">
        <f>IF(Cover!$R$18&gt;0,SUMIF($N$1:$AQ$1,Cover!$R$18&amp;J$6,$N119:$AQ119),SUMIF($N$4:$AQ$4,J$6,$N119:$AQ119))</f>
        <v>0</v>
      </c>
      <c r="K119" s="5"/>
      <c r="R119" s="4">
        <v>8574.1</v>
      </c>
      <c r="T119" s="4">
        <v>7376.6</v>
      </c>
      <c r="V119" s="4">
        <v>0</v>
      </c>
      <c r="X119" s="4">
        <v>0</v>
      </c>
    </row>
    <row r="120" spans="1:43" hidden="1" x14ac:dyDescent="0.3">
      <c r="B120" s="104"/>
      <c r="C120" s="105" t="s">
        <v>276</v>
      </c>
      <c r="D120" s="104"/>
      <c r="E120" s="104"/>
      <c r="F120" s="61"/>
      <c r="G120" s="104"/>
      <c r="H120" s="79">
        <f>IF(Cover!$R$18&gt;0,SUMIF($N$1:$AQ$1,Cover!$R$18&amp;H$6,$N120:$AQ120),SUMIF($N$4:$AQ$4,H$6,$N120:$AQ120))</f>
        <v>0</v>
      </c>
      <c r="I120" s="70"/>
      <c r="J120" s="79">
        <f>IF(Cover!$R$18&gt;0,SUMIF($N$1:$AQ$1,Cover!$R$18&amp;J$6,$N120:$AQ120),SUMIF($N$4:$AQ$4,J$6,$N120:$AQ120))</f>
        <v>0</v>
      </c>
      <c r="K120" s="5"/>
      <c r="V120" s="4">
        <v>30100</v>
      </c>
      <c r="X120" s="4">
        <v>18340</v>
      </c>
      <c r="Z120" s="4">
        <v>26950</v>
      </c>
      <c r="AB120" s="4">
        <v>0</v>
      </c>
    </row>
    <row r="121" spans="1:43" x14ac:dyDescent="0.3">
      <c r="B121" s="96"/>
      <c r="C121" s="97" t="s">
        <v>310</v>
      </c>
      <c r="D121" s="96"/>
      <c r="E121" s="96"/>
      <c r="F121" s="61"/>
      <c r="G121" s="96"/>
      <c r="H121" s="79">
        <f>IF(Cover!$R$18&gt;0,SUMIF($N$1:$AQ$1,Cover!$R$18&amp;H$6,$N121:$AQ121),SUMIF($N$4:$AQ$4,H$6,$N121:$AQ121))</f>
        <v>54150</v>
      </c>
      <c r="I121" s="70"/>
      <c r="J121" s="79">
        <f>IF(Cover!$R$18&gt;0,SUMIF($N$1:$AQ$1,Cover!$R$18&amp;J$6,$N121:$AQ121),SUMIF($N$4:$AQ$4,J$6,$N121:$AQ121))</f>
        <v>41990</v>
      </c>
      <c r="K121" s="5"/>
      <c r="U121" s="4">
        <v>10746.09</v>
      </c>
      <c r="W121" s="4">
        <v>18840</v>
      </c>
      <c r="Y121" s="4">
        <v>0</v>
      </c>
      <c r="AA121" s="4">
        <v>13680</v>
      </c>
      <c r="AC121" s="4">
        <v>31445</v>
      </c>
      <c r="AE121" s="4">
        <v>69920</v>
      </c>
      <c r="AG121" s="4">
        <v>41990</v>
      </c>
      <c r="AI121" s="4">
        <v>54150</v>
      </c>
    </row>
    <row r="122" spans="1:43" x14ac:dyDescent="0.3">
      <c r="A122" s="4" t="s">
        <v>173</v>
      </c>
      <c r="B122" s="123"/>
      <c r="C122" s="124" t="s">
        <v>312</v>
      </c>
      <c r="D122" s="123"/>
      <c r="E122" s="123"/>
      <c r="F122" s="61"/>
      <c r="G122" s="123"/>
      <c r="H122" s="79">
        <f>IF(Cover!$R$18&gt;0,SUMIF($N$1:$AQ$1,Cover!$R$18&amp;H$6,$N122:$AQ122),SUMIF($N$4:$AQ$4,H$6,$N122:$AQ122))</f>
        <v>34550</v>
      </c>
      <c r="I122" s="70"/>
      <c r="J122" s="79">
        <f>IF(Cover!$R$18&gt;0,SUMIF($N$1:$AQ$1,Cover!$R$18&amp;J$6,$N122:$AQ122),SUMIF($N$4:$AQ$4,J$6,$N122:$AQ122))</f>
        <v>26700</v>
      </c>
      <c r="K122" s="5"/>
      <c r="AE122" s="4">
        <v>24550</v>
      </c>
      <c r="AG122" s="4">
        <v>26700</v>
      </c>
      <c r="AI122" s="4">
        <v>34550</v>
      </c>
    </row>
    <row r="123" spans="1:43" x14ac:dyDescent="0.3">
      <c r="A123" s="4" t="s">
        <v>173</v>
      </c>
      <c r="B123" s="35"/>
      <c r="C123" s="36" t="s">
        <v>174</v>
      </c>
      <c r="D123" s="35"/>
      <c r="E123" s="35"/>
      <c r="F123" s="61"/>
      <c r="G123" s="35"/>
      <c r="H123" s="79">
        <f>IF(Cover!$R$18&gt;0,SUMIF($N$1:$AQ$1,Cover!$R$18&amp;H$6,$N123:$AQ123),SUMIF($N$4:$AQ$4,H$6,$N123:$AQ123))</f>
        <v>195709.14</v>
      </c>
      <c r="I123" s="70"/>
      <c r="J123" s="79">
        <f>IF(Cover!$R$18&gt;0,SUMIF($N$1:$AQ$1,Cover!$R$18&amp;J$6,$N123:$AQ123),SUMIF($N$4:$AQ$4,J$6,$N123:$AQ123))</f>
        <v>178834.5</v>
      </c>
      <c r="K123" s="5"/>
      <c r="N123" s="4">
        <v>93744.48</v>
      </c>
      <c r="P123" s="4">
        <v>109974.48</v>
      </c>
      <c r="R123" s="4">
        <v>136508.9</v>
      </c>
      <c r="T123" s="4">
        <v>130271.4</v>
      </c>
      <c r="V123" s="4">
        <v>150444.81</v>
      </c>
      <c r="X123" s="4">
        <v>144478.29999999999</v>
      </c>
      <c r="Z123" s="4">
        <v>139843.16</v>
      </c>
      <c r="AB123" s="4">
        <v>146669.45000000001</v>
      </c>
      <c r="AD123" s="4">
        <v>236703.51</v>
      </c>
      <c r="AF123" s="4">
        <v>178834.5</v>
      </c>
      <c r="AH123" s="4">
        <v>195709.14</v>
      </c>
    </row>
    <row r="124" spans="1:43" hidden="1" x14ac:dyDescent="0.3">
      <c r="A124" s="4" t="s">
        <v>175</v>
      </c>
      <c r="B124" s="35"/>
      <c r="C124" s="36" t="s">
        <v>176</v>
      </c>
      <c r="D124" s="35"/>
      <c r="E124" s="35"/>
      <c r="F124" s="61"/>
      <c r="G124" s="35"/>
      <c r="H124" s="79">
        <f>IF(Cover!$R$18&gt;0,SUMIF($N$1:$AQ$1,Cover!$R$18&amp;H$6,$N124:$AQ124),SUMIF($N$4:$AQ$4,H$6,$N124:$AQ124))</f>
        <v>0</v>
      </c>
      <c r="I124" s="70"/>
      <c r="J124" s="79">
        <f>IF(Cover!$R$18&gt;0,SUMIF($N$1:$AQ$1,Cover!$R$18&amp;J$6,$N124:$AQ124),SUMIF($N$4:$AQ$4,J$6,$N124:$AQ124))</f>
        <v>0</v>
      </c>
      <c r="K124" s="5"/>
      <c r="N124" s="4">
        <v>17505</v>
      </c>
      <c r="P124" s="4">
        <v>20535</v>
      </c>
      <c r="R124" s="4">
        <v>119805</v>
      </c>
      <c r="T124" s="4">
        <v>93940</v>
      </c>
      <c r="V124" s="4">
        <v>104545</v>
      </c>
      <c r="X124" s="4">
        <v>124110</v>
      </c>
      <c r="Z124" s="4">
        <v>127260</v>
      </c>
      <c r="AB124" s="4">
        <v>86600</v>
      </c>
      <c r="AD124" s="4">
        <v>111050</v>
      </c>
      <c r="AF124" s="4">
        <v>0</v>
      </c>
    </row>
    <row r="125" spans="1:43" hidden="1" x14ac:dyDescent="0.3">
      <c r="B125" s="92"/>
      <c r="C125" s="93" t="s">
        <v>256</v>
      </c>
      <c r="D125" s="92"/>
      <c r="E125" s="92"/>
      <c r="F125" s="61"/>
      <c r="G125" s="92"/>
      <c r="H125" s="79">
        <f>IF(Cover!$R$18&gt;0,SUMIF($N$1:$AQ$1,Cover!$R$18&amp;H$6,$N125:$AQ125),SUMIF($N$4:$AQ$4,H$6,$N125:$AQ125))</f>
        <v>0</v>
      </c>
      <c r="I125" s="70"/>
      <c r="J125" s="79">
        <f>IF(Cover!$R$18&gt;0,SUMIF($N$1:$AQ$1,Cover!$R$18&amp;J$6,$N125:$AQ125),SUMIF($N$4:$AQ$4,J$6,$N125:$AQ125))</f>
        <v>0</v>
      </c>
      <c r="K125" s="5"/>
      <c r="R125" s="4">
        <v>26960</v>
      </c>
      <c r="T125" s="4">
        <v>20890</v>
      </c>
      <c r="V125" s="4">
        <v>0</v>
      </c>
      <c r="X125" s="4">
        <v>0</v>
      </c>
    </row>
    <row r="126" spans="1:43" ht="15" thickBot="1" x14ac:dyDescent="0.35">
      <c r="B126" s="35"/>
      <c r="C126" s="35"/>
      <c r="D126" s="35"/>
      <c r="E126" s="35"/>
      <c r="F126" s="61"/>
      <c r="G126" s="35"/>
      <c r="H126" s="91">
        <f>SUM(H99:H125)</f>
        <v>1131995.4500000002</v>
      </c>
      <c r="I126" s="85"/>
      <c r="J126" s="91">
        <f>SUM(J99:J125)</f>
        <v>989763.13000000012</v>
      </c>
      <c r="K126" s="5"/>
      <c r="N126" s="4">
        <f>SUM(N99:N124)</f>
        <v>267535.11</v>
      </c>
      <c r="O126" s="4">
        <f>SUM(O99:O124)</f>
        <v>23462.960000000003</v>
      </c>
      <c r="P126" s="4">
        <f>SUM(P99:P124)</f>
        <v>300788.87</v>
      </c>
      <c r="Q126" s="4">
        <f>SUM(Q99:Q124)</f>
        <v>19839.030000000002</v>
      </c>
      <c r="R126" s="4">
        <f>SUM(R99:R125)</f>
        <v>728695.91</v>
      </c>
      <c r="S126" s="4">
        <f>SUM(S99:S124)</f>
        <v>25711.439999999999</v>
      </c>
      <c r="T126" s="4">
        <f>SUM(T99:T125)</f>
        <v>613303.78999999992</v>
      </c>
      <c r="U126" s="4">
        <f>SUM(U99:U124)</f>
        <v>42622.57</v>
      </c>
      <c r="V126" s="4">
        <f>SUM(V99:V125)</f>
        <v>698465.65</v>
      </c>
      <c r="W126" s="4">
        <f>SUM(W99:W124)</f>
        <v>70137.14</v>
      </c>
      <c r="X126" s="4">
        <f>SUM(X99:X125)</f>
        <v>777589.46</v>
      </c>
      <c r="Y126" s="4">
        <f t="shared" ref="Y126:AQ126" si="1">SUM(Y99:Y124)</f>
        <v>87306.349999999991</v>
      </c>
      <c r="Z126" s="4">
        <f t="shared" si="1"/>
        <v>820355.64</v>
      </c>
      <c r="AA126" s="4">
        <f t="shared" si="1"/>
        <v>116219.01000000001</v>
      </c>
      <c r="AB126" s="4">
        <f t="shared" si="1"/>
        <v>729491.13</v>
      </c>
      <c r="AC126" s="4">
        <f t="shared" si="1"/>
        <v>82733.72</v>
      </c>
      <c r="AD126" s="4">
        <f t="shared" si="1"/>
        <v>1002239.25</v>
      </c>
      <c r="AE126" s="4">
        <f t="shared" si="1"/>
        <v>174718.8</v>
      </c>
      <c r="AF126" s="4">
        <f t="shared" si="1"/>
        <v>857541.92999999993</v>
      </c>
      <c r="AG126" s="4">
        <f t="shared" si="1"/>
        <v>132221.20000000001</v>
      </c>
      <c r="AH126" s="4">
        <f t="shared" si="1"/>
        <v>964845.61</v>
      </c>
      <c r="AI126" s="4">
        <f t="shared" si="1"/>
        <v>167149.84</v>
      </c>
      <c r="AJ126" s="4">
        <f t="shared" si="1"/>
        <v>0</v>
      </c>
      <c r="AK126" s="4">
        <f t="shared" si="1"/>
        <v>0</v>
      </c>
      <c r="AL126" s="4">
        <f t="shared" si="1"/>
        <v>0</v>
      </c>
      <c r="AM126" s="4">
        <f t="shared" si="1"/>
        <v>0</v>
      </c>
      <c r="AN126" s="4">
        <f t="shared" si="1"/>
        <v>0</v>
      </c>
      <c r="AO126" s="4">
        <f t="shared" si="1"/>
        <v>0</v>
      </c>
      <c r="AP126" s="4">
        <f t="shared" si="1"/>
        <v>0</v>
      </c>
      <c r="AQ126" s="4">
        <f t="shared" si="1"/>
        <v>0</v>
      </c>
    </row>
    <row r="127" spans="1:43" ht="15" thickTop="1" x14ac:dyDescent="0.3">
      <c r="B127" s="26"/>
      <c r="C127" s="26"/>
      <c r="D127" s="26"/>
      <c r="E127" s="26"/>
      <c r="F127" s="77"/>
      <c r="G127" s="26"/>
      <c r="H127" s="78"/>
      <c r="I127" s="35"/>
      <c r="J127" s="78"/>
      <c r="K127" s="6"/>
      <c r="N127" s="129" t="str">
        <f>IF(N126=Balance!N9,"P","O")</f>
        <v>P</v>
      </c>
      <c r="O127" s="129" t="str">
        <f>IF(O126=Balance!O9,"P","O")</f>
        <v>P</v>
      </c>
      <c r="P127" s="129" t="str">
        <f>IF(P126=Balance!P9,"P","O")</f>
        <v>P</v>
      </c>
      <c r="Q127" s="129" t="str">
        <f>IF(Q126=Balance!Q9,"P","O")</f>
        <v>P</v>
      </c>
      <c r="R127" s="129" t="str">
        <f>IF(R126=Balance!R9,"P","O")</f>
        <v>P</v>
      </c>
      <c r="S127" s="129" t="str">
        <f>IF(S126=Balance!S9,"P","O")</f>
        <v>P</v>
      </c>
      <c r="T127" s="129" t="str">
        <f>IF(T126=Balance!T9,"P","O")</f>
        <v>P</v>
      </c>
      <c r="U127" s="129" t="str">
        <f>IF(U126=Balance!U9,"P","O")</f>
        <v>P</v>
      </c>
      <c r="V127" s="129" t="str">
        <f>IF(V126=Balance!V9,"P","O")</f>
        <v>P</v>
      </c>
      <c r="W127" s="129" t="str">
        <f>IF(W126=Balance!W9,"P","O")</f>
        <v>P</v>
      </c>
      <c r="X127" s="129" t="str">
        <f>IF(X126=Balance!X9,"P","O")</f>
        <v>P</v>
      </c>
      <c r="Y127" s="129" t="str">
        <f>IF(Y126=Balance!Y9,"P","O")</f>
        <v>P</v>
      </c>
      <c r="Z127" s="129" t="str">
        <f>IF(Z126=Balance!Z9,"P","O")</f>
        <v>P</v>
      </c>
      <c r="AA127" s="129" t="str">
        <f>IF(AA126=Balance!AA9,"P","O")</f>
        <v>P</v>
      </c>
      <c r="AB127" s="129" t="str">
        <f>IF(AB126=Balance!AB9,"P","O")</f>
        <v>P</v>
      </c>
      <c r="AC127" s="129" t="str">
        <f>IF(AC126=Balance!AC9,"P","O")</f>
        <v>P</v>
      </c>
      <c r="AD127" s="129" t="str">
        <f>IF(AD126=Balance!AD9,"P","O")</f>
        <v>P</v>
      </c>
      <c r="AE127" s="129" t="str">
        <f>IF(AE126=Balance!AE9,"P","O")</f>
        <v>P</v>
      </c>
      <c r="AF127" s="129" t="str">
        <f>IF(AF126=Balance!AF9,"P","O")</f>
        <v>P</v>
      </c>
      <c r="AG127" s="129" t="str">
        <f>IF(AG126=Balance!AG9,"P","O")</f>
        <v>P</v>
      </c>
      <c r="AH127" s="129" t="str">
        <f>IF(AH126=Balance!AH9,"P","O")</f>
        <v>P</v>
      </c>
      <c r="AI127" s="129" t="str">
        <f>IF(AI126=Balance!AI9,"P","O")</f>
        <v>P</v>
      </c>
      <c r="AJ127" s="129" t="str">
        <f>IF(AJ126=Balance!AJ9,"P","O")</f>
        <v>P</v>
      </c>
      <c r="AK127" s="129" t="str">
        <f>IF(AK126=Balance!AK9,"P","O")</f>
        <v>P</v>
      </c>
      <c r="AL127" s="129" t="str">
        <f>IF(AL126=Balance!AL9,"P","O")</f>
        <v>P</v>
      </c>
      <c r="AM127" s="129" t="str">
        <f>IF(AM126=Balance!AM9,"P","O")</f>
        <v>P</v>
      </c>
      <c r="AN127" s="129" t="str">
        <f>IF(AN126=Balance!AN9,"P","O")</f>
        <v>P</v>
      </c>
      <c r="AO127" s="129" t="str">
        <f>IF(AO126=Balance!AO9,"P","O")</f>
        <v>P</v>
      </c>
      <c r="AP127" s="129" t="str">
        <f>IF(AP126=Balance!AP9,"P","O")</f>
        <v>P</v>
      </c>
      <c r="AQ127" s="129" t="str">
        <f>IF(AQ126=Balance!AQ9,"P","O")</f>
        <v>P</v>
      </c>
    </row>
    <row r="128" spans="1:43" x14ac:dyDescent="0.3">
      <c r="B128" s="36"/>
      <c r="H128" s="59"/>
      <c r="I128" s="68"/>
      <c r="J128" s="59"/>
    </row>
    <row r="129" spans="1:43" x14ac:dyDescent="0.3">
      <c r="B129" s="36"/>
    </row>
    <row r="130" spans="1:43" x14ac:dyDescent="0.3">
      <c r="B130" s="29">
        <v>3</v>
      </c>
      <c r="C130" s="29" t="s">
        <v>19</v>
      </c>
      <c r="D130" s="29"/>
      <c r="E130" s="29"/>
      <c r="F130" s="58"/>
      <c r="G130" s="29"/>
      <c r="H130" s="58"/>
      <c r="I130" s="29"/>
      <c r="J130" s="58"/>
      <c r="K130" s="34"/>
    </row>
    <row r="131" spans="1:43" x14ac:dyDescent="0.3">
      <c r="B131" s="29"/>
    </row>
    <row r="132" spans="1:43" x14ac:dyDescent="0.3">
      <c r="A132" s="4" t="s">
        <v>166</v>
      </c>
      <c r="B132" s="35"/>
      <c r="C132" s="36" t="s">
        <v>103</v>
      </c>
      <c r="D132" s="35"/>
      <c r="E132" s="35"/>
      <c r="F132" s="61"/>
      <c r="G132" s="35"/>
      <c r="H132" s="79">
        <f>IF(Cover!$R$18&gt;0,SUMIF($N$1:$AQ$1,Cover!$R$18&amp;H$6,$N132:$AQ132),SUMIF($N$4:$AQ$4,H$6,$N132:$AQ132))</f>
        <v>8972.91</v>
      </c>
      <c r="I132" s="70"/>
      <c r="J132" s="79">
        <f>IF(Cover!$R$18&gt;0,SUMIF($N$1:$AQ$1,Cover!$R$18&amp;J$6,$N132:$AQ132),SUMIF($N$4:$AQ$4,J$6,$N132:$AQ132))</f>
        <v>25476.67</v>
      </c>
      <c r="K132" s="5"/>
      <c r="O132" s="4">
        <v>2.2200000000000002</v>
      </c>
      <c r="Q132" s="4">
        <v>9.7799999999999994</v>
      </c>
      <c r="S132" s="4">
        <v>156.93</v>
      </c>
      <c r="U132" s="4">
        <v>77.150000000000006</v>
      </c>
      <c r="W132" s="4">
        <v>8.17</v>
      </c>
      <c r="Y132" s="4">
        <v>3.59</v>
      </c>
      <c r="AA132" s="4">
        <v>10.78</v>
      </c>
      <c r="AC132" s="4">
        <v>11.28</v>
      </c>
      <c r="AE132" s="4">
        <v>6.19</v>
      </c>
      <c r="AG132" s="4">
        <v>25476.67</v>
      </c>
      <c r="AI132" s="4">
        <v>8972.91</v>
      </c>
    </row>
    <row r="133" spans="1:43" x14ac:dyDescent="0.3">
      <c r="A133" s="4" t="s">
        <v>167</v>
      </c>
      <c r="B133" s="35"/>
      <c r="C133" s="36" t="s">
        <v>104</v>
      </c>
      <c r="D133" s="35"/>
      <c r="E133" s="35"/>
      <c r="F133" s="61"/>
      <c r="G133" s="35"/>
      <c r="H133" s="79">
        <f>IF(Cover!$R$18&gt;0,SUMIF($N$1:$AQ$1,Cover!$R$18&amp;H$6,$N133:$AQ133),SUMIF($N$4:$AQ$4,H$6,$N133:$AQ133))</f>
        <v>0</v>
      </c>
      <c r="I133" s="70"/>
      <c r="J133" s="79">
        <f>IF(Cover!$R$18&gt;0,SUMIF($N$1:$AQ$1,Cover!$R$18&amp;J$6,$N133:$AQ133),SUMIF($N$4:$AQ$4,J$6,$N133:$AQ133))</f>
        <v>0.33</v>
      </c>
      <c r="K133" s="5"/>
      <c r="O133" s="4">
        <v>1409.89</v>
      </c>
      <c r="Q133" s="4">
        <v>1117.82</v>
      </c>
      <c r="S133" s="4">
        <v>428.28</v>
      </c>
      <c r="U133" s="4">
        <v>8026.29</v>
      </c>
      <c r="W133" s="4">
        <v>7758.08</v>
      </c>
      <c r="Y133" s="4">
        <v>5905.28</v>
      </c>
      <c r="AA133" s="4">
        <v>11033.19</v>
      </c>
      <c r="AC133" s="4">
        <v>25155.279999999999</v>
      </c>
      <c r="AE133" s="4">
        <v>1637.05</v>
      </c>
      <c r="AG133" s="4">
        <v>0.33</v>
      </c>
    </row>
    <row r="134" spans="1:43" x14ac:dyDescent="0.3">
      <c r="A134" s="4" t="s">
        <v>168</v>
      </c>
      <c r="B134" s="35"/>
      <c r="C134" s="36" t="s">
        <v>169</v>
      </c>
      <c r="D134" s="35"/>
      <c r="E134" s="35"/>
      <c r="F134" s="61"/>
      <c r="G134" s="35"/>
      <c r="H134" s="79">
        <f>IF(Cover!$R$18&gt;0,SUMIF($N$1:$AQ$1,Cover!$R$18&amp;H$6,$N134:$AQ134),SUMIF($N$4:$AQ$4,H$6,$N134:$AQ134))</f>
        <v>19543.060000000001</v>
      </c>
      <c r="I134" s="70"/>
      <c r="J134" s="79">
        <f>IF(Cover!$R$18&gt;0,SUMIF($N$1:$AQ$1,Cover!$R$18&amp;J$6,$N134:$AQ134),SUMIF($N$4:$AQ$4,J$6,$N134:$AQ134))</f>
        <v>32249.65</v>
      </c>
      <c r="K134" s="5"/>
      <c r="N134" s="4">
        <v>3014.74</v>
      </c>
      <c r="P134" s="4">
        <v>211.19</v>
      </c>
      <c r="R134" s="4">
        <v>297273.74</v>
      </c>
      <c r="T134" s="4">
        <v>23806.45</v>
      </c>
      <c r="V134" s="4">
        <v>1151.47</v>
      </c>
      <c r="X134" s="4">
        <v>6260.92</v>
      </c>
      <c r="Z134" s="4">
        <v>6767.74</v>
      </c>
      <c r="AB134" s="4">
        <v>1092.3</v>
      </c>
      <c r="AD134" s="4">
        <v>14129.75</v>
      </c>
      <c r="AF134" s="4">
        <v>32249.65</v>
      </c>
      <c r="AH134" s="4">
        <v>19543.060000000001</v>
      </c>
    </row>
    <row r="135" spans="1:43" ht="15" thickBot="1" x14ac:dyDescent="0.35">
      <c r="B135" s="35"/>
      <c r="C135" s="35"/>
      <c r="D135" s="35"/>
      <c r="E135" s="35"/>
      <c r="F135" s="61"/>
      <c r="G135" s="35"/>
      <c r="H135" s="91">
        <f>SUM(H132:H134)</f>
        <v>28515.97</v>
      </c>
      <c r="I135" s="35"/>
      <c r="J135" s="91">
        <f>SUM(J132:J134)</f>
        <v>57726.65</v>
      </c>
      <c r="K135" s="5"/>
      <c r="N135" s="4">
        <f>SUM(N132:N134)</f>
        <v>3014.74</v>
      </c>
      <c r="O135" s="4">
        <f t="shared" ref="O135:AQ135" si="2">SUM(O132:O134)</f>
        <v>1412.1100000000001</v>
      </c>
      <c r="P135" s="4">
        <f t="shared" si="2"/>
        <v>211.19</v>
      </c>
      <c r="Q135" s="4">
        <f t="shared" si="2"/>
        <v>1127.5999999999999</v>
      </c>
      <c r="R135" s="4">
        <f t="shared" si="2"/>
        <v>297273.74</v>
      </c>
      <c r="S135" s="4">
        <f t="shared" si="2"/>
        <v>585.21</v>
      </c>
      <c r="T135" s="4">
        <f t="shared" si="2"/>
        <v>23806.45</v>
      </c>
      <c r="U135" s="4">
        <f t="shared" si="2"/>
        <v>8103.44</v>
      </c>
      <c r="V135" s="4">
        <f t="shared" si="2"/>
        <v>1151.47</v>
      </c>
      <c r="W135" s="4">
        <f t="shared" si="2"/>
        <v>7766.25</v>
      </c>
      <c r="X135" s="4">
        <f t="shared" si="2"/>
        <v>6260.92</v>
      </c>
      <c r="Y135" s="4">
        <f t="shared" si="2"/>
        <v>5908.87</v>
      </c>
      <c r="Z135" s="4">
        <f t="shared" si="2"/>
        <v>6767.74</v>
      </c>
      <c r="AA135" s="4">
        <f t="shared" si="2"/>
        <v>11043.970000000001</v>
      </c>
      <c r="AB135" s="4">
        <f t="shared" si="2"/>
        <v>1092.3</v>
      </c>
      <c r="AC135" s="4">
        <f t="shared" si="2"/>
        <v>25166.559999999998</v>
      </c>
      <c r="AD135" s="4">
        <f t="shared" si="2"/>
        <v>14129.75</v>
      </c>
      <c r="AE135" s="4">
        <f t="shared" si="2"/>
        <v>1643.24</v>
      </c>
      <c r="AF135" s="4">
        <f t="shared" si="2"/>
        <v>32249.65</v>
      </c>
      <c r="AG135" s="4">
        <f t="shared" si="2"/>
        <v>25477</v>
      </c>
      <c r="AH135" s="4">
        <f t="shared" si="2"/>
        <v>19543.060000000001</v>
      </c>
      <c r="AI135" s="4">
        <f t="shared" si="2"/>
        <v>8972.91</v>
      </c>
      <c r="AJ135" s="4">
        <f t="shared" si="2"/>
        <v>0</v>
      </c>
      <c r="AK135" s="4">
        <f t="shared" si="2"/>
        <v>0</v>
      </c>
      <c r="AL135" s="4">
        <f t="shared" si="2"/>
        <v>0</v>
      </c>
      <c r="AM135" s="4">
        <f t="shared" si="2"/>
        <v>0</v>
      </c>
      <c r="AN135" s="4">
        <f t="shared" si="2"/>
        <v>0</v>
      </c>
      <c r="AO135" s="4">
        <f t="shared" si="2"/>
        <v>0</v>
      </c>
      <c r="AP135" s="4">
        <f t="shared" si="2"/>
        <v>0</v>
      </c>
      <c r="AQ135" s="4">
        <f t="shared" si="2"/>
        <v>0</v>
      </c>
    </row>
    <row r="136" spans="1:43" ht="15" thickTop="1" x14ac:dyDescent="0.3">
      <c r="B136" s="26"/>
      <c r="C136" s="26"/>
      <c r="D136" s="26"/>
      <c r="E136" s="26"/>
      <c r="F136" s="77"/>
      <c r="G136" s="26"/>
      <c r="H136" s="78"/>
      <c r="I136" s="35"/>
      <c r="J136" s="78"/>
      <c r="K136" s="6"/>
      <c r="N136" s="129" t="str">
        <f>IF(N135=Balance!N13,"P","O")</f>
        <v>P</v>
      </c>
      <c r="O136" s="129" t="str">
        <f>IF(O135=Balance!O13,"P","O")</f>
        <v>P</v>
      </c>
      <c r="P136" s="129" t="str">
        <f>IF(P135=Balance!P13,"P","O")</f>
        <v>P</v>
      </c>
      <c r="Q136" s="129" t="str">
        <f>IF(Q135=Balance!Q13,"P","O")</f>
        <v>P</v>
      </c>
      <c r="R136" s="129" t="str">
        <f>IF(R135=Balance!R13,"P","O")</f>
        <v>P</v>
      </c>
      <c r="S136" s="129" t="str">
        <f>IF(S135=Balance!S13,"P","O")</f>
        <v>P</v>
      </c>
      <c r="T136" s="129" t="str">
        <f>IF(T135=Balance!T13,"P","O")</f>
        <v>P</v>
      </c>
      <c r="U136" s="129" t="str">
        <f>IF(U135=Balance!U13,"P","O")</f>
        <v>P</v>
      </c>
      <c r="V136" s="129" t="str">
        <f>IF(V135=Balance!V13,"P","O")</f>
        <v>P</v>
      </c>
      <c r="W136" s="129" t="str">
        <f>IF(W135=Balance!W13,"P","O")</f>
        <v>P</v>
      </c>
      <c r="X136" s="129" t="str">
        <f>IF(X135=Balance!X13,"P","O")</f>
        <v>P</v>
      </c>
      <c r="Y136" s="129" t="str">
        <f>IF(Y135=Balance!Y13,"P","O")</f>
        <v>P</v>
      </c>
      <c r="Z136" s="129" t="str">
        <f>IF(Z135=Balance!Z13,"P","O")</f>
        <v>P</v>
      </c>
      <c r="AA136" s="129" t="str">
        <f>IF(AA135=Balance!AA13,"P","O")</f>
        <v>P</v>
      </c>
      <c r="AB136" s="129" t="str">
        <f>IF(AB135=Balance!AB13,"P","O")</f>
        <v>P</v>
      </c>
      <c r="AC136" s="129" t="str">
        <f>IF(AC135=Balance!AC13,"P","O")</f>
        <v>P</v>
      </c>
      <c r="AD136" s="129" t="str">
        <f>IF(AD135=Balance!AD13,"P","O")</f>
        <v>P</v>
      </c>
      <c r="AE136" s="129" t="str">
        <f>IF(AE135=Balance!AE13,"P","O")</f>
        <v>P</v>
      </c>
      <c r="AF136" s="129" t="str">
        <f>IF(AF135=Balance!AF13,"P","O")</f>
        <v>P</v>
      </c>
      <c r="AG136" s="129" t="str">
        <f>IF(AG135=Balance!AG13,"P","O")</f>
        <v>P</v>
      </c>
      <c r="AH136" s="129" t="str">
        <f>IF(AH135=Balance!AH13,"P","O")</f>
        <v>P</v>
      </c>
      <c r="AI136" s="129" t="str">
        <f>IF(AI135=Balance!AI13,"P","O")</f>
        <v>P</v>
      </c>
      <c r="AJ136" s="129" t="str">
        <f>IF(AJ135=Balance!AJ13,"P","O")</f>
        <v>P</v>
      </c>
      <c r="AK136" s="129" t="str">
        <f>IF(AK135=Balance!AK13,"P","O")</f>
        <v>P</v>
      </c>
      <c r="AL136" s="129" t="str">
        <f>IF(AL135=Balance!AL13,"P","O")</f>
        <v>P</v>
      </c>
      <c r="AM136" s="129" t="str">
        <f>IF(AM135=Balance!AM13,"P","O")</f>
        <v>P</v>
      </c>
      <c r="AN136" s="129" t="str">
        <f>IF(AN135=Balance!AN13,"P","O")</f>
        <v>P</v>
      </c>
      <c r="AO136" s="129" t="str">
        <f>IF(AO135=Balance!AO13,"P","O")</f>
        <v>P</v>
      </c>
      <c r="AP136" s="129" t="str">
        <f>IF(AP135=Balance!AP13,"P","O")</f>
        <v>P</v>
      </c>
      <c r="AQ136" s="129" t="str">
        <f>IF(AQ135=Balance!AQ13,"P","O")</f>
        <v>P</v>
      </c>
    </row>
    <row r="137" spans="1:43" hidden="1" x14ac:dyDescent="0.3">
      <c r="B137" s="36"/>
      <c r="H137" s="59"/>
      <c r="I137" s="68"/>
      <c r="J137" s="59"/>
    </row>
    <row r="138" spans="1:43" hidden="1" x14ac:dyDescent="0.3">
      <c r="B138" s="36"/>
    </row>
    <row r="139" spans="1:43" x14ac:dyDescent="0.3">
      <c r="B139" s="29">
        <v>4</v>
      </c>
      <c r="C139" s="29" t="s">
        <v>28</v>
      </c>
      <c r="D139" s="29"/>
      <c r="E139" s="29"/>
      <c r="F139" s="58"/>
      <c r="G139" s="29"/>
      <c r="H139" s="58"/>
      <c r="I139" s="29"/>
      <c r="J139" s="58"/>
      <c r="K139" s="34"/>
    </row>
    <row r="140" spans="1:43" x14ac:dyDescent="0.3">
      <c r="B140" s="29"/>
    </row>
    <row r="141" spans="1:43" x14ac:dyDescent="0.3">
      <c r="B141" s="35"/>
      <c r="C141" s="36" t="s">
        <v>105</v>
      </c>
      <c r="D141" s="35"/>
      <c r="E141" s="35"/>
      <c r="F141" s="61"/>
      <c r="G141" s="35"/>
      <c r="H141" s="79">
        <f>IF(Cover!$R$18&gt;0,SUMIF($N$1:$AQ$1,Cover!$R$18&amp;H$6,$N141:$AQ141),SUMIF($N$4:$AQ$4,H$6,$N141:$AQ141))</f>
        <v>1072665.6900000002</v>
      </c>
      <c r="I141" s="70"/>
      <c r="J141" s="79">
        <f>IF(Cover!$R$18&gt;0,SUMIF($N$1:$AQ$1,Cover!$R$18&amp;J$6,$N141:$AQ141),SUMIF($N$4:$AQ$4,J$6,$N141:$AQ141))</f>
        <v>1205714.1800000002</v>
      </c>
      <c r="K141" s="5"/>
      <c r="N141" s="4">
        <v>224065.7</v>
      </c>
      <c r="O141" s="4">
        <v>37425.89</v>
      </c>
      <c r="P141" s="4">
        <v>274150.46999999997</v>
      </c>
      <c r="Q141" s="4">
        <v>30790.37</v>
      </c>
      <c r="R141" s="4">
        <v>308094.09999999998</v>
      </c>
      <c r="S141" s="4">
        <v>28281.33</v>
      </c>
      <c r="T141" s="4">
        <f t="shared" ref="T141" si="3">R146</f>
        <v>1038741.9700000001</v>
      </c>
      <c r="U141" s="4">
        <f>S146</f>
        <v>32867.490000000005</v>
      </c>
      <c r="V141" s="4">
        <f t="shared" ref="V141:X141" si="4">T146</f>
        <v>652987.41000000015</v>
      </c>
      <c r="W141" s="4">
        <f t="shared" si="4"/>
        <v>53846.62000000001</v>
      </c>
      <c r="X141" s="4">
        <f t="shared" si="4"/>
        <v>715126.74000000011</v>
      </c>
      <c r="Y141" s="4">
        <f t="shared" ref="Y141" si="5">W146</f>
        <v>78357.820000000007</v>
      </c>
      <c r="Z141" s="4">
        <f t="shared" ref="Z141" si="6">X146</f>
        <v>799861.19000000006</v>
      </c>
      <c r="AA141" s="4">
        <f t="shared" ref="AA141" si="7">Y146</f>
        <v>95741.130000000019</v>
      </c>
      <c r="AB141" s="4">
        <f t="shared" ref="AB141" si="8">Z146</f>
        <v>851483.34000000008</v>
      </c>
      <c r="AC141" s="4">
        <f t="shared" ref="AC141" si="9">AA146</f>
        <v>129161.37000000001</v>
      </c>
      <c r="AD141" s="4">
        <f t="shared" ref="AD141" si="10">AB146</f>
        <v>746901.65000000014</v>
      </c>
      <c r="AE141" s="4">
        <f t="shared" ref="AE141" si="11">AC146</f>
        <v>115587.69</v>
      </c>
      <c r="AF141" s="4">
        <f t="shared" ref="AF141" si="12">AD146</f>
        <v>1028429.3800000001</v>
      </c>
      <c r="AG141" s="4">
        <f t="shared" ref="AG141" si="13">AE146</f>
        <v>177284.8</v>
      </c>
      <c r="AH141" s="4">
        <f t="shared" ref="AH141" si="14">AF146</f>
        <v>910126.12000000011</v>
      </c>
      <c r="AI141" s="4">
        <f t="shared" ref="AI141" si="15">AG146</f>
        <v>162539.56999999998</v>
      </c>
      <c r="AJ141" s="4">
        <f t="shared" ref="AJ141" si="16">AH146</f>
        <v>1004254.2300000001</v>
      </c>
      <c r="AK141" s="4">
        <f t="shared" ref="AK141" si="17">AI146</f>
        <v>181866.70999999996</v>
      </c>
      <c r="AL141" s="4">
        <f t="shared" ref="AL141" si="18">AJ146</f>
        <v>1004254.2300000001</v>
      </c>
      <c r="AM141" s="4">
        <f t="shared" ref="AM141" si="19">AK146</f>
        <v>181866.70999999996</v>
      </c>
      <c r="AN141" s="4">
        <f t="shared" ref="AN141" si="20">AL146</f>
        <v>1004254.2300000001</v>
      </c>
      <c r="AO141" s="4">
        <f t="shared" ref="AO141" si="21">AM146</f>
        <v>181866.70999999996</v>
      </c>
      <c r="AP141" s="4">
        <f t="shared" ref="AP141" si="22">AN146</f>
        <v>1004254.2300000001</v>
      </c>
      <c r="AQ141" s="4">
        <f t="shared" ref="AQ141" si="23">AO146</f>
        <v>181866.70999999996</v>
      </c>
    </row>
    <row r="142" spans="1:43" x14ac:dyDescent="0.3">
      <c r="B142" s="35"/>
      <c r="C142" s="36" t="s">
        <v>106</v>
      </c>
      <c r="D142" s="35"/>
      <c r="E142" s="35"/>
      <c r="F142" s="61"/>
      <c r="G142" s="35"/>
      <c r="H142" s="79">
        <f>IF(Cover!$R$18&gt;0,SUMIF($N$1:$AQ$1,Cover!$R$18&amp;H$6,$N142:$AQ142),SUMIF($N$4:$AQ$4,H$6,$N142:$AQ142))</f>
        <v>138705.25</v>
      </c>
      <c r="I142" s="70"/>
      <c r="J142" s="79">
        <f>IF(Cover!$R$18&gt;0,SUMIF($N$1:$AQ$1,Cover!$R$18&amp;J$6,$N142:$AQ142),SUMIF($N$4:$AQ$4,J$6,$N142:$AQ142))</f>
        <v>-107338.48999999999</v>
      </c>
      <c r="K142" s="5"/>
      <c r="N142" s="4">
        <v>63354.77</v>
      </c>
      <c r="O142" s="4">
        <v>-6635.52</v>
      </c>
      <c r="P142" s="4">
        <v>57153.63</v>
      </c>
      <c r="Q142" s="4">
        <v>-2509.04</v>
      </c>
      <c r="R142" s="4">
        <v>873722.27</v>
      </c>
      <c r="S142" s="4">
        <v>4586.16</v>
      </c>
      <c r="T142" s="4">
        <v>-99754.559999999998</v>
      </c>
      <c r="U142" s="4">
        <v>20979.13</v>
      </c>
      <c r="V142" s="4">
        <v>137139.32999999999</v>
      </c>
      <c r="W142" s="4">
        <v>24511.200000000001</v>
      </c>
      <c r="X142" s="4">
        <v>116734.45</v>
      </c>
      <c r="Y142" s="4">
        <v>17383.77</v>
      </c>
      <c r="Z142" s="4">
        <v>123622.15</v>
      </c>
      <c r="AA142" s="4">
        <v>33419.78</v>
      </c>
      <c r="AB142" s="4">
        <v>-214905.64</v>
      </c>
      <c r="AC142" s="4">
        <v>-13573.68</v>
      </c>
      <c r="AD142" s="4">
        <v>300197.73</v>
      </c>
      <c r="AE142" s="4">
        <v>61697.11</v>
      </c>
      <c r="AF142" s="4">
        <v>-92593.26</v>
      </c>
      <c r="AG142" s="4">
        <v>-14745.23</v>
      </c>
      <c r="AH142" s="4">
        <v>119378.11</v>
      </c>
      <c r="AI142" s="4">
        <v>19327.14</v>
      </c>
    </row>
    <row r="143" spans="1:43" x14ac:dyDescent="0.3">
      <c r="B143" s="121"/>
      <c r="C143" s="122" t="s">
        <v>307</v>
      </c>
      <c r="D143" s="121"/>
      <c r="E143" s="121"/>
      <c r="F143" s="61"/>
      <c r="G143" s="121"/>
      <c r="H143" s="79">
        <f>IF(Cover!$R$18&gt;0,SUMIF($N$1:$AQ$1,Cover!$R$18&amp;H$6,$N143:$AQ143),SUMIF($N$4:$AQ$4,H$6,$N143:$AQ143))</f>
        <v>0</v>
      </c>
      <c r="I143" s="70"/>
      <c r="J143" s="79">
        <f>IF(Cover!$R$18&gt;0,SUMIF($N$1:$AQ$1,Cover!$R$18&amp;J$6,$N143:$AQ143),SUMIF($N$4:$AQ$4,J$6,$N143:$AQ143))</f>
        <v>0</v>
      </c>
      <c r="K143" s="5"/>
      <c r="AB143" s="4">
        <v>134023.95000000001</v>
      </c>
    </row>
    <row r="144" spans="1:43" hidden="1" x14ac:dyDescent="0.3">
      <c r="B144" s="127"/>
      <c r="C144" s="128"/>
      <c r="D144" s="127"/>
      <c r="E144" s="127"/>
      <c r="F144" s="61"/>
      <c r="G144" s="127"/>
      <c r="H144" s="79"/>
      <c r="I144" s="70"/>
      <c r="J144" s="79"/>
      <c r="K144" s="5"/>
      <c r="Y144" s="4">
        <f>95741.13-95741.59</f>
        <v>-0.45999999999185093</v>
      </c>
      <c r="AA144" s="4">
        <f>-Y144</f>
        <v>0.45999999999185093</v>
      </c>
    </row>
    <row r="145" spans="2:43" x14ac:dyDescent="0.3">
      <c r="B145" s="35"/>
      <c r="C145" s="36" t="s">
        <v>107</v>
      </c>
      <c r="D145" s="35"/>
      <c r="E145" s="35"/>
      <c r="F145" s="61"/>
      <c r="G145" s="35"/>
      <c r="H145" s="79">
        <f>IF(Cover!$R$18&gt;0,SUMIF($N$1:$AQ$1,Cover!$R$18&amp;H$6,$N145:$AQ145),SUMIF($N$4:$AQ$4,H$6,$N145:$AQ145))</f>
        <v>-25250</v>
      </c>
      <c r="I145" s="70"/>
      <c r="J145" s="79">
        <f>IF(Cover!$R$18&gt;0,SUMIF($N$1:$AQ$1,Cover!$R$18&amp;J$6,$N145:$AQ145),SUMIF($N$4:$AQ$4,J$6,$N145:$AQ145))</f>
        <v>-25710</v>
      </c>
      <c r="K145" s="5"/>
      <c r="N145" s="4">
        <v>-13270</v>
      </c>
      <c r="O145" s="4">
        <v>0</v>
      </c>
      <c r="P145" s="4">
        <v>-23210</v>
      </c>
      <c r="Q145" s="4">
        <v>0</v>
      </c>
      <c r="R145" s="4">
        <v>-143074.4</v>
      </c>
      <c r="T145" s="4">
        <v>-286000</v>
      </c>
      <c r="V145" s="4">
        <v>-75000</v>
      </c>
      <c r="X145" s="4">
        <v>-32000</v>
      </c>
      <c r="Z145" s="4">
        <v>-72000</v>
      </c>
      <c r="AB145" s="4">
        <v>-23700</v>
      </c>
      <c r="AD145" s="4">
        <v>-18670</v>
      </c>
      <c r="AF145" s="4">
        <v>-25710</v>
      </c>
      <c r="AH145" s="4">
        <v>-25250</v>
      </c>
    </row>
    <row r="146" spans="2:43" ht="15" thickBot="1" x14ac:dyDescent="0.35">
      <c r="B146" s="35"/>
      <c r="C146" s="36" t="s">
        <v>108</v>
      </c>
      <c r="D146" s="35"/>
      <c r="E146" s="35"/>
      <c r="F146" s="61"/>
      <c r="G146" s="35"/>
      <c r="H146" s="91">
        <f>SUM(H141:H145)</f>
        <v>1186120.9400000002</v>
      </c>
      <c r="I146" s="35"/>
      <c r="J146" s="91">
        <f>SUM(J141:J145)</f>
        <v>1072665.6900000002</v>
      </c>
      <c r="K146" s="5"/>
      <c r="N146" s="4">
        <f>SUM(N141:N145)</f>
        <v>274150.47000000003</v>
      </c>
      <c r="O146" s="4">
        <f t="shared" ref="O146:AQ146" si="24">SUM(O141:O145)</f>
        <v>30790.37</v>
      </c>
      <c r="P146" s="4">
        <f t="shared" si="24"/>
        <v>308094.09999999998</v>
      </c>
      <c r="Q146" s="4">
        <f t="shared" si="24"/>
        <v>28281.329999999998</v>
      </c>
      <c r="R146" s="4">
        <f t="shared" si="24"/>
        <v>1038741.9700000001</v>
      </c>
      <c r="S146" s="4">
        <f t="shared" si="24"/>
        <v>32867.490000000005</v>
      </c>
      <c r="T146" s="4">
        <f t="shared" si="24"/>
        <v>652987.41000000015</v>
      </c>
      <c r="U146" s="4">
        <f t="shared" si="24"/>
        <v>53846.62000000001</v>
      </c>
      <c r="V146" s="4">
        <f t="shared" si="24"/>
        <v>715126.74000000011</v>
      </c>
      <c r="W146" s="4">
        <f t="shared" si="24"/>
        <v>78357.820000000007</v>
      </c>
      <c r="X146" s="4">
        <f t="shared" si="24"/>
        <v>799861.19000000006</v>
      </c>
      <c r="Y146" s="4">
        <f t="shared" si="24"/>
        <v>95741.130000000019</v>
      </c>
      <c r="Z146" s="4">
        <f t="shared" si="24"/>
        <v>851483.34000000008</v>
      </c>
      <c r="AA146" s="4">
        <f t="shared" si="24"/>
        <v>129161.37000000001</v>
      </c>
      <c r="AB146" s="4">
        <f t="shared" si="24"/>
        <v>746901.65000000014</v>
      </c>
      <c r="AC146" s="4">
        <f t="shared" si="24"/>
        <v>115587.69</v>
      </c>
      <c r="AD146" s="4">
        <f t="shared" si="24"/>
        <v>1028429.3800000001</v>
      </c>
      <c r="AE146" s="4">
        <f t="shared" si="24"/>
        <v>177284.8</v>
      </c>
      <c r="AF146" s="4">
        <f t="shared" si="24"/>
        <v>910126.12000000011</v>
      </c>
      <c r="AG146" s="4">
        <f t="shared" si="24"/>
        <v>162539.56999999998</v>
      </c>
      <c r="AH146" s="4">
        <f t="shared" si="24"/>
        <v>1004254.2300000001</v>
      </c>
      <c r="AI146" s="4">
        <f t="shared" si="24"/>
        <v>181866.70999999996</v>
      </c>
      <c r="AJ146" s="4">
        <f t="shared" si="24"/>
        <v>1004254.2300000001</v>
      </c>
      <c r="AK146" s="4">
        <f t="shared" si="24"/>
        <v>181866.70999999996</v>
      </c>
      <c r="AL146" s="4">
        <f t="shared" si="24"/>
        <v>1004254.2300000001</v>
      </c>
      <c r="AM146" s="4">
        <f t="shared" si="24"/>
        <v>181866.70999999996</v>
      </c>
      <c r="AN146" s="4">
        <f t="shared" si="24"/>
        <v>1004254.2300000001</v>
      </c>
      <c r="AO146" s="4">
        <f t="shared" si="24"/>
        <v>181866.70999999996</v>
      </c>
      <c r="AP146" s="4">
        <f t="shared" si="24"/>
        <v>1004254.2300000001</v>
      </c>
      <c r="AQ146" s="4">
        <f t="shared" si="24"/>
        <v>181866.70999999996</v>
      </c>
    </row>
    <row r="147" spans="2:43" ht="15" thickTop="1" x14ac:dyDescent="0.3">
      <c r="B147" s="26"/>
      <c r="C147" s="26"/>
      <c r="D147" s="26"/>
      <c r="E147" s="26"/>
      <c r="F147" s="77"/>
      <c r="G147" s="26"/>
      <c r="H147" s="78"/>
      <c r="I147" s="35"/>
      <c r="J147" s="78"/>
      <c r="K147" s="6"/>
      <c r="N147" s="129" t="str">
        <f>IF(N146=Balance!N28,"P","O")</f>
        <v>P</v>
      </c>
      <c r="O147" s="129" t="str">
        <f>IF(O146=Balance!O28,"P","O")</f>
        <v>P</v>
      </c>
      <c r="P147" s="129" t="str">
        <f>IF(P146=Balance!P28,"P","O")</f>
        <v>P</v>
      </c>
      <c r="Q147" s="129" t="str">
        <f>IF(Q146=Balance!Q28,"P","O")</f>
        <v>P</v>
      </c>
      <c r="R147" s="129" t="str">
        <f>IF(R146=Balance!R28,"P","O")</f>
        <v>P</v>
      </c>
      <c r="S147" s="129" t="str">
        <f>IF(S146=Balance!S28,"P","O")</f>
        <v>P</v>
      </c>
      <c r="T147" s="129" t="str">
        <f>IF(T146=Balance!T28,"P","O")</f>
        <v>P</v>
      </c>
      <c r="U147" s="129" t="str">
        <f>IF(U146=Balance!U28,"P","O")</f>
        <v>P</v>
      </c>
      <c r="V147" s="129" t="str">
        <f>IF(V146=Balance!V28,"P","O")</f>
        <v>P</v>
      </c>
      <c r="W147" s="129" t="str">
        <f>IF(W146=Balance!W28,"P","O")</f>
        <v>P</v>
      </c>
      <c r="X147" s="129" t="str">
        <f>IF(X146=Balance!X28,"P","O")</f>
        <v>P</v>
      </c>
      <c r="Y147" s="129" t="str">
        <f>IF(Y146=Balance!Y28,"P","O")</f>
        <v>P</v>
      </c>
      <c r="Z147" s="129" t="str">
        <f>IF(Z146=Balance!Z28,"P","O")</f>
        <v>P</v>
      </c>
      <c r="AA147" s="129" t="str">
        <f>IF(AA146=Balance!AA28,"P","O")</f>
        <v>P</v>
      </c>
      <c r="AB147" s="129" t="str">
        <f>IF(AB146=Balance!AB28,"P","O")</f>
        <v>P</v>
      </c>
      <c r="AC147" s="129" t="str">
        <f>IF(AC146=Balance!AC28,"P","O")</f>
        <v>P</v>
      </c>
      <c r="AD147" s="129" t="str">
        <f>IF(AD146=Balance!AD28,"P","O")</f>
        <v>P</v>
      </c>
      <c r="AE147" s="129" t="str">
        <f>IF(AE146=Balance!AE28,"P","O")</f>
        <v>P</v>
      </c>
      <c r="AF147" s="129" t="str">
        <f>IF(AF146=Balance!AF28,"P","O")</f>
        <v>P</v>
      </c>
      <c r="AG147" s="129" t="str">
        <f>IF(AG146=Balance!AG28,"P","O")</f>
        <v>P</v>
      </c>
      <c r="AH147" s="129" t="str">
        <f>IF(AH146=Balance!AH28,"P","O")</f>
        <v>P</v>
      </c>
      <c r="AI147" s="129" t="str">
        <f>IF(AI146=Balance!AI28,"P","O")</f>
        <v>P</v>
      </c>
      <c r="AJ147" s="129" t="str">
        <f>IF(AJ146=Balance!AJ28,"P","O")</f>
        <v>O</v>
      </c>
      <c r="AK147" s="129" t="str">
        <f>IF(AK146=Balance!AK28,"P","O")</f>
        <v>O</v>
      </c>
      <c r="AL147" s="129" t="str">
        <f>IF(AL146=Balance!AL28,"P","O")</f>
        <v>O</v>
      </c>
      <c r="AM147" s="129" t="str">
        <f>IF(AM146=Balance!AM28,"P","O")</f>
        <v>O</v>
      </c>
      <c r="AN147" s="129" t="str">
        <f>IF(AN146=Balance!AN28,"P","O")</f>
        <v>O</v>
      </c>
      <c r="AO147" s="129" t="str">
        <f>IF(AO146=Balance!AO28,"P","O")</f>
        <v>O</v>
      </c>
      <c r="AP147" s="129" t="str">
        <f>IF(AP146=Balance!AP28,"P","O")</f>
        <v>O</v>
      </c>
      <c r="AQ147" s="129" t="str">
        <f>IF(AQ146=Balance!AQ28,"P","O")</f>
        <v>O</v>
      </c>
    </row>
    <row r="148" spans="2:43" x14ac:dyDescent="0.3">
      <c r="B148" s="26"/>
      <c r="C148" s="26"/>
      <c r="D148" s="26"/>
      <c r="E148" s="26"/>
      <c r="F148" s="77"/>
      <c r="G148" s="26"/>
      <c r="H148" s="78"/>
      <c r="I148" s="92"/>
      <c r="J148" s="78"/>
      <c r="K148" s="6"/>
      <c r="N148" s="129" t="str">
        <f>IF(N142='Profit &amp; Loss'!N34,"P","O")</f>
        <v>P</v>
      </c>
      <c r="O148" s="129" t="str">
        <f>IF(O142='Profit &amp; Loss'!O34,"P","O")</f>
        <v>P</v>
      </c>
      <c r="P148" s="129" t="str">
        <f>IF(P142='Profit &amp; Loss'!P34,"P","O")</f>
        <v>P</v>
      </c>
      <c r="Q148" s="129" t="str">
        <f>IF(Q142='Profit &amp; Loss'!Q34,"P","O")</f>
        <v>P</v>
      </c>
      <c r="R148" s="129" t="str">
        <f>IF(R142='Profit &amp; Loss'!R34,"P","O")</f>
        <v>P</v>
      </c>
      <c r="S148" s="129" t="str">
        <f>IF(S142='Profit &amp; Loss'!S34,"P","O")</f>
        <v>P</v>
      </c>
      <c r="T148" s="129" t="str">
        <f>IF(T142='Profit &amp; Loss'!T34,"P","O")</f>
        <v>P</v>
      </c>
      <c r="U148" s="129" t="str">
        <f>IF(U142='Profit &amp; Loss'!U34,"P","O")</f>
        <v>P</v>
      </c>
      <c r="V148" s="129" t="str">
        <f>IF(V142='Profit &amp; Loss'!V34,"P","O")</f>
        <v>P</v>
      </c>
      <c r="W148" s="129" t="str">
        <f>IF(W142='Profit &amp; Loss'!W34,"P","O")</f>
        <v>P</v>
      </c>
      <c r="X148" s="129" t="str">
        <f>IF(X142='Profit &amp; Loss'!X34,"P","O")</f>
        <v>P</v>
      </c>
      <c r="Y148" s="129" t="str">
        <f>IF(Y142='Profit &amp; Loss'!Y34,"P","O")</f>
        <v>P</v>
      </c>
      <c r="Z148" s="129" t="str">
        <f>IF(Z142='Profit &amp; Loss'!Z34,"P","O")</f>
        <v>P</v>
      </c>
      <c r="AA148" s="129" t="str">
        <f>IF(AA142='Profit &amp; Loss'!AA34,"P","O")</f>
        <v>P</v>
      </c>
      <c r="AB148" s="129" t="str">
        <f>IF(AB142='Profit &amp; Loss'!AB34,"P","O")</f>
        <v>P</v>
      </c>
      <c r="AC148" s="129" t="str">
        <f>IF(AC142='Profit &amp; Loss'!AC34,"P","O")</f>
        <v>P</v>
      </c>
      <c r="AD148" s="129" t="str">
        <f>IF(AD142='Profit &amp; Loss'!AD34,"P","O")</f>
        <v>P</v>
      </c>
      <c r="AE148" s="129" t="str">
        <f>IF(AE142='Profit &amp; Loss'!AE34,"P","O")</f>
        <v>P</v>
      </c>
      <c r="AF148" s="129" t="str">
        <f>IF(AF142='Profit &amp; Loss'!AF34,"P","O")</f>
        <v>P</v>
      </c>
      <c r="AG148" s="129" t="str">
        <f>IF(AG142='Profit &amp; Loss'!AG34,"P","O")</f>
        <v>P</v>
      </c>
      <c r="AH148" s="129" t="str">
        <f>IF(AH142='Profit &amp; Loss'!AH34,"P","O")</f>
        <v>P</v>
      </c>
      <c r="AI148" s="129" t="str">
        <f>IF(AI142='Profit &amp; Loss'!AI34,"P","O")</f>
        <v>P</v>
      </c>
      <c r="AJ148" s="129" t="str">
        <f>IF(AJ142='Profit &amp; Loss'!AJ34,"P","O")</f>
        <v>P</v>
      </c>
      <c r="AK148" s="129" t="str">
        <f>IF(AK142='Profit &amp; Loss'!AK34,"P","O")</f>
        <v>P</v>
      </c>
      <c r="AL148" s="129" t="str">
        <f>IF(AL142='Profit &amp; Loss'!AL34,"P","O")</f>
        <v>P</v>
      </c>
      <c r="AM148" s="129" t="str">
        <f>IF(AM142='Profit &amp; Loss'!AM34,"P","O")</f>
        <v>P</v>
      </c>
      <c r="AN148" s="129" t="str">
        <f>IF(AN142='Profit &amp; Loss'!AN34,"P","O")</f>
        <v>P</v>
      </c>
      <c r="AO148" s="129" t="str">
        <f>IF(AO142='Profit &amp; Loss'!AO34,"P","O")</f>
        <v>P</v>
      </c>
      <c r="AP148" s="129" t="str">
        <f>IF(AP142='Profit &amp; Loss'!AP34,"P","O")</f>
        <v>P</v>
      </c>
      <c r="AQ148" s="129" t="str">
        <f>IF(AQ142='Profit &amp; Loss'!AQ34,"P","O")</f>
        <v>P</v>
      </c>
    </row>
    <row r="149" spans="2:43" x14ac:dyDescent="0.3">
      <c r="B149" s="36"/>
      <c r="H149" s="59"/>
      <c r="I149" s="68"/>
      <c r="J149" s="59"/>
    </row>
    <row r="150" spans="2:43" x14ac:dyDescent="0.3">
      <c r="B150" s="29">
        <v>5</v>
      </c>
      <c r="C150" s="29" t="s">
        <v>109</v>
      </c>
      <c r="D150" s="29"/>
      <c r="E150" s="29"/>
      <c r="F150" s="58"/>
      <c r="G150" s="29"/>
      <c r="H150" s="58"/>
      <c r="I150" s="29"/>
      <c r="J150" s="58"/>
      <c r="K150" s="34"/>
    </row>
    <row r="151" spans="2:43" x14ac:dyDescent="0.3">
      <c r="B151" s="29"/>
    </row>
    <row r="152" spans="2:43" ht="43.5" customHeight="1" x14ac:dyDescent="0.3">
      <c r="C152" s="138" t="s">
        <v>110</v>
      </c>
      <c r="D152" s="138"/>
      <c r="E152" s="138"/>
      <c r="F152" s="138"/>
      <c r="G152" s="138"/>
      <c r="H152" s="138"/>
      <c r="I152" s="138"/>
      <c r="J152" s="138"/>
      <c r="K152" s="7"/>
    </row>
    <row r="153" spans="2:43" x14ac:dyDescent="0.3">
      <c r="B153" s="36"/>
      <c r="H153" s="59"/>
      <c r="J153" s="59"/>
    </row>
    <row r="154" spans="2:43" ht="15" thickBot="1" x14ac:dyDescent="0.35">
      <c r="B154" s="35"/>
      <c r="C154" s="36" t="s">
        <v>109</v>
      </c>
      <c r="D154" s="35"/>
      <c r="E154" s="35"/>
      <c r="F154" s="61"/>
      <c r="G154" s="35"/>
      <c r="H154" s="87">
        <f>IF(Cover!$R$18&gt;0,SUMIF($N$1:$AQ$1,Cover!$R$18&amp;H$6,$N154:$AQ154),SUMIF($N$4:$AQ$4,H$6,$N154:$AQ154))</f>
        <v>1186120.94</v>
      </c>
      <c r="I154" s="70"/>
      <c r="J154" s="87">
        <f>IF(Cover!$R$18&gt;0,SUMIF($N$1:$AQ$1,Cover!$R$18&amp;J$6,$N154:$AQ154),SUMIF($N$4:$AQ$4,J$6,$N154:$AQ154))</f>
        <v>1072665.6900000002</v>
      </c>
      <c r="K154" s="5"/>
      <c r="N154" s="4">
        <v>274150.46999999997</v>
      </c>
      <c r="O154" s="4">
        <v>30790.37</v>
      </c>
      <c r="P154" s="4">
        <v>308094.09999999998</v>
      </c>
      <c r="Q154" s="4">
        <v>28281.33</v>
      </c>
      <c r="R154" s="4">
        <v>1038741.97</v>
      </c>
      <c r="S154" s="4">
        <v>32867.49</v>
      </c>
      <c r="T154" s="4">
        <f t="shared" ref="T154" si="25">T146</f>
        <v>652987.41000000015</v>
      </c>
      <c r="U154" s="4">
        <f>U146</f>
        <v>53846.62000000001</v>
      </c>
      <c r="V154" s="4">
        <f t="shared" ref="V154:AQ154" si="26">V146</f>
        <v>715126.74000000011</v>
      </c>
      <c r="W154" s="4">
        <f t="shared" si="26"/>
        <v>78357.820000000007</v>
      </c>
      <c r="X154" s="4">
        <f t="shared" si="26"/>
        <v>799861.19000000006</v>
      </c>
      <c r="Y154" s="4">
        <f t="shared" si="26"/>
        <v>95741.130000000019</v>
      </c>
      <c r="Z154" s="4">
        <f t="shared" si="26"/>
        <v>851483.34000000008</v>
      </c>
      <c r="AA154" s="4">
        <f t="shared" si="26"/>
        <v>129161.37000000001</v>
      </c>
      <c r="AB154" s="4">
        <f t="shared" si="26"/>
        <v>746901.65000000014</v>
      </c>
      <c r="AC154" s="4">
        <f t="shared" si="26"/>
        <v>115587.69</v>
      </c>
      <c r="AD154" s="4">
        <f t="shared" si="26"/>
        <v>1028429.3800000001</v>
      </c>
      <c r="AE154" s="4">
        <f t="shared" si="26"/>
        <v>177284.8</v>
      </c>
      <c r="AF154" s="4">
        <f t="shared" si="26"/>
        <v>910126.12000000011</v>
      </c>
      <c r="AG154" s="4">
        <f t="shared" si="26"/>
        <v>162539.56999999998</v>
      </c>
      <c r="AH154" s="4">
        <f t="shared" si="26"/>
        <v>1004254.2300000001</v>
      </c>
      <c r="AI154" s="4">
        <f t="shared" si="26"/>
        <v>181866.70999999996</v>
      </c>
      <c r="AJ154" s="4">
        <f t="shared" si="26"/>
        <v>1004254.2300000001</v>
      </c>
      <c r="AK154" s="4">
        <f t="shared" si="26"/>
        <v>181866.70999999996</v>
      </c>
      <c r="AL154" s="4">
        <f t="shared" si="26"/>
        <v>1004254.2300000001</v>
      </c>
      <c r="AM154" s="4">
        <f t="shared" si="26"/>
        <v>181866.70999999996</v>
      </c>
      <c r="AN154" s="4">
        <f t="shared" si="26"/>
        <v>1004254.2300000001</v>
      </c>
      <c r="AO154" s="4">
        <f t="shared" si="26"/>
        <v>181866.70999999996</v>
      </c>
      <c r="AP154" s="4">
        <f t="shared" si="26"/>
        <v>1004254.2300000001</v>
      </c>
      <c r="AQ154" s="4">
        <f t="shared" si="26"/>
        <v>181866.70999999996</v>
      </c>
    </row>
    <row r="155" spans="2:43" ht="15" thickTop="1" x14ac:dyDescent="0.3">
      <c r="B155" s="26"/>
      <c r="C155" s="26"/>
      <c r="D155" s="26"/>
      <c r="E155" s="26"/>
      <c r="F155" s="77"/>
      <c r="G155" s="26"/>
      <c r="H155" s="78"/>
      <c r="I155" s="35"/>
      <c r="J155" s="78"/>
      <c r="K155" s="6"/>
      <c r="N155" s="129" t="str">
        <f>IF(N154=N146,"P","O")</f>
        <v>P</v>
      </c>
      <c r="O155" s="129" t="str">
        <f t="shared" ref="O155:AQ155" si="27">IF(O154=O146,"P","O")</f>
        <v>P</v>
      </c>
      <c r="P155" s="129" t="str">
        <f t="shared" si="27"/>
        <v>P</v>
      </c>
      <c r="Q155" s="129" t="str">
        <f t="shared" si="27"/>
        <v>P</v>
      </c>
      <c r="R155" s="129" t="str">
        <f t="shared" si="27"/>
        <v>P</v>
      </c>
      <c r="S155" s="129" t="str">
        <f t="shared" si="27"/>
        <v>P</v>
      </c>
      <c r="T155" s="129" t="str">
        <f t="shared" si="27"/>
        <v>P</v>
      </c>
      <c r="U155" s="129" t="str">
        <f t="shared" si="27"/>
        <v>P</v>
      </c>
      <c r="V155" s="129" t="str">
        <f t="shared" si="27"/>
        <v>P</v>
      </c>
      <c r="W155" s="129" t="str">
        <f t="shared" si="27"/>
        <v>P</v>
      </c>
      <c r="X155" s="129" t="str">
        <f t="shared" si="27"/>
        <v>P</v>
      </c>
      <c r="Y155" s="129" t="str">
        <f t="shared" si="27"/>
        <v>P</v>
      </c>
      <c r="Z155" s="129" t="str">
        <f t="shared" si="27"/>
        <v>P</v>
      </c>
      <c r="AA155" s="129" t="str">
        <f t="shared" si="27"/>
        <v>P</v>
      </c>
      <c r="AB155" s="129" t="str">
        <f t="shared" si="27"/>
        <v>P</v>
      </c>
      <c r="AC155" s="129" t="str">
        <f t="shared" si="27"/>
        <v>P</v>
      </c>
      <c r="AD155" s="129" t="str">
        <f t="shared" si="27"/>
        <v>P</v>
      </c>
      <c r="AE155" s="129" t="str">
        <f t="shared" si="27"/>
        <v>P</v>
      </c>
      <c r="AF155" s="129" t="str">
        <f t="shared" si="27"/>
        <v>P</v>
      </c>
      <c r="AG155" s="129" t="str">
        <f t="shared" si="27"/>
        <v>P</v>
      </c>
      <c r="AH155" s="129" t="str">
        <f t="shared" si="27"/>
        <v>P</v>
      </c>
      <c r="AI155" s="129" t="str">
        <f t="shared" si="27"/>
        <v>P</v>
      </c>
      <c r="AJ155" s="129" t="str">
        <f t="shared" si="27"/>
        <v>P</v>
      </c>
      <c r="AK155" s="129" t="str">
        <f t="shared" si="27"/>
        <v>P</v>
      </c>
      <c r="AL155" s="129" t="str">
        <f t="shared" si="27"/>
        <v>P</v>
      </c>
      <c r="AM155" s="129" t="str">
        <f t="shared" si="27"/>
        <v>P</v>
      </c>
      <c r="AN155" s="129" t="str">
        <f t="shared" si="27"/>
        <v>P</v>
      </c>
      <c r="AO155" s="129" t="str">
        <f t="shared" si="27"/>
        <v>P</v>
      </c>
      <c r="AP155" s="129" t="str">
        <f t="shared" si="27"/>
        <v>P</v>
      </c>
      <c r="AQ155" s="129" t="str">
        <f t="shared" si="27"/>
        <v>P</v>
      </c>
    </row>
    <row r="156" spans="2:43" x14ac:dyDescent="0.3">
      <c r="B156" s="26"/>
      <c r="C156" s="26"/>
      <c r="D156" s="26"/>
      <c r="E156" s="26"/>
      <c r="F156" s="77"/>
      <c r="G156" s="26"/>
      <c r="H156" s="78"/>
      <c r="I156" s="96"/>
      <c r="J156" s="78"/>
      <c r="K156" s="6"/>
    </row>
    <row r="157" spans="2:43" x14ac:dyDescent="0.3">
      <c r="B157" s="36"/>
      <c r="H157" s="59"/>
      <c r="I157" s="68"/>
      <c r="J157" s="59"/>
    </row>
    <row r="158" spans="2:43" x14ac:dyDescent="0.3">
      <c r="B158" s="29">
        <v>6</v>
      </c>
      <c r="C158" s="29" t="s">
        <v>111</v>
      </c>
      <c r="D158" s="29"/>
      <c r="E158" s="29"/>
      <c r="F158" s="58"/>
      <c r="G158" s="29"/>
      <c r="H158" s="60"/>
      <c r="I158" s="69"/>
      <c r="J158" s="60"/>
      <c r="K158" s="34"/>
    </row>
    <row r="159" spans="2:43" x14ac:dyDescent="0.3">
      <c r="B159" s="29"/>
    </row>
    <row r="160" spans="2:43" x14ac:dyDescent="0.3">
      <c r="C160" s="36" t="s">
        <v>112</v>
      </c>
      <c r="D160" s="36"/>
      <c r="E160" s="36"/>
      <c r="F160" s="61"/>
      <c r="G160" s="36"/>
      <c r="H160" s="61"/>
      <c r="I160" s="36"/>
      <c r="J160" s="61"/>
      <c r="K160" s="7"/>
    </row>
    <row r="161" spans="1:35" x14ac:dyDescent="0.3">
      <c r="C161" s="97"/>
      <c r="D161" s="97"/>
      <c r="E161" s="97"/>
      <c r="F161" s="61"/>
      <c r="G161" s="97"/>
      <c r="H161" s="61"/>
      <c r="I161" s="97"/>
      <c r="J161" s="61"/>
      <c r="K161" s="7"/>
    </row>
    <row r="162" spans="1:35" x14ac:dyDescent="0.3">
      <c r="C162" s="97"/>
      <c r="D162" s="97"/>
      <c r="E162" s="97"/>
      <c r="F162" s="61"/>
      <c r="G162" s="97"/>
      <c r="H162" s="61"/>
      <c r="I162" s="97"/>
      <c r="J162" s="61"/>
      <c r="K162" s="7"/>
    </row>
    <row r="163" spans="1:35" x14ac:dyDescent="0.3">
      <c r="B163" s="36"/>
    </row>
    <row r="164" spans="1:35" x14ac:dyDescent="0.3">
      <c r="B164" s="29">
        <v>7</v>
      </c>
      <c r="C164" s="29" t="s">
        <v>31</v>
      </c>
      <c r="D164" s="29"/>
      <c r="E164" s="29"/>
      <c r="F164" s="58"/>
      <c r="G164" s="29"/>
      <c r="H164" s="58"/>
      <c r="I164" s="29"/>
      <c r="J164" s="58"/>
      <c r="K164" s="34"/>
    </row>
    <row r="165" spans="1:35" x14ac:dyDescent="0.3">
      <c r="B165" s="29"/>
      <c r="C165" s="29"/>
    </row>
    <row r="166" spans="1:35" x14ac:dyDescent="0.3">
      <c r="A166" s="4" t="s">
        <v>192</v>
      </c>
      <c r="B166" s="36"/>
      <c r="C166" s="97" t="s">
        <v>313</v>
      </c>
      <c r="D166" s="35"/>
      <c r="E166" s="35"/>
      <c r="F166" s="61"/>
      <c r="G166" s="35"/>
      <c r="H166" s="79">
        <f>IF(Cover!$R$18&gt;0,SUMIF($N$1:$AQ$1,Cover!$R$18&amp;H$6,$N166:$AQ166),SUMIF($N$4:$AQ$4,H$6,$N166:$AQ166))</f>
        <v>2430</v>
      </c>
      <c r="I166" s="70"/>
      <c r="J166" s="79">
        <f>IF(Cover!$R$18&gt;0,SUMIF($N$1:$AQ$1,Cover!$R$18&amp;J$6,$N166:$AQ166),SUMIF($N$4:$AQ$4,J$6,$N166:$AQ166))</f>
        <v>2030</v>
      </c>
      <c r="K166" s="5"/>
      <c r="AF166" s="4">
        <v>2030</v>
      </c>
      <c r="AH166" s="4">
        <v>2430</v>
      </c>
    </row>
    <row r="167" spans="1:35" hidden="1" x14ac:dyDescent="0.3">
      <c r="A167" s="4" t="s">
        <v>192</v>
      </c>
      <c r="B167" s="126"/>
      <c r="C167" s="126" t="s">
        <v>186</v>
      </c>
      <c r="D167" s="125"/>
      <c r="E167" s="125"/>
      <c r="F167" s="61"/>
      <c r="G167" s="125"/>
      <c r="H167" s="79">
        <f>IF(Cover!$R$18&gt;0,SUMIF($N$1:$AQ$1,Cover!$R$18&amp;H$6,$N167:$AQ167),SUMIF($N$4:$AQ$4,H$6,$N167:$AQ167))</f>
        <v>0</v>
      </c>
      <c r="I167" s="70"/>
      <c r="J167" s="79">
        <f>IF(Cover!$R$18&gt;0,SUMIF($N$1:$AQ$1,Cover!$R$18&amp;J$6,$N167:$AQ167),SUMIF($N$4:$AQ$4,J$6,$N167:$AQ167))</f>
        <v>0</v>
      </c>
      <c r="K167" s="5"/>
      <c r="N167" s="4">
        <v>166.6</v>
      </c>
      <c r="P167" s="4">
        <v>299.88</v>
      </c>
      <c r="R167" s="4">
        <v>99.96</v>
      </c>
      <c r="T167" s="4">
        <v>0</v>
      </c>
    </row>
    <row r="168" spans="1:35" x14ac:dyDescent="0.3">
      <c r="A168" s="4" t="s">
        <v>192</v>
      </c>
      <c r="B168" s="124"/>
      <c r="C168" s="124" t="s">
        <v>305</v>
      </c>
      <c r="D168" s="123"/>
      <c r="E168" s="123"/>
      <c r="F168" s="61"/>
      <c r="G168" s="123"/>
      <c r="H168" s="79">
        <f>IF(Cover!$R$18&gt;0,SUMIF($N$1:$AQ$1,Cover!$R$18&amp;H$6,$N168:$AQ168),SUMIF($N$4:$AQ$4,H$6,$N168:$AQ168))</f>
        <v>576</v>
      </c>
      <c r="I168" s="70"/>
      <c r="J168" s="79">
        <f>IF(Cover!$R$18&gt;0,SUMIF($N$1:$AQ$1,Cover!$R$18&amp;J$6,$N168:$AQ168),SUMIF($N$4:$AQ$4,J$6,$N168:$AQ168))</f>
        <v>1600</v>
      </c>
      <c r="K168" s="5"/>
      <c r="AD168" s="4">
        <v>1104</v>
      </c>
      <c r="AF168" s="4">
        <v>1600</v>
      </c>
      <c r="AH168" s="4">
        <v>576</v>
      </c>
    </row>
    <row r="169" spans="1:35" x14ac:dyDescent="0.3">
      <c r="B169" s="97"/>
      <c r="C169" s="97" t="s">
        <v>259</v>
      </c>
      <c r="D169" s="96"/>
      <c r="E169" s="96"/>
      <c r="F169" s="61"/>
      <c r="G169" s="96"/>
      <c r="H169" s="79">
        <f>IF(Cover!$R$18&gt;0,SUMIF($N$1:$AQ$1,Cover!$R$18&amp;H$6,$N169:$AQ169),SUMIF($N$4:$AQ$4,H$6,$N169:$AQ169))</f>
        <v>11555.36</v>
      </c>
      <c r="I169" s="70"/>
      <c r="J169" s="79">
        <f>IF(Cover!$R$18&gt;0,SUMIF($N$1:$AQ$1,Cover!$R$18&amp;J$6,$N169:$AQ169),SUMIF($N$4:$AQ$4,J$6,$N169:$AQ169))</f>
        <v>5126.2</v>
      </c>
      <c r="K169" s="5"/>
      <c r="T169" s="4">
        <v>950</v>
      </c>
      <c r="V169" s="4">
        <v>2160</v>
      </c>
      <c r="X169" s="4">
        <v>2160</v>
      </c>
      <c r="Z169" s="4">
        <v>2160</v>
      </c>
      <c r="AB169" s="4">
        <v>3968</v>
      </c>
      <c r="AD169" s="4">
        <v>2166</v>
      </c>
      <c r="AF169" s="4">
        <v>5126.2</v>
      </c>
      <c r="AH169" s="4">
        <v>11555.36</v>
      </c>
    </row>
    <row r="170" spans="1:35" x14ac:dyDescent="0.3">
      <c r="B170" s="105"/>
      <c r="C170" s="105" t="s">
        <v>278</v>
      </c>
      <c r="D170" s="104"/>
      <c r="E170" s="104"/>
      <c r="F170" s="61"/>
      <c r="G170" s="104"/>
      <c r="H170" s="79">
        <f>IF(Cover!$R$18&gt;0,SUMIF($N$1:$AQ$1,Cover!$R$18&amp;H$6,$N170:$AQ170),SUMIF($N$4:$AQ$4,H$6,$N170:$AQ170))</f>
        <v>7059.8</v>
      </c>
      <c r="I170" s="70"/>
      <c r="J170" s="79">
        <f>IF(Cover!$R$18&gt;0,SUMIF($N$1:$AQ$1,Cover!$R$18&amp;J$6,$N170:$AQ170),SUMIF($N$4:$AQ$4,J$6,$N170:$AQ170))</f>
        <v>6179.8</v>
      </c>
      <c r="K170" s="5"/>
      <c r="V170" s="4">
        <v>912</v>
      </c>
      <c r="X170" s="4">
        <v>1312</v>
      </c>
      <c r="Z170" s="4">
        <v>1440</v>
      </c>
      <c r="AB170" s="4">
        <v>1240</v>
      </c>
      <c r="AD170" s="4">
        <v>1994.49</v>
      </c>
      <c r="AE170" s="4">
        <v>1193.1600000000001</v>
      </c>
      <c r="AF170" s="4">
        <v>4178.68</v>
      </c>
      <c r="AG170" s="4">
        <v>2001.12</v>
      </c>
      <c r="AH170" s="4">
        <v>5058.68</v>
      </c>
      <c r="AI170" s="4">
        <v>2001.12</v>
      </c>
    </row>
    <row r="171" spans="1:35" hidden="1" x14ac:dyDescent="0.3">
      <c r="A171" s="4" t="s">
        <v>193</v>
      </c>
      <c r="B171" s="36"/>
      <c r="C171" s="97" t="s">
        <v>172</v>
      </c>
      <c r="D171" s="35"/>
      <c r="E171" s="35"/>
      <c r="F171" s="61"/>
      <c r="G171" s="35"/>
      <c r="H171" s="79">
        <f>IF(Cover!$R$18&gt;0,SUMIF($N$1:$AQ$1,Cover!$R$18&amp;H$6,$N171:$AQ171),SUMIF($N$4:$AQ$4,H$6,$N171:$AQ171))</f>
        <v>0</v>
      </c>
      <c r="I171" s="70"/>
      <c r="J171" s="79">
        <f>IF(Cover!$R$18&gt;0,SUMIF($N$1:$AQ$1,Cover!$R$18&amp;J$6,$N171:$AQ171),SUMIF($N$4:$AQ$4,J$6,$N171:$AQ171))</f>
        <v>0</v>
      </c>
      <c r="K171" s="5"/>
      <c r="N171" s="4">
        <v>320.88</v>
      </c>
      <c r="P171" s="4">
        <v>374.4</v>
      </c>
      <c r="R171" s="4">
        <v>4063.44</v>
      </c>
      <c r="T171" s="4">
        <v>5228.2299999999996</v>
      </c>
      <c r="V171" s="4">
        <v>3434.34</v>
      </c>
      <c r="X171" s="4">
        <v>5917.29</v>
      </c>
      <c r="Z171" s="4">
        <v>14748.42</v>
      </c>
      <c r="AB171" s="4">
        <v>9213.76</v>
      </c>
      <c r="AD171" s="4">
        <v>6518.45</v>
      </c>
      <c r="AF171" s="4">
        <v>0</v>
      </c>
    </row>
    <row r="172" spans="1:35" hidden="1" x14ac:dyDescent="0.3">
      <c r="A172" s="4" t="s">
        <v>158</v>
      </c>
      <c r="B172" s="36"/>
      <c r="C172" s="97" t="s">
        <v>98</v>
      </c>
      <c r="D172" s="35"/>
      <c r="E172" s="35"/>
      <c r="F172" s="61"/>
      <c r="G172" s="35"/>
      <c r="H172" s="79">
        <f>IF(Cover!$R$18&gt;0,SUMIF($N$1:$AQ$1,Cover!$R$18&amp;H$6,$N172:$AQ172),SUMIF($N$4:$AQ$4,H$6,$N172:$AQ172))</f>
        <v>0</v>
      </c>
      <c r="I172" s="70"/>
      <c r="J172" s="79">
        <f>IF(Cover!$R$18&gt;0,SUMIF($N$1:$AQ$1,Cover!$R$18&amp;J$6,$N172:$AQ172),SUMIF($N$4:$AQ$4,J$6,$N172:$AQ172))</f>
        <v>0</v>
      </c>
      <c r="K172" s="5"/>
      <c r="N172" s="4">
        <v>218.21</v>
      </c>
      <c r="O172" s="4">
        <v>485.21</v>
      </c>
      <c r="P172" s="4">
        <v>0</v>
      </c>
      <c r="R172" s="4">
        <v>0</v>
      </c>
    </row>
    <row r="173" spans="1:35" hidden="1" x14ac:dyDescent="0.3">
      <c r="A173" s="4" t="s">
        <v>194</v>
      </c>
      <c r="B173" s="36"/>
      <c r="C173" s="97" t="s">
        <v>159</v>
      </c>
      <c r="D173" s="35"/>
      <c r="E173" s="35"/>
      <c r="F173" s="61"/>
      <c r="G173" s="35"/>
      <c r="H173" s="79">
        <f>IF(Cover!$R$18&gt;0,SUMIF($N$1:$AQ$1,Cover!$R$18&amp;H$6,$N173:$AQ173),SUMIF($N$4:$AQ$4,H$6,$N173:$AQ173))</f>
        <v>0</v>
      </c>
      <c r="I173" s="70"/>
      <c r="J173" s="79">
        <f>IF(Cover!$R$18&gt;0,SUMIF($N$1:$AQ$1,Cover!$R$18&amp;J$6,$N173:$AQ173),SUMIF($N$4:$AQ$4,J$6,$N173:$AQ173))</f>
        <v>0</v>
      </c>
      <c r="K173" s="5"/>
      <c r="N173" s="4">
        <v>187.5</v>
      </c>
      <c r="O173" s="4">
        <v>750</v>
      </c>
      <c r="P173" s="4">
        <v>0</v>
      </c>
      <c r="R173" s="4">
        <v>0</v>
      </c>
      <c r="X173" s="4">
        <v>105</v>
      </c>
      <c r="Y173" s="4">
        <v>420</v>
      </c>
      <c r="Z173" s="4">
        <v>105</v>
      </c>
      <c r="AA173" s="4">
        <v>420</v>
      </c>
    </row>
    <row r="174" spans="1:35" hidden="1" x14ac:dyDescent="0.3">
      <c r="A174" s="4" t="s">
        <v>195</v>
      </c>
      <c r="B174" s="36"/>
      <c r="C174" s="97" t="s">
        <v>99</v>
      </c>
      <c r="D174" s="35"/>
      <c r="E174" s="35"/>
      <c r="F174" s="61"/>
      <c r="G174" s="35"/>
      <c r="H174" s="79">
        <f>IF(Cover!$R$18&gt;0,SUMIF($N$1:$AQ$1,Cover!$R$18&amp;H$6,$N174:$AQ174),SUMIF($N$4:$AQ$4,H$6,$N174:$AQ174))</f>
        <v>0</v>
      </c>
      <c r="I174" s="70"/>
      <c r="J174" s="79">
        <f>IF(Cover!$R$18&gt;0,SUMIF($N$1:$AQ$1,Cover!$R$18&amp;J$6,$N174:$AQ174),SUMIF($N$4:$AQ$4,J$6,$N174:$AQ174))</f>
        <v>0</v>
      </c>
      <c r="K174" s="5"/>
    </row>
    <row r="175" spans="1:35" hidden="1" x14ac:dyDescent="0.3">
      <c r="B175" s="117"/>
      <c r="C175" s="117" t="s">
        <v>258</v>
      </c>
      <c r="D175" s="116"/>
      <c r="E175" s="116"/>
      <c r="F175" s="61"/>
      <c r="G175" s="116"/>
      <c r="H175" s="79">
        <f>IF(Cover!$R$18&gt;0,SUMIF($N$1:$AQ$1,Cover!$R$18&amp;H$6,$N175:$AQ175),SUMIF($N$4:$AQ$4,H$6,$N175:$AQ175))</f>
        <v>0</v>
      </c>
      <c r="I175" s="70"/>
      <c r="J175" s="79">
        <f>IF(Cover!$R$18&gt;0,SUMIF($N$1:$AQ$1,Cover!$R$18&amp;J$6,$N175:$AQ175),SUMIF($N$4:$AQ$4,J$6,$N175:$AQ175))</f>
        <v>0</v>
      </c>
      <c r="K175" s="5"/>
      <c r="AA175" s="4">
        <v>222.67</v>
      </c>
    </row>
    <row r="176" spans="1:35" x14ac:dyDescent="0.3">
      <c r="B176" s="126"/>
      <c r="C176" s="126" t="s">
        <v>314</v>
      </c>
      <c r="D176" s="125"/>
      <c r="E176" s="125"/>
      <c r="F176" s="61"/>
      <c r="G176" s="125"/>
      <c r="H176" s="79">
        <f>IF(Cover!$R$18&gt;0,SUMIF($N$1:$AQ$1,Cover!$R$18&amp;H$6,$N176:$AQ176),SUMIF($N$4:$AQ$4,H$6,$N176:$AQ176))</f>
        <v>1155</v>
      </c>
      <c r="I176" s="70"/>
      <c r="J176" s="79">
        <f>IF(Cover!$R$18&gt;0,SUMIF($N$1:$AQ$1,Cover!$R$18&amp;J$6,$N176:$AQ176),SUMIF($N$4:$AQ$4,J$6,$N176:$AQ176))</f>
        <v>1380</v>
      </c>
      <c r="K176" s="5"/>
      <c r="AF176" s="4">
        <v>1380</v>
      </c>
      <c r="AH176" s="4">
        <v>1155</v>
      </c>
    </row>
    <row r="177" spans="1:43" hidden="1" x14ac:dyDescent="0.3">
      <c r="A177" s="4" t="s">
        <v>196</v>
      </c>
      <c r="B177" s="36"/>
      <c r="C177" s="97" t="s">
        <v>100</v>
      </c>
      <c r="D177" s="35"/>
      <c r="E177" s="35"/>
      <c r="F177" s="61"/>
      <c r="G177" s="35"/>
      <c r="H177" s="79">
        <f>IF(Cover!$R$18&gt;0,SUMIF($N$1:$AQ$1,Cover!$R$18&amp;H$6,$N177:$AQ177),SUMIF($N$4:$AQ$4,H$6,$N177:$AQ177))</f>
        <v>0</v>
      </c>
      <c r="I177" s="70"/>
      <c r="J177" s="79">
        <f>IF(Cover!$R$18&gt;0,SUMIF($N$1:$AQ$1,Cover!$R$18&amp;J$6,$N177:$AQ177),SUMIF($N$4:$AQ$4,J$6,$N177:$AQ177))</f>
        <v>0</v>
      </c>
      <c r="K177" s="5"/>
    </row>
    <row r="178" spans="1:43" x14ac:dyDescent="0.3">
      <c r="B178" s="103"/>
      <c r="C178" s="103" t="s">
        <v>273</v>
      </c>
      <c r="D178" s="102"/>
      <c r="E178" s="102"/>
      <c r="F178" s="61"/>
      <c r="G178" s="102"/>
      <c r="H178" s="79">
        <f>IF(Cover!$R$18&gt;0,SUMIF($N$1:$AQ$1,Cover!$R$18&amp;H$6,$N178:$AQ178),SUMIF($N$4:$AQ$4,H$6,$N178:$AQ178))</f>
        <v>305</v>
      </c>
      <c r="I178" s="70"/>
      <c r="J178" s="79">
        <f>IF(Cover!$R$18&gt;0,SUMIF($N$1:$AQ$1,Cover!$R$18&amp;J$6,$N178:$AQ178),SUMIF($N$4:$AQ$4,J$6,$N178:$AQ178))</f>
        <v>200</v>
      </c>
      <c r="K178" s="5"/>
      <c r="W178" s="4">
        <v>290.5</v>
      </c>
      <c r="Y178" s="4">
        <v>1393.2</v>
      </c>
      <c r="AA178" s="4">
        <v>2336.7600000000002</v>
      </c>
      <c r="AF178" s="4">
        <v>200</v>
      </c>
      <c r="AH178" s="4">
        <v>305</v>
      </c>
    </row>
    <row r="179" spans="1:43" x14ac:dyDescent="0.3">
      <c r="A179" s="4" t="s">
        <v>197</v>
      </c>
      <c r="B179" s="36"/>
      <c r="C179" s="97" t="s">
        <v>101</v>
      </c>
      <c r="D179" s="35"/>
      <c r="E179" s="35"/>
      <c r="F179" s="61"/>
      <c r="G179" s="35"/>
      <c r="H179" s="79">
        <f>IF(Cover!$R$18&gt;0,SUMIF($N$1:$AQ$1,Cover!$R$18&amp;H$6,$N179:$AQ179),SUMIF($N$4:$AQ$4,H$6,$N179:$AQ179))</f>
        <v>14640.96</v>
      </c>
      <c r="I179" s="70"/>
      <c r="J179" s="79">
        <f>IF(Cover!$R$18&gt;0,SUMIF($N$1:$AQ$1,Cover!$R$18&amp;J$6,$N179:$AQ179),SUMIF($N$4:$AQ$4,J$6,$N179:$AQ179))</f>
        <v>12313.92</v>
      </c>
      <c r="K179" s="5"/>
      <c r="N179" s="4">
        <v>4188.6000000000004</v>
      </c>
      <c r="P179" s="4">
        <v>8842.6</v>
      </c>
      <c r="R179" s="4">
        <v>11194.92</v>
      </c>
      <c r="T179" s="4">
        <v>15761.79</v>
      </c>
      <c r="U179" s="4">
        <v>587.07000000000005</v>
      </c>
      <c r="V179" s="4">
        <v>16368.66</v>
      </c>
      <c r="W179" s="4">
        <v>0</v>
      </c>
      <c r="X179" s="4">
        <v>14685.66</v>
      </c>
      <c r="Z179" s="4">
        <v>14982.66</v>
      </c>
      <c r="AA179" s="4">
        <v>1069.2</v>
      </c>
      <c r="AB179" s="4">
        <v>12561.22</v>
      </c>
      <c r="AC179" s="4">
        <v>896.4</v>
      </c>
      <c r="AD179" s="4">
        <v>4964.1000000000004</v>
      </c>
      <c r="AE179" s="4">
        <v>376.8</v>
      </c>
      <c r="AF179" s="4">
        <v>11404.6</v>
      </c>
      <c r="AG179" s="4">
        <v>909.32</v>
      </c>
      <c r="AH179" s="4">
        <v>13559.8</v>
      </c>
      <c r="AI179" s="4">
        <v>1081.1600000000001</v>
      </c>
    </row>
    <row r="180" spans="1:43" x14ac:dyDescent="0.3">
      <c r="B180" s="112"/>
      <c r="C180" s="112" t="s">
        <v>295</v>
      </c>
      <c r="D180" s="111"/>
      <c r="E180" s="111"/>
      <c r="F180" s="61"/>
      <c r="G180" s="111"/>
      <c r="H180" s="79">
        <f>IF(Cover!$R$18&gt;0,SUMIF($N$1:$AQ$1,Cover!$R$18&amp;H$6,$N180:$AQ180),SUMIF($N$4:$AQ$4,H$6,$N180:$AQ180))</f>
        <v>2487.1</v>
      </c>
      <c r="I180" s="70"/>
      <c r="J180" s="79">
        <f>IF(Cover!$R$18&gt;0,SUMIF($N$1:$AQ$1,Cover!$R$18&amp;J$6,$N180:$AQ180),SUMIF($N$4:$AQ$4,J$6,$N180:$AQ180))</f>
        <v>956.8</v>
      </c>
      <c r="K180" s="5"/>
      <c r="Y180" s="4">
        <v>580.5</v>
      </c>
      <c r="AA180" s="4">
        <v>1219</v>
      </c>
      <c r="AC180" s="4">
        <v>1058</v>
      </c>
      <c r="AE180" s="4">
        <v>616.4</v>
      </c>
      <c r="AG180" s="4">
        <v>956.8</v>
      </c>
      <c r="AI180" s="4">
        <v>2487.1</v>
      </c>
    </row>
    <row r="181" spans="1:43" hidden="1" x14ac:dyDescent="0.3">
      <c r="A181" s="4" t="s">
        <v>198</v>
      </c>
      <c r="B181" s="36"/>
      <c r="C181" s="97" t="s">
        <v>102</v>
      </c>
      <c r="D181" s="35"/>
      <c r="E181" s="35"/>
      <c r="F181" s="61"/>
      <c r="G181" s="35"/>
      <c r="H181" s="79">
        <f>IF(Cover!$R$18&gt;0,SUMIF($N$1:$AQ$1,Cover!$R$18&amp;H$6,$N181:$AQ181),SUMIF($N$4:$AQ$4,H$6,$N181:$AQ181))</f>
        <v>0</v>
      </c>
      <c r="I181" s="70"/>
      <c r="J181" s="79">
        <f>IF(Cover!$R$18&gt;0,SUMIF($N$1:$AQ$1,Cover!$R$18&amp;J$6,$N181:$AQ181),SUMIF($N$4:$AQ$4,J$6,$N181:$AQ181))</f>
        <v>0</v>
      </c>
      <c r="K181" s="5"/>
    </row>
    <row r="182" spans="1:43" x14ac:dyDescent="0.3">
      <c r="B182" s="122"/>
      <c r="C182" s="122" t="s">
        <v>304</v>
      </c>
      <c r="D182" s="121"/>
      <c r="E182" s="121"/>
      <c r="F182" s="61"/>
      <c r="G182" s="121"/>
      <c r="H182" s="79">
        <f>IF(Cover!$R$18&gt;0,SUMIF($N$1:$AQ$1,Cover!$R$18&amp;H$6,$N182:$AQ182),SUMIF($N$4:$AQ$4,H$6,$N182:$AQ182))</f>
        <v>0</v>
      </c>
      <c r="I182" s="70"/>
      <c r="J182" s="79">
        <f>IF(Cover!$R$18&gt;0,SUMIF($N$1:$AQ$1,Cover!$R$18&amp;J$6,$N182:$AQ182),SUMIF($N$4:$AQ$4,J$6,$N182:$AQ182))</f>
        <v>1920</v>
      </c>
      <c r="K182" s="5"/>
      <c r="AB182" s="4">
        <v>100</v>
      </c>
      <c r="AD182" s="4">
        <v>1040</v>
      </c>
      <c r="AF182" s="4">
        <v>1920</v>
      </c>
      <c r="AH182" s="4">
        <v>0</v>
      </c>
    </row>
    <row r="183" spans="1:43" x14ac:dyDescent="0.3">
      <c r="B183" s="97"/>
      <c r="C183" s="97" t="s">
        <v>254</v>
      </c>
      <c r="D183" s="96"/>
      <c r="E183" s="96"/>
      <c r="F183" s="61"/>
      <c r="G183" s="96"/>
      <c r="H183" s="79">
        <f>IF(Cover!$R$18&gt;0,SUMIF($N$1:$AQ$1,Cover!$R$18&amp;H$6,$N183:$AQ183),SUMIF($N$4:$AQ$4,H$6,$N183:$AQ183))</f>
        <v>0</v>
      </c>
      <c r="I183" s="70"/>
      <c r="J183" s="79">
        <f>IF(Cover!$R$18&gt;0,SUMIF($N$1:$AQ$1,Cover!$R$18&amp;J$6,$N183:$AQ183),SUMIF($N$4:$AQ$4,J$6,$N183:$AQ183))</f>
        <v>751.31</v>
      </c>
      <c r="K183" s="5"/>
      <c r="T183" s="4">
        <v>688.25</v>
      </c>
      <c r="Z183" s="4">
        <v>1173.24</v>
      </c>
      <c r="AB183" s="4">
        <v>1605.83</v>
      </c>
      <c r="AD183" s="4">
        <v>901.33</v>
      </c>
      <c r="AF183" s="4">
        <v>751.31</v>
      </c>
    </row>
    <row r="184" spans="1:43" hidden="1" x14ac:dyDescent="0.3">
      <c r="B184" s="105"/>
      <c r="C184" s="105" t="s">
        <v>255</v>
      </c>
      <c r="D184" s="104"/>
      <c r="E184" s="104"/>
      <c r="F184" s="61"/>
      <c r="G184" s="104"/>
      <c r="H184" s="79">
        <f>IF(Cover!$R$18&gt;0,SUMIF($N$1:$AQ$1,Cover!$R$18&amp;H$6,$N184:$AQ184),SUMIF($N$4:$AQ$4,H$6,$N184:$AQ184))</f>
        <v>0</v>
      </c>
      <c r="I184" s="70"/>
      <c r="J184" s="79">
        <f>IF(Cover!$R$18&gt;0,SUMIF($N$1:$AQ$1,Cover!$R$18&amp;J$6,$N184:$AQ184),SUMIF($N$4:$AQ$4,J$6,$N184:$AQ184))</f>
        <v>0</v>
      </c>
      <c r="K184" s="5"/>
      <c r="V184" s="4">
        <v>63.23</v>
      </c>
    </row>
    <row r="185" spans="1:43" hidden="1" x14ac:dyDescent="0.3">
      <c r="B185" s="115"/>
      <c r="C185" s="115" t="s">
        <v>276</v>
      </c>
      <c r="D185" s="114"/>
      <c r="E185" s="114"/>
      <c r="F185" s="61"/>
      <c r="G185" s="114"/>
      <c r="H185" s="79">
        <f>IF(Cover!$R$18&gt;0,SUMIF($N$1:$AQ$1,Cover!$R$18&amp;H$6,$N185:$AQ185),SUMIF($N$4:$AQ$4,H$6,$N185:$AQ185))</f>
        <v>0</v>
      </c>
      <c r="I185" s="70"/>
      <c r="J185" s="79">
        <f>IF(Cover!$R$18&gt;0,SUMIF($N$1:$AQ$1,Cover!$R$18&amp;J$6,$N185:$AQ185),SUMIF($N$4:$AQ$4,J$6,$N185:$AQ185))</f>
        <v>0</v>
      </c>
      <c r="K185" s="5"/>
      <c r="X185" s="4">
        <v>1855</v>
      </c>
      <c r="Z185" s="4">
        <v>1330</v>
      </c>
      <c r="AB185" s="4">
        <v>1120</v>
      </c>
    </row>
    <row r="186" spans="1:43" x14ac:dyDescent="0.3">
      <c r="B186" s="126"/>
      <c r="C186" s="126" t="s">
        <v>310</v>
      </c>
      <c r="D186" s="125"/>
      <c r="E186" s="125"/>
      <c r="F186" s="61"/>
      <c r="G186" s="125"/>
      <c r="H186" s="79">
        <f>IF(Cover!$R$18&gt;0,SUMIF($N$1:$AQ$1,Cover!$R$18&amp;H$6,$N186:$AQ186),SUMIF($N$4:$AQ$4,H$6,$N186:$AQ186))</f>
        <v>3652.22</v>
      </c>
      <c r="I186" s="70"/>
      <c r="J186" s="79">
        <f>IF(Cover!$R$18&gt;0,SUMIF($N$1:$AQ$1,Cover!$R$18&amp;J$6,$N186:$AQ186),SUMIF($N$4:$AQ$4,J$6,$N186:$AQ186))</f>
        <v>1201.8900000000001</v>
      </c>
      <c r="K186" s="5"/>
      <c r="AG186" s="4">
        <v>1201.8900000000001</v>
      </c>
      <c r="AI186" s="4">
        <v>3652.22</v>
      </c>
    </row>
    <row r="187" spans="1:43" x14ac:dyDescent="0.3">
      <c r="A187" s="4" t="s">
        <v>199</v>
      </c>
      <c r="B187" s="36"/>
      <c r="C187" s="97" t="s">
        <v>174</v>
      </c>
      <c r="D187" s="35"/>
      <c r="E187" s="35"/>
      <c r="F187" s="61"/>
      <c r="G187" s="35"/>
      <c r="H187" s="79">
        <f>IF(Cover!$R$18&gt;0,SUMIF($N$1:$AQ$1,Cover!$R$18&amp;H$6,$N187:$AQ187),SUMIF($N$4:$AQ$4,H$6,$N187:$AQ187))</f>
        <v>12289.14</v>
      </c>
      <c r="I187" s="70"/>
      <c r="J187" s="79">
        <f>IF(Cover!$R$18&gt;0,SUMIF($N$1:$AQ$1,Cover!$R$18&amp;J$6,$N187:$AQ187),SUMIF($N$4:$AQ$4,J$6,$N187:$AQ187))</f>
        <v>11096.91</v>
      </c>
      <c r="K187" s="5"/>
      <c r="N187" s="4">
        <v>2726.64</v>
      </c>
      <c r="P187" s="4">
        <v>6297.24</v>
      </c>
      <c r="R187" s="4">
        <v>6827.72</v>
      </c>
      <c r="T187" s="4">
        <v>7940.02</v>
      </c>
      <c r="V187" s="4">
        <v>8800.2800000000007</v>
      </c>
      <c r="X187" s="4">
        <v>9270.2800000000007</v>
      </c>
      <c r="Z187" s="4">
        <v>13905.42</v>
      </c>
      <c r="AB187" s="4">
        <v>3944.8</v>
      </c>
      <c r="AD187" s="4">
        <v>7852.19</v>
      </c>
      <c r="AF187" s="4">
        <v>11096.91</v>
      </c>
      <c r="AH187" s="4">
        <v>12289.14</v>
      </c>
    </row>
    <row r="188" spans="1:43" x14ac:dyDescent="0.3">
      <c r="A188" s="4" t="s">
        <v>200</v>
      </c>
      <c r="B188" s="36"/>
      <c r="C188" s="97" t="s">
        <v>176</v>
      </c>
      <c r="D188" s="35"/>
      <c r="E188" s="35"/>
      <c r="F188" s="61"/>
      <c r="G188" s="35"/>
      <c r="H188" s="79">
        <f>IF(Cover!$R$18&gt;0,SUMIF($N$1:$AQ$1,Cover!$R$18&amp;H$6,$N188:$AQ188),SUMIF($N$4:$AQ$4,H$6,$N188:$AQ188))</f>
        <v>0</v>
      </c>
      <c r="I188" s="70"/>
      <c r="J188" s="79">
        <f>IF(Cover!$R$18&gt;0,SUMIF($N$1:$AQ$1,Cover!$R$18&amp;J$6,$N188:$AQ188),SUMIF($N$4:$AQ$4,J$6,$N188:$AQ188))</f>
        <v>9359.61</v>
      </c>
      <c r="K188" s="5"/>
      <c r="N188" s="4">
        <v>939.25</v>
      </c>
      <c r="P188" s="4">
        <v>1038.55</v>
      </c>
      <c r="R188" s="4">
        <v>7045.96</v>
      </c>
      <c r="T188" s="4">
        <v>5318.47</v>
      </c>
      <c r="V188" s="4">
        <v>3843.82</v>
      </c>
      <c r="X188" s="4">
        <v>4359.83</v>
      </c>
      <c r="Z188" s="4">
        <v>6995.16</v>
      </c>
      <c r="AB188" s="4">
        <v>5188.62</v>
      </c>
      <c r="AD188" s="4">
        <v>2214.6999999999998</v>
      </c>
      <c r="AF188" s="4">
        <v>9359.61</v>
      </c>
      <c r="AH188" s="4">
        <v>0</v>
      </c>
    </row>
    <row r="189" spans="1:43" hidden="1" x14ac:dyDescent="0.3">
      <c r="B189" s="93"/>
      <c r="C189" s="97" t="s">
        <v>256</v>
      </c>
      <c r="D189" s="92"/>
      <c r="E189" s="92"/>
      <c r="F189" s="61"/>
      <c r="G189" s="92"/>
      <c r="H189" s="79">
        <f>IF(Cover!$R$18&gt;0,SUMIF($N$1:$AQ$1,Cover!$R$18&amp;H$6,$N189:$AQ189),SUMIF($N$4:$AQ$4,H$6,$N189:$AQ189))</f>
        <v>0</v>
      </c>
      <c r="I189" s="70"/>
      <c r="J189" s="79">
        <f>IF(Cover!$R$18&gt;0,SUMIF($N$1:$AQ$1,Cover!$R$18&amp;J$6,$N189:$AQ189),SUMIF($N$4:$AQ$4,J$6,$N189:$AQ189))</f>
        <v>0</v>
      </c>
      <c r="K189" s="5"/>
      <c r="R189" s="4">
        <v>670</v>
      </c>
      <c r="T189" s="4">
        <v>1160</v>
      </c>
      <c r="V189" s="4">
        <v>670</v>
      </c>
    </row>
    <row r="190" spans="1:43" ht="15" thickBot="1" x14ac:dyDescent="0.35">
      <c r="B190" s="35"/>
      <c r="C190" s="35"/>
      <c r="D190" s="35"/>
      <c r="E190" s="35"/>
      <c r="F190" s="61"/>
      <c r="G190" s="35"/>
      <c r="H190" s="91">
        <f>SUM(H166:H189)</f>
        <v>56150.579999999994</v>
      </c>
      <c r="I190" s="35"/>
      <c r="J190" s="91">
        <f>SUM(J166:J189)</f>
        <v>54116.44</v>
      </c>
      <c r="K190" s="5"/>
      <c r="N190" s="4">
        <f>SUM(N166:N188)</f>
        <v>8747.68</v>
      </c>
      <c r="O190" s="4">
        <f>SUM(O166:O188)</f>
        <v>1235.21</v>
      </c>
      <c r="P190" s="4">
        <f>SUM(P166:P188)</f>
        <v>16852.670000000002</v>
      </c>
      <c r="Q190" s="4">
        <f>SUM(Q166:Q188)</f>
        <v>0</v>
      </c>
      <c r="R190" s="4">
        <f>SUM(R166:R189)</f>
        <v>29902</v>
      </c>
      <c r="S190" s="4">
        <f>SUM(S166:S188)</f>
        <v>0</v>
      </c>
      <c r="T190" s="4">
        <f>SUM(T166:T189)</f>
        <v>37046.76</v>
      </c>
      <c r="U190" s="4">
        <f t="shared" ref="U190:AQ190" si="28">SUM(U166:U188)</f>
        <v>587.07000000000005</v>
      </c>
      <c r="V190" s="4">
        <f>SUM(V166:V189)</f>
        <v>36252.33</v>
      </c>
      <c r="W190" s="4">
        <f t="shared" si="28"/>
        <v>290.5</v>
      </c>
      <c r="X190" s="4">
        <f t="shared" si="28"/>
        <v>39665.060000000005</v>
      </c>
      <c r="Y190" s="4">
        <f t="shared" si="28"/>
        <v>2393.6999999999998</v>
      </c>
      <c r="Z190" s="4">
        <f t="shared" si="28"/>
        <v>56839.899999999994</v>
      </c>
      <c r="AA190" s="4">
        <f t="shared" si="28"/>
        <v>5267.63</v>
      </c>
      <c r="AB190" s="4">
        <f t="shared" si="28"/>
        <v>38942.230000000003</v>
      </c>
      <c r="AC190" s="4">
        <f t="shared" si="28"/>
        <v>1954.4</v>
      </c>
      <c r="AD190" s="4">
        <f t="shared" si="28"/>
        <v>28755.260000000002</v>
      </c>
      <c r="AE190" s="4">
        <f t="shared" si="28"/>
        <v>2186.36</v>
      </c>
      <c r="AF190" s="4">
        <f t="shared" si="28"/>
        <v>49047.310000000005</v>
      </c>
      <c r="AG190" s="4">
        <f t="shared" si="28"/>
        <v>5069.13</v>
      </c>
      <c r="AH190" s="4">
        <f t="shared" si="28"/>
        <v>46928.979999999996</v>
      </c>
      <c r="AI190" s="4">
        <f t="shared" si="28"/>
        <v>9221.5999999999985</v>
      </c>
      <c r="AJ190" s="4">
        <f t="shared" si="28"/>
        <v>0</v>
      </c>
      <c r="AK190" s="4">
        <f t="shared" si="28"/>
        <v>0</v>
      </c>
      <c r="AL190" s="4">
        <f t="shared" si="28"/>
        <v>0</v>
      </c>
      <c r="AM190" s="4">
        <f t="shared" si="28"/>
        <v>0</v>
      </c>
      <c r="AN190" s="4">
        <f t="shared" si="28"/>
        <v>0</v>
      </c>
      <c r="AO190" s="4">
        <f t="shared" si="28"/>
        <v>0</v>
      </c>
      <c r="AP190" s="4">
        <f t="shared" si="28"/>
        <v>0</v>
      </c>
      <c r="AQ190" s="4">
        <f t="shared" si="28"/>
        <v>0</v>
      </c>
    </row>
    <row r="191" spans="1:43" ht="15" thickTop="1" x14ac:dyDescent="0.3">
      <c r="B191" s="26"/>
      <c r="C191" s="26"/>
      <c r="D191" s="26"/>
      <c r="E191" s="26"/>
      <c r="F191" s="77"/>
      <c r="G191" s="26"/>
      <c r="H191" s="78"/>
      <c r="I191" s="35"/>
      <c r="J191" s="78"/>
      <c r="K191" s="6"/>
      <c r="N191" s="129" t="str">
        <f>IF(N190='Profit &amp; Loss'!N10,"P","O")</f>
        <v>P</v>
      </c>
      <c r="O191" s="129" t="str">
        <f>IF(O190='Profit &amp; Loss'!O10,"P","O")</f>
        <v>P</v>
      </c>
      <c r="P191" s="129" t="str">
        <f>IF(P190='Profit &amp; Loss'!P10,"P","O")</f>
        <v>P</v>
      </c>
      <c r="Q191" s="129" t="str">
        <f>IF(Q190='Profit &amp; Loss'!Q10,"P","O")</f>
        <v>P</v>
      </c>
      <c r="R191" s="129" t="str">
        <f>IF(R190='Profit &amp; Loss'!R10,"P","O")</f>
        <v>P</v>
      </c>
      <c r="S191" s="129" t="str">
        <f>IF(S190='Profit &amp; Loss'!S10,"P","O")</f>
        <v>P</v>
      </c>
      <c r="T191" s="129" t="str">
        <f>IF(T190='Profit &amp; Loss'!T10,"P","O")</f>
        <v>P</v>
      </c>
      <c r="U191" s="129" t="str">
        <f>IF(U190='Profit &amp; Loss'!U10,"P","O")</f>
        <v>P</v>
      </c>
      <c r="V191" s="129" t="str">
        <f>IF(V190='Profit &amp; Loss'!V10,"P","O")</f>
        <v>P</v>
      </c>
      <c r="W191" s="129" t="str">
        <f>IF(W190='Profit &amp; Loss'!W10,"P","O")</f>
        <v>P</v>
      </c>
      <c r="X191" s="129" t="str">
        <f>IF(X190='Profit &amp; Loss'!X10,"P","O")</f>
        <v>P</v>
      </c>
      <c r="Y191" s="129" t="str">
        <f>IF(Y190='Profit &amp; Loss'!Y10,"P","O")</f>
        <v>P</v>
      </c>
      <c r="Z191" s="129" t="str">
        <f>IF(Z190='Profit &amp; Loss'!Z10,"P","O")</f>
        <v>P</v>
      </c>
      <c r="AA191" s="129" t="str">
        <f>IF(AA190='Profit &amp; Loss'!AA10,"P","O")</f>
        <v>P</v>
      </c>
      <c r="AB191" s="129" t="str">
        <f>IF(AB190='Profit &amp; Loss'!AB10,"P","O")</f>
        <v>P</v>
      </c>
      <c r="AC191" s="129" t="str">
        <f>IF(AC190='Profit &amp; Loss'!AC10,"P","O")</f>
        <v>P</v>
      </c>
      <c r="AD191" s="129" t="str">
        <f>IF(AD190='Profit &amp; Loss'!AD10,"P","O")</f>
        <v>P</v>
      </c>
      <c r="AE191" s="129" t="str">
        <f>IF(AE190='Profit &amp; Loss'!AE10,"P","O")</f>
        <v>P</v>
      </c>
      <c r="AF191" s="129" t="str">
        <f>IF(AF190='Profit &amp; Loss'!AF10,"P","O")</f>
        <v>P</v>
      </c>
      <c r="AG191" s="129" t="str">
        <f>IF(AG190='Profit &amp; Loss'!AG10,"P","O")</f>
        <v>P</v>
      </c>
      <c r="AH191" s="129" t="str">
        <f>IF(AH190='Profit &amp; Loss'!AH10,"P","O")</f>
        <v>P</v>
      </c>
      <c r="AI191" s="129" t="str">
        <f>IF(AI190='Profit &amp; Loss'!AI10,"P","O")</f>
        <v>P</v>
      </c>
      <c r="AJ191" s="129" t="str">
        <f>IF(AJ190='Profit &amp; Loss'!AJ10,"P","O")</f>
        <v>P</v>
      </c>
      <c r="AK191" s="129" t="str">
        <f>IF(AK190='Profit &amp; Loss'!AK10,"P","O")</f>
        <v>P</v>
      </c>
      <c r="AL191" s="129" t="str">
        <f>IF(AL190='Profit &amp; Loss'!AL10,"P","O")</f>
        <v>P</v>
      </c>
      <c r="AM191" s="129" t="str">
        <f>IF(AM190='Profit &amp; Loss'!AM10,"P","O")</f>
        <v>P</v>
      </c>
      <c r="AN191" s="129" t="str">
        <f>IF(AN190='Profit &amp; Loss'!AN10,"P","O")</f>
        <v>P</v>
      </c>
      <c r="AO191" s="129" t="str">
        <f>IF(AO190='Profit &amp; Loss'!AO10,"P","O")</f>
        <v>P</v>
      </c>
      <c r="AP191" s="129" t="str">
        <f>IF(AP190='Profit &amp; Loss'!AP10,"P","O")</f>
        <v>P</v>
      </c>
      <c r="AQ191" s="129" t="str">
        <f>IF(AQ190='Profit &amp; Loss'!AQ10,"P","O")</f>
        <v>P</v>
      </c>
    </row>
    <row r="192" spans="1:43" x14ac:dyDescent="0.3">
      <c r="B192" s="29">
        <v>8</v>
      </c>
      <c r="C192" s="29" t="s">
        <v>32</v>
      </c>
      <c r="D192" s="29"/>
      <c r="E192" s="29"/>
      <c r="F192" s="58"/>
      <c r="G192" s="29"/>
      <c r="H192" s="58"/>
      <c r="I192" s="29"/>
      <c r="J192" s="58"/>
      <c r="K192" s="34"/>
      <c r="AI192" s="129"/>
    </row>
    <row r="193" spans="1:43" x14ac:dyDescent="0.3">
      <c r="B193" s="29"/>
    </row>
    <row r="194" spans="1:43" x14ac:dyDescent="0.3">
      <c r="A194" s="4" t="s">
        <v>179</v>
      </c>
      <c r="B194" s="35"/>
      <c r="C194" s="36" t="s">
        <v>103</v>
      </c>
      <c r="D194" s="35"/>
      <c r="E194" s="35"/>
      <c r="F194" s="61"/>
      <c r="G194" s="35"/>
      <c r="H194" s="79">
        <f>IF(Cover!$R$18&gt;0,SUMIF($N$1:$AQ$1,Cover!$R$18&amp;H$6,$N194:$AQ194),SUMIF($N$4:$AQ$4,H$6,$N194:$AQ194))</f>
        <v>5.41</v>
      </c>
      <c r="I194" s="70"/>
      <c r="J194" s="79">
        <f>IF(Cover!$R$18&gt;0,SUMIF($N$1:$AQ$1,Cover!$R$18&amp;J$6,$N194:$AQ194),SUMIF($N$4:$AQ$4,J$6,$N194:$AQ194))</f>
        <v>0</v>
      </c>
      <c r="K194" s="5"/>
      <c r="O194" s="4">
        <v>0.43</v>
      </c>
      <c r="Q194" s="4">
        <v>0.64</v>
      </c>
      <c r="S194" s="4">
        <v>0.91</v>
      </c>
      <c r="U194" s="4">
        <v>0.06</v>
      </c>
      <c r="W194" s="4">
        <v>2.14</v>
      </c>
      <c r="Y194" s="4">
        <v>1.68</v>
      </c>
      <c r="AA194" s="4">
        <v>0.33</v>
      </c>
      <c r="AC194" s="4">
        <v>0.31</v>
      </c>
      <c r="AI194" s="4">
        <v>5.41</v>
      </c>
    </row>
    <row r="195" spans="1:43" x14ac:dyDescent="0.3">
      <c r="A195" s="4" t="s">
        <v>177</v>
      </c>
      <c r="B195" s="35"/>
      <c r="C195" s="36" t="s">
        <v>104</v>
      </c>
      <c r="D195" s="35"/>
      <c r="E195" s="35"/>
      <c r="F195" s="61"/>
      <c r="G195" s="35"/>
      <c r="H195" s="79">
        <f>IF(Cover!$R$18&gt;0,SUMIF($N$1:$AQ$1,Cover!$R$18&amp;H$6,$N195:$AQ195),SUMIF($N$4:$AQ$4,H$6,$N195:$AQ195))</f>
        <v>0</v>
      </c>
      <c r="I195" s="70"/>
      <c r="J195" s="79">
        <f>IF(Cover!$R$18&gt;0,SUMIF($N$1:$AQ$1,Cover!$R$18&amp;J$6,$N195:$AQ195),SUMIF($N$4:$AQ$4,J$6,$N195:$AQ195))</f>
        <v>3.42</v>
      </c>
      <c r="K195" s="5"/>
      <c r="O195" s="4">
        <v>111.46</v>
      </c>
      <c r="Q195" s="4">
        <v>89.3</v>
      </c>
      <c r="S195" s="4">
        <v>25.96</v>
      </c>
      <c r="U195" s="4">
        <v>40.94</v>
      </c>
      <c r="W195" s="4">
        <v>306.79000000000002</v>
      </c>
      <c r="Y195" s="4">
        <v>116.7</v>
      </c>
      <c r="AA195" s="4">
        <v>142.04</v>
      </c>
      <c r="AC195" s="4">
        <v>203.09</v>
      </c>
      <c r="AE195" s="4">
        <v>10.41</v>
      </c>
      <c r="AG195" s="4">
        <v>3.42</v>
      </c>
      <c r="AI195" s="4">
        <v>0</v>
      </c>
    </row>
    <row r="196" spans="1:43" x14ac:dyDescent="0.3">
      <c r="A196" s="4" t="s">
        <v>178</v>
      </c>
      <c r="B196" s="35"/>
      <c r="C196" s="36" t="s">
        <v>174</v>
      </c>
      <c r="D196" s="35"/>
      <c r="E196" s="35"/>
      <c r="F196" s="61"/>
      <c r="G196" s="35"/>
      <c r="H196" s="79">
        <f>IF(Cover!$R$18&gt;0,SUMIF($N$1:$AQ$1,Cover!$R$18&amp;H$6,$N196:$AQ196),SUMIF($N$4:$AQ$4,H$6,$N196:$AQ196))</f>
        <v>179.51</v>
      </c>
      <c r="I196" s="70"/>
      <c r="J196" s="79">
        <f>IF(Cover!$R$18&gt;0,SUMIF($N$1:$AQ$1,Cover!$R$18&amp;J$6,$N196:$AQ196),SUMIF($N$4:$AQ$4,J$6,$N196:$AQ196))</f>
        <v>47.68</v>
      </c>
      <c r="K196" s="5"/>
      <c r="N196" s="4">
        <v>23.48</v>
      </c>
      <c r="P196" s="4">
        <v>18.97</v>
      </c>
      <c r="R196" s="4">
        <v>10559.76</v>
      </c>
      <c r="T196" s="4">
        <v>1697.29</v>
      </c>
      <c r="V196" s="4">
        <v>378.32</v>
      </c>
      <c r="X196" s="4">
        <v>39.21</v>
      </c>
      <c r="Z196" s="4">
        <v>35.61</v>
      </c>
      <c r="AB196" s="4">
        <v>190.07</v>
      </c>
      <c r="AD196" s="4">
        <v>47.93</v>
      </c>
      <c r="AE196" s="4">
        <v>0</v>
      </c>
      <c r="AF196" s="4">
        <v>47.68</v>
      </c>
      <c r="AG196" s="4">
        <v>0</v>
      </c>
      <c r="AH196" s="4">
        <v>179.51</v>
      </c>
    </row>
    <row r="197" spans="1:43" ht="15" thickBot="1" x14ac:dyDescent="0.35">
      <c r="B197" s="35"/>
      <c r="C197" s="35"/>
      <c r="D197" s="35"/>
      <c r="E197" s="35"/>
      <c r="F197" s="61"/>
      <c r="G197" s="35"/>
      <c r="H197" s="91">
        <f>SUM(H194:H196)</f>
        <v>184.92</v>
      </c>
      <c r="I197" s="35"/>
      <c r="J197" s="91">
        <f>SUM(J194:J196)</f>
        <v>51.1</v>
      </c>
      <c r="K197" s="5"/>
      <c r="N197" s="4">
        <f>SUM(N194:N196)</f>
        <v>23.48</v>
      </c>
      <c r="O197" s="4">
        <f t="shared" ref="O197:AQ197" si="29">SUM(O194:O196)</f>
        <v>111.89</v>
      </c>
      <c r="P197" s="4">
        <f t="shared" si="29"/>
        <v>18.97</v>
      </c>
      <c r="Q197" s="4">
        <f t="shared" si="29"/>
        <v>89.94</v>
      </c>
      <c r="R197" s="4">
        <f t="shared" si="29"/>
        <v>10559.76</v>
      </c>
      <c r="S197" s="4">
        <f t="shared" si="29"/>
        <v>26.87</v>
      </c>
      <c r="T197" s="4">
        <f t="shared" si="29"/>
        <v>1697.29</v>
      </c>
      <c r="U197" s="4">
        <f t="shared" si="29"/>
        <v>41</v>
      </c>
      <c r="V197" s="4">
        <f t="shared" si="29"/>
        <v>378.32</v>
      </c>
      <c r="W197" s="4">
        <f t="shared" si="29"/>
        <v>308.93</v>
      </c>
      <c r="X197" s="4">
        <f t="shared" si="29"/>
        <v>39.21</v>
      </c>
      <c r="Y197" s="4">
        <f t="shared" si="29"/>
        <v>118.38000000000001</v>
      </c>
      <c r="Z197" s="4">
        <f t="shared" si="29"/>
        <v>35.61</v>
      </c>
      <c r="AA197" s="4">
        <f t="shared" si="29"/>
        <v>142.37</v>
      </c>
      <c r="AB197" s="4">
        <f t="shared" si="29"/>
        <v>190.07</v>
      </c>
      <c r="AC197" s="4">
        <f t="shared" si="29"/>
        <v>203.4</v>
      </c>
      <c r="AD197" s="4">
        <f t="shared" si="29"/>
        <v>47.93</v>
      </c>
      <c r="AE197" s="4">
        <f t="shared" si="29"/>
        <v>10.41</v>
      </c>
      <c r="AF197" s="4">
        <f t="shared" si="29"/>
        <v>47.68</v>
      </c>
      <c r="AG197" s="4">
        <f t="shared" si="29"/>
        <v>3.42</v>
      </c>
      <c r="AH197" s="4">
        <f t="shared" si="29"/>
        <v>179.51</v>
      </c>
      <c r="AI197" s="4">
        <f t="shared" si="29"/>
        <v>5.41</v>
      </c>
      <c r="AJ197" s="4">
        <f t="shared" si="29"/>
        <v>0</v>
      </c>
      <c r="AK197" s="4">
        <f t="shared" si="29"/>
        <v>0</v>
      </c>
      <c r="AL197" s="4">
        <f t="shared" si="29"/>
        <v>0</v>
      </c>
      <c r="AM197" s="4">
        <f t="shared" si="29"/>
        <v>0</v>
      </c>
      <c r="AN197" s="4">
        <f t="shared" si="29"/>
        <v>0</v>
      </c>
      <c r="AO197" s="4">
        <f t="shared" si="29"/>
        <v>0</v>
      </c>
      <c r="AP197" s="4">
        <f t="shared" si="29"/>
        <v>0</v>
      </c>
      <c r="AQ197" s="4">
        <f t="shared" si="29"/>
        <v>0</v>
      </c>
    </row>
    <row r="198" spans="1:43" ht="15" thickTop="1" x14ac:dyDescent="0.3">
      <c r="B198" s="26"/>
      <c r="C198" s="26"/>
      <c r="D198" s="26"/>
      <c r="E198" s="26"/>
      <c r="F198" s="77"/>
      <c r="G198" s="26"/>
      <c r="H198" s="78"/>
      <c r="I198" s="35"/>
      <c r="J198" s="78"/>
      <c r="K198" s="6"/>
      <c r="N198" s="129" t="str">
        <f>IF(N197='Profit &amp; Loss'!N11,"P","O")</f>
        <v>P</v>
      </c>
      <c r="O198" s="129" t="str">
        <f>IF(O197='Profit &amp; Loss'!O11,"P","O")</f>
        <v>P</v>
      </c>
      <c r="P198" s="129" t="str">
        <f>IF(P197='Profit &amp; Loss'!P11,"P","O")</f>
        <v>P</v>
      </c>
      <c r="Q198" s="129" t="str">
        <f>IF(Q197='Profit &amp; Loss'!Q11,"P","O")</f>
        <v>P</v>
      </c>
      <c r="R198" s="129" t="str">
        <f>IF(R197='Profit &amp; Loss'!R11,"P","O")</f>
        <v>P</v>
      </c>
      <c r="S198" s="129" t="str">
        <f>IF(S197='Profit &amp; Loss'!S11,"P","O")</f>
        <v>P</v>
      </c>
      <c r="T198" s="129" t="str">
        <f>IF(T197='Profit &amp; Loss'!T11,"P","O")</f>
        <v>P</v>
      </c>
      <c r="U198" s="129" t="str">
        <f>IF(U197='Profit &amp; Loss'!U11,"P","O")</f>
        <v>P</v>
      </c>
      <c r="V198" s="129" t="str">
        <f>IF(V197='Profit &amp; Loss'!V11,"P","O")</f>
        <v>P</v>
      </c>
      <c r="W198" s="129" t="str">
        <f>IF(W197='Profit &amp; Loss'!W11,"P","O")</f>
        <v>P</v>
      </c>
      <c r="X198" s="129" t="str">
        <f>IF(X197='Profit &amp; Loss'!X11,"P","O")</f>
        <v>P</v>
      </c>
      <c r="Y198" s="129" t="str">
        <f>IF(Y197='Profit &amp; Loss'!Y11,"P","O")</f>
        <v>P</v>
      </c>
      <c r="Z198" s="129" t="str">
        <f>IF(Z197='Profit &amp; Loss'!Z11,"P","O")</f>
        <v>P</v>
      </c>
      <c r="AA198" s="129" t="str">
        <f>IF(AA197='Profit &amp; Loss'!AA11,"P","O")</f>
        <v>P</v>
      </c>
      <c r="AB198" s="129" t="str">
        <f>IF(AB197='Profit &amp; Loss'!AB11,"P","O")</f>
        <v>P</v>
      </c>
      <c r="AC198" s="129" t="str">
        <f>IF(AC197='Profit &amp; Loss'!AC11,"P","O")</f>
        <v>P</v>
      </c>
      <c r="AD198" s="129" t="str">
        <f>IF(AD197='Profit &amp; Loss'!AD11,"P","O")</f>
        <v>P</v>
      </c>
      <c r="AE198" s="129" t="str">
        <f>IF(AE197='Profit &amp; Loss'!AE11,"P","O")</f>
        <v>P</v>
      </c>
      <c r="AF198" s="129" t="str">
        <f>IF(AF197='Profit &amp; Loss'!AF11,"P","O")</f>
        <v>P</v>
      </c>
      <c r="AG198" s="129" t="str">
        <f>IF(AG197='Profit &amp; Loss'!AG11,"P","O")</f>
        <v>P</v>
      </c>
      <c r="AH198" s="129" t="str">
        <f>IF(AH197='Profit &amp; Loss'!AH11,"P","O")</f>
        <v>P</v>
      </c>
      <c r="AI198" s="129" t="str">
        <f>IF(AI197='Profit &amp; Loss'!AI11,"P","O")</f>
        <v>P</v>
      </c>
      <c r="AJ198" s="129" t="str">
        <f>IF(AJ197='Profit &amp; Loss'!AJ11,"P","O")</f>
        <v>P</v>
      </c>
      <c r="AK198" s="129" t="str">
        <f>IF(AK197='Profit &amp; Loss'!AK11,"P","O")</f>
        <v>P</v>
      </c>
      <c r="AL198" s="129" t="str">
        <f>IF(AL197='Profit &amp; Loss'!AL11,"P","O")</f>
        <v>P</v>
      </c>
      <c r="AM198" s="129" t="str">
        <f>IF(AM197='Profit &amp; Loss'!AM11,"P","O")</f>
        <v>P</v>
      </c>
      <c r="AN198" s="129" t="str">
        <f>IF(AN197='Profit &amp; Loss'!AN11,"P","O")</f>
        <v>P</v>
      </c>
      <c r="AO198" s="129" t="str">
        <f>IF(AO197='Profit &amp; Loss'!AO11,"P","O")</f>
        <v>P</v>
      </c>
      <c r="AP198" s="129" t="str">
        <f>IF(AP197='Profit &amp; Loss'!AP11,"P","O")</f>
        <v>P</v>
      </c>
      <c r="AQ198" s="129" t="str">
        <f>IF(AQ197='Profit &amp; Loss'!AQ11,"P","O")</f>
        <v>P</v>
      </c>
    </row>
    <row r="199" spans="1:43" x14ac:dyDescent="0.3">
      <c r="B199" s="36"/>
      <c r="H199" s="59"/>
      <c r="I199" s="68"/>
      <c r="J199" s="59"/>
    </row>
    <row r="200" spans="1:43" hidden="1" x14ac:dyDescent="0.3">
      <c r="B200" s="36"/>
    </row>
    <row r="201" spans="1:43" x14ac:dyDescent="0.3">
      <c r="B201" s="29">
        <v>9</v>
      </c>
      <c r="C201" s="29" t="s">
        <v>33</v>
      </c>
      <c r="D201" s="29"/>
      <c r="E201" s="29"/>
      <c r="F201" s="58"/>
      <c r="G201" s="29"/>
      <c r="H201" s="58"/>
      <c r="I201" s="29"/>
      <c r="J201" s="58"/>
      <c r="K201" s="34"/>
      <c r="N201" s="129"/>
      <c r="O201" s="129"/>
    </row>
    <row r="202" spans="1:43" x14ac:dyDescent="0.3">
      <c r="B202" s="29"/>
    </row>
    <row r="203" spans="1:43" x14ac:dyDescent="0.3">
      <c r="B203" s="35"/>
      <c r="C203" s="36" t="s">
        <v>16</v>
      </c>
      <c r="D203" s="35"/>
      <c r="E203" s="35"/>
      <c r="F203" s="61"/>
      <c r="G203" s="35"/>
      <c r="H203" s="61"/>
      <c r="I203" s="70"/>
      <c r="J203" s="61"/>
      <c r="K203" s="5"/>
    </row>
    <row r="204" spans="1:43" x14ac:dyDescent="0.3">
      <c r="A204" s="4" t="s">
        <v>189</v>
      </c>
      <c r="B204" s="35"/>
      <c r="C204" s="36" t="s">
        <v>313</v>
      </c>
      <c r="D204" s="35"/>
      <c r="E204" s="35"/>
      <c r="F204" s="61"/>
      <c r="G204" s="35"/>
      <c r="H204" s="79">
        <f>IF(Cover!$R$18&gt;0,SUMIF($N$1:$AQ$1,Cover!$R$18&amp;H$6,$N204:$AQ204),SUMIF($N$4:$AQ$4,H$6,$N204:$AQ204))</f>
        <v>-4455</v>
      </c>
      <c r="I204" s="70"/>
      <c r="J204" s="79">
        <f>IF(Cover!$R$18&gt;0,SUMIF($N$1:$AQ$1,Cover!$R$18&amp;J$6,$N204:$AQ204),SUMIF($N$4:$AQ$4,J$6,$N204:$AQ204))</f>
        <v>-28276.54</v>
      </c>
      <c r="K204" s="5"/>
      <c r="X204" s="119"/>
      <c r="AD204" s="4">
        <v>-199.85</v>
      </c>
      <c r="AF204" s="4">
        <v>-28276.54</v>
      </c>
      <c r="AH204" s="4">
        <v>-4455</v>
      </c>
    </row>
    <row r="205" spans="1:43" x14ac:dyDescent="0.3">
      <c r="A205" s="4" t="s">
        <v>189</v>
      </c>
      <c r="B205" s="123"/>
      <c r="C205" s="124" t="s">
        <v>308</v>
      </c>
      <c r="D205" s="123"/>
      <c r="E205" s="123"/>
      <c r="F205" s="61"/>
      <c r="G205" s="123"/>
      <c r="H205" s="79">
        <f>IF(Cover!$R$18&gt;0,SUMIF($N$1:$AQ$1,Cover!$R$18&amp;H$6,$N205:$AQ205),SUMIF($N$4:$AQ$4,H$6,$N205:$AQ205))</f>
        <v>8192</v>
      </c>
      <c r="I205" s="70"/>
      <c r="J205" s="79">
        <f>IF(Cover!$R$18&gt;0,SUMIF($N$1:$AQ$1,Cover!$R$18&amp;J$6,$N205:$AQ205),SUMIF($N$4:$AQ$4,J$6,$N205:$AQ205))</f>
        <v>370.05</v>
      </c>
      <c r="K205" s="5"/>
      <c r="X205" s="119"/>
      <c r="AB205" s="4">
        <v>-2172.87</v>
      </c>
      <c r="AD205" s="4">
        <v>-10620</v>
      </c>
      <c r="AF205" s="4">
        <v>370.05</v>
      </c>
      <c r="AH205" s="4">
        <v>8192</v>
      </c>
    </row>
    <row r="206" spans="1:43" hidden="1" x14ac:dyDescent="0.3">
      <c r="A206" s="4" t="s">
        <v>189</v>
      </c>
      <c r="B206" s="121"/>
      <c r="C206" s="122" t="s">
        <v>186</v>
      </c>
      <c r="D206" s="121"/>
      <c r="E206" s="121"/>
      <c r="F206" s="61"/>
      <c r="G206" s="121"/>
      <c r="H206" s="79">
        <f>IF(Cover!$R$18&gt;0,SUMIF($N$1:$AQ$1,Cover!$R$18&amp;H$6,$N206:$AQ206),SUMIF($N$4:$AQ$4,H$6,$N206:$AQ206))</f>
        <v>0</v>
      </c>
      <c r="I206" s="70"/>
      <c r="J206" s="79">
        <f>IF(Cover!$R$18&gt;0,SUMIF($N$1:$AQ$1,Cover!$R$18&amp;J$6,$N206:$AQ206),SUMIF($N$4:$AQ$4,J$6,$N206:$AQ206))</f>
        <v>0</v>
      </c>
      <c r="K206" s="5"/>
      <c r="N206" s="4">
        <v>-283.22000000000003</v>
      </c>
      <c r="P206" s="4">
        <v>49.98</v>
      </c>
      <c r="R206" s="4">
        <v>-4319.07</v>
      </c>
      <c r="T206" s="4">
        <v>-2636.52</v>
      </c>
      <c r="V206" s="4">
        <v>0</v>
      </c>
      <c r="X206" s="119">
        <v>0</v>
      </c>
      <c r="AB206" s="4">
        <v>-513.29999999999995</v>
      </c>
    </row>
    <row r="207" spans="1:43" x14ac:dyDescent="0.3">
      <c r="B207" s="114"/>
      <c r="C207" s="115" t="s">
        <v>297</v>
      </c>
      <c r="D207" s="114"/>
      <c r="E207" s="114"/>
      <c r="F207" s="61"/>
      <c r="G207" s="114"/>
      <c r="H207" s="79">
        <f>IF(Cover!$R$18&gt;0,SUMIF($N$1:$AQ$1,Cover!$R$18&amp;H$6,$N207:$AQ207),SUMIF($N$4:$AQ$4,H$6,$N207:$AQ207))</f>
        <v>-120</v>
      </c>
      <c r="I207" s="70"/>
      <c r="J207" s="79">
        <f>IF(Cover!$R$18&gt;0,SUMIF($N$1:$AQ$1,Cover!$R$18&amp;J$6,$N207:$AQ207),SUMIF($N$4:$AQ$4,J$6,$N207:$AQ207))</f>
        <v>-1320</v>
      </c>
      <c r="K207" s="5"/>
      <c r="X207" s="119"/>
      <c r="Y207" s="4">
        <v>-4069.97</v>
      </c>
      <c r="AA207" s="4">
        <v>-1169.95</v>
      </c>
      <c r="AB207" s="4">
        <v>0</v>
      </c>
      <c r="AC207" s="4">
        <v>-5400</v>
      </c>
      <c r="AE207" s="4">
        <v>-1380</v>
      </c>
      <c r="AG207" s="4">
        <v>-1320</v>
      </c>
      <c r="AI207" s="4">
        <v>-120</v>
      </c>
    </row>
    <row r="208" spans="1:43" x14ac:dyDescent="0.3">
      <c r="B208" s="96"/>
      <c r="C208" s="97" t="s">
        <v>259</v>
      </c>
      <c r="D208" s="96"/>
      <c r="E208" s="96"/>
      <c r="F208" s="61"/>
      <c r="G208" s="96"/>
      <c r="H208" s="79">
        <f>IF(Cover!$R$18&gt;0,SUMIF($N$1:$AQ$1,Cover!$R$18&amp;H$6,$N208:$AQ208),SUMIF($N$4:$AQ$4,H$6,$N208:$AQ208))</f>
        <v>17225.740000000002</v>
      </c>
      <c r="I208" s="70"/>
      <c r="J208" s="79">
        <f>IF(Cover!$R$18&gt;0,SUMIF($N$1:$AQ$1,Cover!$R$18&amp;J$6,$N208:$AQ208),SUMIF($N$4:$AQ$4,J$6,$N208:$AQ208))</f>
        <v>-34000.589999999997</v>
      </c>
      <c r="K208" s="5"/>
      <c r="T208" s="4">
        <v>-2602.4299999999998</v>
      </c>
      <c r="V208" s="4">
        <v>6210</v>
      </c>
      <c r="X208" s="119">
        <v>-648</v>
      </c>
      <c r="Z208" s="4">
        <v>-40.5</v>
      </c>
      <c r="AB208" s="4">
        <v>-31126.45</v>
      </c>
      <c r="AD208" s="4">
        <v>34331.1</v>
      </c>
      <c r="AF208" s="4">
        <v>-34000.589999999997</v>
      </c>
      <c r="AH208" s="4">
        <v>17225.740000000002</v>
      </c>
    </row>
    <row r="209" spans="1:35" x14ac:dyDescent="0.3">
      <c r="B209" s="104"/>
      <c r="C209" s="105" t="s">
        <v>278</v>
      </c>
      <c r="D209" s="104"/>
      <c r="E209" s="104"/>
      <c r="F209" s="61"/>
      <c r="G209" s="104"/>
      <c r="H209" s="79">
        <f>IF(Cover!$R$18&gt;0,SUMIF($N$1:$AQ$1,Cover!$R$18&amp;H$6,$N209:$AQ209),SUMIF($N$4:$AQ$4,H$6,$N209:$AQ209))</f>
        <v>-18933.099999999999</v>
      </c>
      <c r="I209" s="70"/>
      <c r="J209" s="79">
        <f>IF(Cover!$R$18&gt;0,SUMIF($N$1:$AQ$1,Cover!$R$18&amp;J$6,$N209:$AQ209),SUMIF($N$4:$AQ$4,J$6,$N209:$AQ209))</f>
        <v>-34909.700000000004</v>
      </c>
      <c r="K209" s="5"/>
      <c r="V209" s="4">
        <v>508.75</v>
      </c>
      <c r="X209" s="119">
        <v>-2354.9</v>
      </c>
      <c r="Z209" s="4">
        <v>-1320</v>
      </c>
      <c r="AB209" s="4">
        <v>-15489.85</v>
      </c>
      <c r="AC209" s="4">
        <v>-6573.14</v>
      </c>
      <c r="AD209" s="4">
        <f>796.05+19920.72</f>
        <v>20716.77</v>
      </c>
      <c r="AE209" s="4">
        <v>12134.48</v>
      </c>
      <c r="AF209" s="4">
        <v>-23812.58</v>
      </c>
      <c r="AG209" s="4">
        <v>-11097.12</v>
      </c>
      <c r="AH209" s="4">
        <v>-13566.46</v>
      </c>
      <c r="AI209" s="4">
        <v>-5366.64</v>
      </c>
    </row>
    <row r="210" spans="1:35" hidden="1" x14ac:dyDescent="0.3">
      <c r="A210" s="4" t="s">
        <v>185</v>
      </c>
      <c r="B210" s="35"/>
      <c r="C210" s="36" t="s">
        <v>172</v>
      </c>
      <c r="D210" s="35"/>
      <c r="E210" s="35"/>
      <c r="F210" s="61"/>
      <c r="G210" s="35"/>
      <c r="H210" s="79">
        <f>IF(Cover!$R$18&gt;0,SUMIF($N$1:$AQ$1,Cover!$R$18&amp;H$6,$N210:$AQ210),SUMIF($N$4:$AQ$4,H$6,$N210:$AQ210))</f>
        <v>0</v>
      </c>
      <c r="I210" s="70"/>
      <c r="J210" s="79">
        <f>IF(Cover!$R$18&gt;0,SUMIF($N$1:$AQ$1,Cover!$R$18&amp;J$6,$N210:$AQ210),SUMIF($N$4:$AQ$4,J$6,$N210:$AQ210))</f>
        <v>0</v>
      </c>
      <c r="K210" s="5"/>
      <c r="N210" s="4">
        <v>-23.2</v>
      </c>
      <c r="P210" s="4">
        <v>1313.7</v>
      </c>
      <c r="R210" s="4">
        <v>-17504.34</v>
      </c>
      <c r="T210" s="4">
        <v>-40236</v>
      </c>
      <c r="V210" s="4">
        <v>22177.7</v>
      </c>
      <c r="X210" s="119">
        <v>50917.7</v>
      </c>
      <c r="Z210" s="4">
        <v>34727.5</v>
      </c>
      <c r="AB210" s="4">
        <f>-20238.61-2701.84</f>
        <v>-22940.45</v>
      </c>
      <c r="AD210" s="4">
        <v>36245.58</v>
      </c>
    </row>
    <row r="211" spans="1:35" hidden="1" x14ac:dyDescent="0.3">
      <c r="A211" s="4" t="s">
        <v>157</v>
      </c>
      <c r="B211" s="35"/>
      <c r="C211" s="36" t="s">
        <v>98</v>
      </c>
      <c r="D211" s="35"/>
      <c r="E211" s="35"/>
      <c r="F211" s="61"/>
      <c r="G211" s="35"/>
      <c r="H211" s="79">
        <f>IF(Cover!$R$18&gt;0,SUMIF($N$1:$AQ$1,Cover!$R$18&amp;H$6,$N211:$AQ211),SUMIF($N$4:$AQ$4,H$6,$N211:$AQ211))</f>
        <v>0</v>
      </c>
      <c r="I211" s="70"/>
      <c r="J211" s="79">
        <f>IF(Cover!$R$18&gt;0,SUMIF($N$1:$AQ$1,Cover!$R$18&amp;J$6,$N211:$AQ211),SUMIF($N$4:$AQ$4,J$6,$N211:$AQ211))</f>
        <v>0</v>
      </c>
      <c r="K211" s="5"/>
      <c r="N211" s="4">
        <v>-6681.73</v>
      </c>
      <c r="O211" s="4">
        <v>-14858</v>
      </c>
      <c r="P211" s="4">
        <v>-1498.42</v>
      </c>
      <c r="Q211" s="4">
        <v>-3332</v>
      </c>
      <c r="R211" s="4">
        <v>-229.35</v>
      </c>
      <c r="S211" s="4">
        <v>-510</v>
      </c>
      <c r="T211" s="4">
        <v>-91.11</v>
      </c>
      <c r="U211" s="4">
        <v>-136</v>
      </c>
      <c r="V211" s="4">
        <v>0</v>
      </c>
      <c r="W211" s="4">
        <v>-1321.9</v>
      </c>
      <c r="X211" s="119"/>
    </row>
    <row r="212" spans="1:35" hidden="1" x14ac:dyDescent="0.3">
      <c r="A212" s="4" t="s">
        <v>180</v>
      </c>
      <c r="B212" s="35"/>
      <c r="C212" s="36" t="s">
        <v>159</v>
      </c>
      <c r="D212" s="35"/>
      <c r="E212" s="35"/>
      <c r="F212" s="61"/>
      <c r="G212" s="35"/>
      <c r="H212" s="79">
        <f>IF(Cover!$R$18&gt;0,SUMIF($N$1:$AQ$1,Cover!$R$18&amp;H$6,$N212:$AQ212),SUMIF($N$4:$AQ$4,H$6,$N212:$AQ212))</f>
        <v>0</v>
      </c>
      <c r="I212" s="70"/>
      <c r="J212" s="79">
        <f>IF(Cover!$R$18&gt;0,SUMIF($N$1:$AQ$1,Cover!$R$18&amp;J$6,$N212:$AQ212),SUMIF($N$4:$AQ$4,J$6,$N212:$AQ212))</f>
        <v>0</v>
      </c>
      <c r="K212" s="5"/>
      <c r="N212" s="4">
        <v>-687.5</v>
      </c>
      <c r="O212" s="4">
        <v>-2750</v>
      </c>
      <c r="P212" s="4">
        <v>-562.5</v>
      </c>
      <c r="Q212" s="4">
        <v>-2250</v>
      </c>
      <c r="R212" s="4">
        <v>1280</v>
      </c>
      <c r="S212" s="4">
        <v>5120</v>
      </c>
      <c r="T212" s="4">
        <v>1680</v>
      </c>
      <c r="U212" s="4">
        <v>6720</v>
      </c>
      <c r="V212" s="4">
        <v>1995</v>
      </c>
      <c r="W212" s="4">
        <v>7980</v>
      </c>
      <c r="X212" s="119">
        <v>-735</v>
      </c>
      <c r="Y212" s="4">
        <v>-2940</v>
      </c>
      <c r="Z212" s="4">
        <v>420</v>
      </c>
      <c r="AA212" s="4">
        <v>1680</v>
      </c>
      <c r="AB212" s="4">
        <f>1975.06-0.01</f>
        <v>1975.05</v>
      </c>
      <c r="AC212" s="4">
        <v>392.28</v>
      </c>
      <c r="AD212" s="4">
        <v>0</v>
      </c>
    </row>
    <row r="213" spans="1:35" x14ac:dyDescent="0.3">
      <c r="A213" s="4" t="s">
        <v>181</v>
      </c>
      <c r="B213" s="35"/>
      <c r="C213" s="36" t="s">
        <v>99</v>
      </c>
      <c r="D213" s="35"/>
      <c r="E213" s="35"/>
      <c r="F213" s="61"/>
      <c r="G213" s="35"/>
      <c r="H213" s="79">
        <f>IF(Cover!$R$18&gt;0,SUMIF($N$1:$AQ$1,Cover!$R$18&amp;H$6,$N213:$AQ213),SUMIF($N$4:$AQ$4,H$6,$N213:$AQ213))</f>
        <v>-81.94</v>
      </c>
      <c r="I213" s="70"/>
      <c r="J213" s="79">
        <f>IF(Cover!$R$18&gt;0,SUMIF($N$1:$AQ$1,Cover!$R$18&amp;J$6,$N213:$AQ213),SUMIF($N$4:$AQ$4,J$6,$N213:$AQ213))</f>
        <v>4.82</v>
      </c>
      <c r="K213" s="5"/>
      <c r="N213" s="4">
        <v>-2892</v>
      </c>
      <c r="O213" s="4">
        <v>-408.27</v>
      </c>
      <c r="P213" s="4">
        <v>-96.4</v>
      </c>
      <c r="Q213" s="4">
        <v>-13.64</v>
      </c>
      <c r="R213" s="4">
        <v>57.84</v>
      </c>
      <c r="S213" s="4">
        <v>8.16</v>
      </c>
      <c r="T213" s="4">
        <v>-110.86</v>
      </c>
      <c r="U213" s="4">
        <v>-15.64</v>
      </c>
      <c r="V213" s="4">
        <v>-221.72</v>
      </c>
      <c r="W213" s="4">
        <v>-31.28</v>
      </c>
      <c r="X213" s="119">
        <v>-28.92</v>
      </c>
      <c r="Y213" s="4">
        <v>2843.14</v>
      </c>
      <c r="Z213" s="4">
        <v>-24.1</v>
      </c>
      <c r="AB213" s="4">
        <v>-14.46</v>
      </c>
      <c r="AC213" s="4">
        <v>-1020.05</v>
      </c>
      <c r="AD213" s="4">
        <v>33.74</v>
      </c>
      <c r="AF213" s="4">
        <v>4.82</v>
      </c>
      <c r="AH213" s="4">
        <v>-81.94</v>
      </c>
    </row>
    <row r="214" spans="1:35" hidden="1" x14ac:dyDescent="0.3">
      <c r="B214" s="96"/>
      <c r="C214" s="97" t="s">
        <v>258</v>
      </c>
      <c r="D214" s="96"/>
      <c r="E214" s="96"/>
      <c r="F214" s="61"/>
      <c r="G214" s="96"/>
      <c r="H214" s="79">
        <f>IF(Cover!$R$18&gt;0,SUMIF($N$1:$AQ$1,Cover!$R$18&amp;H$6,$N214:$AQ214),SUMIF($N$4:$AQ$4,H$6,$N214:$AQ214))</f>
        <v>0</v>
      </c>
      <c r="I214" s="70"/>
      <c r="J214" s="79">
        <f>IF(Cover!$R$18&gt;0,SUMIF($N$1:$AQ$1,Cover!$R$18&amp;J$6,$N214:$AQ214),SUMIF($N$4:$AQ$4,J$6,$N214:$AQ214))</f>
        <v>0</v>
      </c>
      <c r="K214" s="5"/>
      <c r="T214" s="4">
        <v>-660.41</v>
      </c>
      <c r="U214" s="4">
        <v>-132.63</v>
      </c>
      <c r="V214" s="4">
        <v>0</v>
      </c>
      <c r="W214" s="4">
        <v>4432.57</v>
      </c>
      <c r="X214" s="119"/>
      <c r="Y214" s="4">
        <v>1628.9</v>
      </c>
      <c r="AA214" s="4">
        <v>1020.05</v>
      </c>
    </row>
    <row r="215" spans="1:35" x14ac:dyDescent="0.3">
      <c r="B215" s="123"/>
      <c r="C215" s="124" t="s">
        <v>314</v>
      </c>
      <c r="D215" s="123"/>
      <c r="E215" s="123"/>
      <c r="F215" s="61"/>
      <c r="G215" s="123"/>
      <c r="H215" s="79">
        <f>IF(Cover!$R$18&gt;0,SUMIF($N$1:$AQ$1,Cover!$R$18&amp;H$6,$N215:$AQ215),SUMIF($N$4:$AQ$4,H$6,$N215:$AQ215))</f>
        <v>-8520</v>
      </c>
      <c r="I215" s="70"/>
      <c r="J215" s="79">
        <f>IF(Cover!$R$18&gt;0,SUMIF($N$1:$AQ$1,Cover!$R$18&amp;J$6,$N215:$AQ215),SUMIF($N$4:$AQ$4,J$6,$N215:$AQ215))</f>
        <v>-60</v>
      </c>
      <c r="K215" s="5"/>
      <c r="X215" s="119"/>
      <c r="AD215" s="4">
        <v>2190.23</v>
      </c>
      <c r="AF215" s="4">
        <v>-60</v>
      </c>
      <c r="AH215" s="4">
        <v>-8520</v>
      </c>
    </row>
    <row r="216" spans="1:35" hidden="1" x14ac:dyDescent="0.3">
      <c r="A216" s="4" t="s">
        <v>182</v>
      </c>
      <c r="B216" s="35"/>
      <c r="C216" s="36" t="s">
        <v>100</v>
      </c>
      <c r="D216" s="35"/>
      <c r="E216" s="35"/>
      <c r="F216" s="61"/>
      <c r="G216" s="35"/>
      <c r="H216" s="79">
        <f>IF(Cover!$R$18&gt;0,SUMIF($N$1:$AQ$1,Cover!$R$18&amp;H$6,$N216:$AQ216),SUMIF($N$4:$AQ$4,H$6,$N216:$AQ216))</f>
        <v>0</v>
      </c>
      <c r="I216" s="70"/>
      <c r="J216" s="79">
        <f>IF(Cover!$R$18&gt;0,SUMIF($N$1:$AQ$1,Cover!$R$18&amp;J$6,$N216:$AQ216),SUMIF($N$4:$AQ$4,J$6,$N216:$AQ216))</f>
        <v>0</v>
      </c>
      <c r="K216" s="5"/>
      <c r="N216" s="4">
        <v>-1440</v>
      </c>
      <c r="O216" s="4">
        <v>-735</v>
      </c>
      <c r="P216" s="4">
        <v>360</v>
      </c>
      <c r="Q216" s="4">
        <v>183.75</v>
      </c>
      <c r="R216" s="4">
        <v>-1440</v>
      </c>
      <c r="S216" s="4">
        <v>-735</v>
      </c>
      <c r="T216" s="4">
        <v>-420</v>
      </c>
      <c r="U216" s="4">
        <v>-214.38</v>
      </c>
      <c r="V216" s="4">
        <v>-600</v>
      </c>
      <c r="W216" s="4">
        <v>-306.25</v>
      </c>
      <c r="X216" s="119">
        <v>360</v>
      </c>
      <c r="Y216" s="4">
        <v>183.75</v>
      </c>
      <c r="AA216" s="4">
        <v>0</v>
      </c>
      <c r="AB216" s="4">
        <v>-360</v>
      </c>
      <c r="AC216" s="4">
        <v>-183.75</v>
      </c>
    </row>
    <row r="217" spans="1:35" hidden="1" x14ac:dyDescent="0.3">
      <c r="B217" s="35"/>
      <c r="C217" s="36" t="s">
        <v>238</v>
      </c>
      <c r="D217" s="35"/>
      <c r="E217" s="35"/>
      <c r="F217" s="61"/>
      <c r="G217" s="35"/>
      <c r="H217" s="79">
        <f>IF(Cover!$R$18&gt;0,SUMIF($N$1:$AQ$1,Cover!$R$18&amp;H$6,$N217:$AQ217),SUMIF($N$4:$AQ$4,H$6,$N217:$AQ217))</f>
        <v>0</v>
      </c>
      <c r="I217" s="70"/>
      <c r="J217" s="79">
        <f>IF(Cover!$R$18&gt;0,SUMIF($N$1:$AQ$1,Cover!$R$18&amp;J$6,$N217:$AQ217),SUMIF($N$4:$AQ$4,J$6,$N217:$AQ217))</f>
        <v>0</v>
      </c>
      <c r="K217" s="5"/>
      <c r="N217" s="4">
        <v>0</v>
      </c>
      <c r="P217" s="4">
        <v>98.69</v>
      </c>
      <c r="R217" s="4">
        <v>0</v>
      </c>
      <c r="X217" s="119"/>
    </row>
    <row r="218" spans="1:35" x14ac:dyDescent="0.3">
      <c r="B218" s="102"/>
      <c r="C218" s="103" t="s">
        <v>273</v>
      </c>
      <c r="D218" s="102"/>
      <c r="E218" s="102"/>
      <c r="F218" s="61"/>
      <c r="G218" s="102"/>
      <c r="H218" s="79">
        <f>IF(Cover!$R$18&gt;0,SUMIF($N$1:$AQ$1,Cover!$R$18&amp;H$6,$N218:$AQ218),SUMIF($N$4:$AQ$4,H$6,$N218:$AQ218))</f>
        <v>-230</v>
      </c>
      <c r="I218" s="70"/>
      <c r="J218" s="79">
        <f>IF(Cover!$R$18&gt;0,SUMIF($N$1:$AQ$1,Cover!$R$18&amp;J$6,$N218:$AQ218),SUMIF($N$4:$AQ$4,J$6,$N218:$AQ218))</f>
        <v>-1429.95</v>
      </c>
      <c r="K218" s="5"/>
      <c r="W218" s="4">
        <v>-2053.4499999999998</v>
      </c>
      <c r="X218" s="119"/>
      <c r="Y218" s="4">
        <f>-540.17-3748.3</f>
        <v>-4288.47</v>
      </c>
      <c r="AA218" s="4">
        <v>6410.86</v>
      </c>
      <c r="AC218" s="4">
        <f>2865.19-0.01</f>
        <v>2865.18</v>
      </c>
      <c r="AF218" s="4">
        <v>-1429.95</v>
      </c>
      <c r="AH218" s="4">
        <v>-230</v>
      </c>
    </row>
    <row r="219" spans="1:35" hidden="1" x14ac:dyDescent="0.3">
      <c r="B219" s="102"/>
      <c r="C219" s="103" t="s">
        <v>274</v>
      </c>
      <c r="D219" s="102"/>
      <c r="E219" s="102"/>
      <c r="F219" s="61"/>
      <c r="G219" s="102"/>
      <c r="H219" s="79">
        <f>IF(Cover!$R$18&gt;0,SUMIF($N$1:$AQ$1,Cover!$R$18&amp;H$6,$N219:$AQ219),SUMIF($N$4:$AQ$4,H$6,$N219:$AQ219))</f>
        <v>0</v>
      </c>
      <c r="I219" s="70"/>
      <c r="J219" s="79">
        <f>IF(Cover!$R$18&gt;0,SUMIF($N$1:$AQ$1,Cover!$R$18&amp;J$6,$N219:$AQ219),SUMIF($N$4:$AQ$4,J$6,$N219:$AQ219))</f>
        <v>0</v>
      </c>
      <c r="K219" s="5"/>
      <c r="W219" s="4">
        <v>1019.47</v>
      </c>
      <c r="X219" s="119"/>
    </row>
    <row r="220" spans="1:35" x14ac:dyDescent="0.3">
      <c r="B220" s="123"/>
      <c r="C220" s="124" t="s">
        <v>315</v>
      </c>
      <c r="D220" s="123"/>
      <c r="E220" s="123"/>
      <c r="F220" s="61"/>
      <c r="G220" s="123"/>
      <c r="H220" s="79">
        <f>IF(Cover!$R$18&gt;0,SUMIF($N$1:$AQ$1,Cover!$R$18&amp;H$6,$N220:$AQ220),SUMIF($N$4:$AQ$4,H$6,$N220:$AQ220))</f>
        <v>14490</v>
      </c>
      <c r="I220" s="70"/>
      <c r="J220" s="79">
        <f>IF(Cover!$R$18&gt;0,SUMIF($N$1:$AQ$1,Cover!$R$18&amp;J$6,$N220:$AQ220),SUMIF($N$4:$AQ$4,J$6,$N220:$AQ220))</f>
        <v>-54519.95</v>
      </c>
      <c r="K220" s="5"/>
      <c r="X220" s="119"/>
      <c r="AD220" s="4">
        <v>5368.01</v>
      </c>
      <c r="AF220" s="4">
        <v>-54519.95</v>
      </c>
      <c r="AH220" s="4">
        <v>14490</v>
      </c>
    </row>
    <row r="221" spans="1:35" x14ac:dyDescent="0.3">
      <c r="B221" s="123"/>
      <c r="C221" s="124" t="s">
        <v>317</v>
      </c>
      <c r="D221" s="123"/>
      <c r="E221" s="123"/>
      <c r="F221" s="61"/>
      <c r="G221" s="123"/>
      <c r="H221" s="79">
        <f>IF(Cover!$R$18&gt;0,SUMIF($N$1:$AQ$1,Cover!$R$18&amp;H$6,$N221:$AQ221),SUMIF($N$4:$AQ$4,H$6,$N221:$AQ221))</f>
        <v>-2325</v>
      </c>
      <c r="I221" s="70"/>
      <c r="J221" s="79">
        <f>IF(Cover!$R$18&gt;0,SUMIF($N$1:$AQ$1,Cover!$R$18&amp;J$6,$N221:$AQ221),SUMIF($N$4:$AQ$4,J$6,$N221:$AQ221))</f>
        <v>525</v>
      </c>
      <c r="K221" s="5"/>
      <c r="X221" s="119"/>
      <c r="AD221" s="4">
        <v>1030.05</v>
      </c>
      <c r="AF221" s="4">
        <v>525</v>
      </c>
      <c r="AH221" s="4">
        <v>-2325</v>
      </c>
    </row>
    <row r="222" spans="1:35" x14ac:dyDescent="0.3">
      <c r="A222" s="4" t="s">
        <v>183</v>
      </c>
      <c r="B222" s="35"/>
      <c r="C222" s="36" t="s">
        <v>101</v>
      </c>
      <c r="D222" s="35"/>
      <c r="E222" s="35"/>
      <c r="F222" s="61"/>
      <c r="G222" s="35"/>
      <c r="H222" s="79">
        <f>IF(Cover!$R$18&gt;0,SUMIF($N$1:$AQ$1,Cover!$R$18&amp;H$6,$N222:$AQ222),SUMIF($N$4:$AQ$4,H$6,$N222:$AQ222))</f>
        <v>-9889.92</v>
      </c>
      <c r="I222" s="70"/>
      <c r="J222" s="79">
        <f>IF(Cover!$R$18&gt;0,SUMIF($N$1:$AQ$1,Cover!$R$18&amp;J$6,$N222:$AQ222),SUMIF($N$4:$AQ$4,J$6,$N222:$AQ222))</f>
        <v>11344.32</v>
      </c>
      <c r="K222" s="5"/>
      <c r="N222" s="4">
        <v>28575.56</v>
      </c>
      <c r="O222" s="4">
        <v>2484.79</v>
      </c>
      <c r="P222" s="4">
        <v>14427.4</v>
      </c>
      <c r="Q222" s="4">
        <v>2022.12</v>
      </c>
      <c r="R222" s="4">
        <v>7747.91</v>
      </c>
      <c r="S222" s="4">
        <v>1200.48</v>
      </c>
      <c r="T222" s="4">
        <v>-56859.3</v>
      </c>
      <c r="U222" s="4">
        <v>-1324.93</v>
      </c>
      <c r="V222" s="4">
        <v>37808.089999999997</v>
      </c>
      <c r="W222" s="4">
        <v>659.1</v>
      </c>
      <c r="X222" s="119">
        <v>-17203.009999999998</v>
      </c>
      <c r="Y222" s="4">
        <f>1440.05-1418.55</f>
        <v>21.5</v>
      </c>
      <c r="Z222" s="4">
        <v>-5221.2299999999996</v>
      </c>
      <c r="AA222" s="4">
        <v>-372.6</v>
      </c>
      <c r="AB222" s="4">
        <v>-58574.64</v>
      </c>
      <c r="AC222" s="4">
        <v>-3873.68</v>
      </c>
      <c r="AD222" s="4">
        <v>71840</v>
      </c>
      <c r="AE222" s="4">
        <v>5728</v>
      </c>
      <c r="AF222" s="4">
        <v>10506.6</v>
      </c>
      <c r="AG222" s="4">
        <v>837.72</v>
      </c>
      <c r="AH222" s="4">
        <v>-9159.6</v>
      </c>
      <c r="AI222" s="4">
        <v>-730.32</v>
      </c>
    </row>
    <row r="223" spans="1:35" x14ac:dyDescent="0.3">
      <c r="B223" s="114"/>
      <c r="C223" s="115" t="s">
        <v>295</v>
      </c>
      <c r="D223" s="114"/>
      <c r="E223" s="114"/>
      <c r="F223" s="61"/>
      <c r="G223" s="114"/>
      <c r="H223" s="79">
        <f>IF(Cover!$R$18&gt;0,SUMIF($N$1:$AQ$1,Cover!$R$18&amp;H$6,$N223:$AQ223),SUMIF($N$4:$AQ$4,H$6,$N223:$AQ223))</f>
        <v>-2848.16</v>
      </c>
      <c r="I223" s="70"/>
      <c r="J223" s="79">
        <f>IF(Cover!$R$18&gt;0,SUMIF($N$1:$AQ$1,Cover!$R$18&amp;J$6,$N223:$AQ223),SUMIF($N$4:$AQ$4,J$6,$N223:$AQ223))</f>
        <v>-5138.2</v>
      </c>
      <c r="K223" s="5"/>
      <c r="X223" s="119"/>
      <c r="Y223" s="4">
        <v>-1753.55</v>
      </c>
      <c r="AA223" s="4">
        <v>294.39999999999998</v>
      </c>
      <c r="AC223" s="4">
        <v>-5782.2</v>
      </c>
      <c r="AD223" s="4">
        <v>0</v>
      </c>
      <c r="AE223" s="4">
        <v>4774.8</v>
      </c>
      <c r="AG223" s="4">
        <v>-5138.2</v>
      </c>
      <c r="AI223" s="4">
        <v>-2848.16</v>
      </c>
    </row>
    <row r="224" spans="1:35" hidden="1" x14ac:dyDescent="0.3">
      <c r="A224" s="4" t="s">
        <v>184</v>
      </c>
      <c r="B224" s="35"/>
      <c r="C224" s="36" t="s">
        <v>102</v>
      </c>
      <c r="D224" s="35"/>
      <c r="E224" s="35"/>
      <c r="F224" s="61"/>
      <c r="G224" s="35"/>
      <c r="H224" s="79">
        <f>IF(Cover!$R$18&gt;0,SUMIF($N$1:$AQ$1,Cover!$R$18&amp;H$6,$N224:$AQ224),SUMIF($N$4:$AQ$4,H$6,$N224:$AQ224))</f>
        <v>0</v>
      </c>
      <c r="I224" s="70"/>
      <c r="J224" s="79">
        <f>IF(Cover!$R$18&gt;0,SUMIF($N$1:$AQ$1,Cover!$R$18&amp;J$6,$N224:$AQ224),SUMIF($N$4:$AQ$4,J$6,$N224:$AQ224))</f>
        <v>0</v>
      </c>
      <c r="K224" s="5"/>
      <c r="O224" s="4">
        <v>14.27</v>
      </c>
      <c r="Q224" s="4">
        <v>106.72</v>
      </c>
      <c r="S224" s="4">
        <v>118.37</v>
      </c>
      <c r="U224" s="4">
        <v>-101.46</v>
      </c>
      <c r="W224" s="4">
        <v>-115.18</v>
      </c>
      <c r="X224" s="119"/>
    </row>
    <row r="225" spans="1:43" x14ac:dyDescent="0.3">
      <c r="B225" s="121"/>
      <c r="C225" s="122" t="s">
        <v>306</v>
      </c>
      <c r="D225" s="121"/>
      <c r="E225" s="121"/>
      <c r="F225" s="61"/>
      <c r="G225" s="121"/>
      <c r="H225" s="79">
        <f>IF(Cover!$R$18&gt;0,SUMIF($N$1:$AQ$1,Cover!$R$18&amp;H$6,$N225:$AQ225),SUMIF($N$4:$AQ$4,H$6,$N225:$AQ225))</f>
        <v>35774.68</v>
      </c>
      <c r="I225" s="70"/>
      <c r="J225" s="79">
        <f>IF(Cover!$R$18&gt;0,SUMIF($N$1:$AQ$1,Cover!$R$18&amp;J$6,$N225:$AQ225),SUMIF($N$4:$AQ$4,J$6,$N225:$AQ225))</f>
        <v>-19024.55</v>
      </c>
      <c r="K225" s="5"/>
      <c r="X225" s="119"/>
      <c r="AB225" s="4">
        <v>3959.76</v>
      </c>
      <c r="AD225" s="4">
        <v>10990.1</v>
      </c>
      <c r="AF225" s="4">
        <v>-19024.55</v>
      </c>
      <c r="AH225" s="4">
        <v>35774.68</v>
      </c>
    </row>
    <row r="226" spans="1:43" x14ac:dyDescent="0.3">
      <c r="B226" s="92"/>
      <c r="C226" s="93" t="s">
        <v>254</v>
      </c>
      <c r="D226" s="92"/>
      <c r="E226" s="92"/>
      <c r="F226" s="61"/>
      <c r="G226" s="92"/>
      <c r="H226" s="79">
        <f>IF(Cover!$R$18&gt;0,SUMIF($N$1:$AQ$1,Cover!$R$18&amp;H$6,$N226:$AQ226),SUMIF($N$4:$AQ$4,H$6,$N226:$AQ226))</f>
        <v>0</v>
      </c>
      <c r="I226" s="70"/>
      <c r="J226" s="79">
        <f>IF(Cover!$R$18&gt;0,SUMIF($N$1:$AQ$1,Cover!$R$18&amp;J$6,$N226:$AQ226),SUMIF($N$4:$AQ$4,J$6,$N226:$AQ226))</f>
        <v>-645.52</v>
      </c>
      <c r="K226" s="5"/>
      <c r="R226" s="4">
        <v>-416.27</v>
      </c>
      <c r="T226" s="4">
        <v>-8175.65</v>
      </c>
      <c r="V226" s="4">
        <v>-9811.6</v>
      </c>
      <c r="X226" s="119">
        <v>28398.6</v>
      </c>
      <c r="Z226" s="4">
        <v>7099.65</v>
      </c>
      <c r="AB226" s="4">
        <v>-16871.650000000001</v>
      </c>
      <c r="AD226" s="4">
        <v>17479.349999999999</v>
      </c>
      <c r="AF226" s="4">
        <v>-645.52</v>
      </c>
    </row>
    <row r="227" spans="1:43" hidden="1" x14ac:dyDescent="0.3">
      <c r="B227" s="92"/>
      <c r="C227" s="93" t="s">
        <v>255</v>
      </c>
      <c r="D227" s="92"/>
      <c r="E227" s="92"/>
      <c r="F227" s="61"/>
      <c r="G227" s="92"/>
      <c r="H227" s="79">
        <f>IF(Cover!$R$18&gt;0,SUMIF($N$1:$AQ$1,Cover!$R$18&amp;H$6,$N227:$AQ227),SUMIF($N$4:$AQ$4,H$6,$N227:$AQ227))</f>
        <v>0</v>
      </c>
      <c r="I227" s="70"/>
      <c r="J227" s="79">
        <f>IF(Cover!$R$18&gt;0,SUMIF($N$1:$AQ$1,Cover!$R$18&amp;J$6,$N227:$AQ227),SUMIF($N$4:$AQ$4,J$6,$N227:$AQ227))</f>
        <v>0</v>
      </c>
      <c r="K227" s="5"/>
      <c r="R227" s="4">
        <v>-2559.27</v>
      </c>
      <c r="T227" s="4">
        <v>-1197.5</v>
      </c>
      <c r="V227" s="4">
        <v>4291.05</v>
      </c>
      <c r="X227" s="119"/>
    </row>
    <row r="228" spans="1:43" hidden="1" x14ac:dyDescent="0.3">
      <c r="B228" s="104"/>
      <c r="C228" s="105" t="s">
        <v>276</v>
      </c>
      <c r="D228" s="104"/>
      <c r="E228" s="104"/>
      <c r="F228" s="61"/>
      <c r="G228" s="104"/>
      <c r="H228" s="79">
        <f>IF(Cover!$R$18&gt;0,SUMIF($N$1:$AQ$1,Cover!$R$18&amp;H$6,$N228:$AQ228),SUMIF($N$4:$AQ$4,H$6,$N228:$AQ228))</f>
        <v>0</v>
      </c>
      <c r="I228" s="70"/>
      <c r="J228" s="79">
        <f>IF(Cover!$R$18&gt;0,SUMIF($N$1:$AQ$1,Cover!$R$18&amp;J$6,$N228:$AQ228),SUMIF($N$4:$AQ$4,J$6,$N228:$AQ228))</f>
        <v>0</v>
      </c>
      <c r="K228" s="5"/>
      <c r="V228" s="4">
        <v>457.43</v>
      </c>
      <c r="X228" s="119">
        <v>-11760</v>
      </c>
      <c r="Z228" s="4">
        <v>8610</v>
      </c>
      <c r="AB228" s="4">
        <v>-2267.1799999999998</v>
      </c>
      <c r="AD228" s="4">
        <v>0</v>
      </c>
    </row>
    <row r="229" spans="1:43" x14ac:dyDescent="0.3">
      <c r="B229" s="121"/>
      <c r="C229" s="122" t="s">
        <v>310</v>
      </c>
      <c r="D229" s="121"/>
      <c r="E229" s="121"/>
      <c r="F229" s="61"/>
      <c r="G229" s="121"/>
      <c r="H229" s="79">
        <f>IF(Cover!$R$18&gt;0,SUMIF($N$1:$AQ$1,Cover!$R$18&amp;H$6,$N229:$AQ229),SUMIF($N$4:$AQ$4,H$6,$N229:$AQ229))</f>
        <v>12160</v>
      </c>
      <c r="I229" s="70"/>
      <c r="J229" s="79">
        <f>IF(Cover!$R$18&gt;0,SUMIF($N$1:$AQ$1,Cover!$R$18&amp;J$6,$N229:$AQ229),SUMIF($N$4:$AQ$4,J$6,$N229:$AQ229))</f>
        <v>-27930</v>
      </c>
      <c r="K229" s="5"/>
      <c r="X229" s="119"/>
      <c r="AC229" s="4">
        <v>-23217.3</v>
      </c>
      <c r="AD229" s="4">
        <v>0</v>
      </c>
      <c r="AE229" s="4">
        <v>38475</v>
      </c>
      <c r="AG229" s="4">
        <v>-27930</v>
      </c>
      <c r="AI229" s="4">
        <v>12160</v>
      </c>
    </row>
    <row r="230" spans="1:43" x14ac:dyDescent="0.3">
      <c r="A230" s="4" t="s">
        <v>187</v>
      </c>
      <c r="B230" s="123"/>
      <c r="C230" s="124" t="s">
        <v>312</v>
      </c>
      <c r="D230" s="123"/>
      <c r="E230" s="123"/>
      <c r="F230" s="61"/>
      <c r="G230" s="123"/>
      <c r="H230" s="79">
        <f>IF(Cover!$R$18&gt;0,SUMIF($N$1:$AQ$1,Cover!$R$18&amp;H$6,$N230:$AQ230),SUMIF($N$4:$AQ$4,H$6,$N230:$AQ230))</f>
        <v>7850</v>
      </c>
      <c r="I230" s="70"/>
      <c r="J230" s="79">
        <f>IF(Cover!$R$18&gt;0,SUMIF($N$1:$AQ$1,Cover!$R$18&amp;J$6,$N230:$AQ230),SUMIF($N$4:$AQ$4,J$6,$N230:$AQ230))</f>
        <v>2150</v>
      </c>
      <c r="K230" s="5"/>
      <c r="X230" s="119"/>
      <c r="AD230" s="4">
        <v>0</v>
      </c>
      <c r="AE230" s="4">
        <v>8880.0499999999993</v>
      </c>
      <c r="AG230" s="4">
        <v>2150</v>
      </c>
      <c r="AI230" s="4">
        <v>7850</v>
      </c>
    </row>
    <row r="231" spans="1:43" x14ac:dyDescent="0.3">
      <c r="A231" s="4" t="s">
        <v>187</v>
      </c>
      <c r="B231" s="35"/>
      <c r="C231" s="36" t="s">
        <v>174</v>
      </c>
      <c r="D231" s="35"/>
      <c r="E231" s="35"/>
      <c r="F231" s="61"/>
      <c r="G231" s="35"/>
      <c r="H231" s="79">
        <f>IF(Cover!$R$18&gt;0,SUMIF($N$1:$AQ$1,Cover!$R$18&amp;H$6,$N231:$AQ231),SUMIF($N$4:$AQ$4,H$6,$N231:$AQ231))</f>
        <v>16874.64</v>
      </c>
      <c r="I231" s="70"/>
      <c r="J231" s="79">
        <f>IF(Cover!$R$18&gt;0,SUMIF($N$1:$AQ$1,Cover!$R$18&amp;J$6,$N231:$AQ231),SUMIF($N$4:$AQ$4,J$6,$N231:$AQ231))</f>
        <v>-57869.01</v>
      </c>
      <c r="K231" s="5"/>
      <c r="N231" s="4">
        <v>25156.5</v>
      </c>
      <c r="P231" s="4">
        <v>16230</v>
      </c>
      <c r="R231" s="4">
        <v>-5801.11</v>
      </c>
      <c r="T231" s="4">
        <v>-10955</v>
      </c>
      <c r="V231" s="4">
        <v>6213.46</v>
      </c>
      <c r="X231" s="119">
        <v>-5966.51</v>
      </c>
      <c r="Z231" s="4">
        <v>-4635.1400000000003</v>
      </c>
      <c r="AB231" s="4">
        <v>-67772.67</v>
      </c>
      <c r="AD231" s="4">
        <v>69841.87</v>
      </c>
      <c r="AF231" s="4">
        <v>-57869.01</v>
      </c>
      <c r="AH231" s="4">
        <v>16874.64</v>
      </c>
    </row>
    <row r="232" spans="1:43" x14ac:dyDescent="0.3">
      <c r="A232" s="4" t="s">
        <v>188</v>
      </c>
      <c r="B232" s="35"/>
      <c r="C232" s="36" t="s">
        <v>176</v>
      </c>
      <c r="D232" s="35"/>
      <c r="E232" s="35"/>
      <c r="F232" s="61"/>
      <c r="G232" s="35"/>
      <c r="H232" s="79">
        <f>IF(Cover!$R$18&gt;0,SUMIF($N$1:$AQ$1,Cover!$R$18&amp;H$6,$N232:$AQ232),SUMIF($N$4:$AQ$4,H$6,$N232:$AQ232))</f>
        <v>0</v>
      </c>
      <c r="I232" s="70"/>
      <c r="J232" s="79">
        <f>IF(Cover!$R$18&gt;0,SUMIF($N$1:$AQ$1,Cover!$R$18&amp;J$6,$N232:$AQ232),SUMIF($N$4:$AQ$4,J$6,$N232:$AQ232))</f>
        <v>47474.43</v>
      </c>
      <c r="K232" s="5"/>
      <c r="N232" s="4">
        <v>1995</v>
      </c>
      <c r="P232" s="4">
        <v>3030</v>
      </c>
      <c r="R232" s="4">
        <v>-12714.33</v>
      </c>
      <c r="T232" s="4">
        <v>-25865</v>
      </c>
      <c r="V232" s="4">
        <v>10605</v>
      </c>
      <c r="X232" s="119">
        <v>19565</v>
      </c>
      <c r="Z232" s="4">
        <v>3150</v>
      </c>
      <c r="AB232" s="4">
        <v>-57899.95</v>
      </c>
      <c r="AD232" s="4">
        <v>1434.71</v>
      </c>
      <c r="AF232" s="4">
        <v>47474.43</v>
      </c>
    </row>
    <row r="233" spans="1:43" hidden="1" x14ac:dyDescent="0.3">
      <c r="B233" s="114"/>
      <c r="C233" s="115" t="s">
        <v>298</v>
      </c>
      <c r="D233" s="114"/>
      <c r="E233" s="114"/>
      <c r="F233" s="61"/>
      <c r="G233" s="114"/>
      <c r="H233" s="79">
        <f>IF(Cover!$R$18&gt;0,SUMIF($N$1:$AQ$1,Cover!$R$18&amp;H$6,$N233:$AQ233),SUMIF($N$4:$AQ$4,H$6,$N233:$AQ233))</f>
        <v>0</v>
      </c>
      <c r="I233" s="70"/>
      <c r="J233" s="79">
        <f>IF(Cover!$R$18&gt;0,SUMIF($N$1:$AQ$1,Cover!$R$18&amp;J$6,$N233:$AQ233),SUMIF($N$4:$AQ$4,J$6,$N233:$AQ233))</f>
        <v>0</v>
      </c>
      <c r="K233" s="5"/>
      <c r="X233" s="119">
        <v>639.41</v>
      </c>
    </row>
    <row r="234" spans="1:43" hidden="1" x14ac:dyDescent="0.3">
      <c r="B234" s="92"/>
      <c r="C234" s="93" t="s">
        <v>256</v>
      </c>
      <c r="D234" s="92"/>
      <c r="E234" s="92"/>
      <c r="F234" s="61"/>
      <c r="G234" s="92"/>
      <c r="H234" s="79">
        <f>IF(Cover!$R$18&gt;0,SUMIF($N$1:$AQ$1,Cover!$R$18&amp;H$6,$N234:$AQ234),SUMIF($N$4:$AQ$4,H$6,$N234:$AQ234))</f>
        <v>0</v>
      </c>
      <c r="I234" s="70"/>
      <c r="J234" s="79">
        <f>IF(Cover!$R$18&gt;0,SUMIF($N$1:$AQ$1,Cover!$R$18&amp;J$6,$N234:$AQ234),SUMIF($N$4:$AQ$4,J$6,$N234:$AQ234))</f>
        <v>0</v>
      </c>
      <c r="K234" s="5"/>
      <c r="R234" s="4">
        <v>-2447.3200000000002</v>
      </c>
      <c r="T234" s="4">
        <v>-6070</v>
      </c>
      <c r="V234" s="4">
        <v>5530.9</v>
      </c>
      <c r="X234" s="119"/>
    </row>
    <row r="235" spans="1:43" ht="15" thickBot="1" x14ac:dyDescent="0.35">
      <c r="B235" s="35"/>
      <c r="C235" s="35"/>
      <c r="D235" s="35"/>
      <c r="E235" s="35"/>
      <c r="F235" s="61"/>
      <c r="G235" s="35"/>
      <c r="H235" s="91">
        <f>SUM(H204:H234)</f>
        <v>65163.94</v>
      </c>
      <c r="I235" s="35"/>
      <c r="J235" s="91">
        <f>SUM(J204:J234)</f>
        <v>-203255.38999999998</v>
      </c>
      <c r="K235" s="5"/>
      <c r="N235" s="95">
        <f>SUM(N204:N234)</f>
        <v>43719.41</v>
      </c>
      <c r="O235" s="95">
        <f t="shared" ref="O235:AQ235" si="30">SUM(O204:O234)</f>
        <v>-16252.21</v>
      </c>
      <c r="P235" s="95">
        <f t="shared" si="30"/>
        <v>33352.449999999997</v>
      </c>
      <c r="Q235" s="95">
        <f t="shared" si="30"/>
        <v>-3283.0500000000006</v>
      </c>
      <c r="R235" s="95">
        <f t="shared" si="30"/>
        <v>-38345.31</v>
      </c>
      <c r="S235" s="95">
        <f t="shared" si="30"/>
        <v>5202.0099999999993</v>
      </c>
      <c r="T235" s="95">
        <f t="shared" si="30"/>
        <v>-154199.78</v>
      </c>
      <c r="U235" s="95">
        <f t="shared" si="30"/>
        <v>4794.9599999999991</v>
      </c>
      <c r="V235" s="95">
        <f t="shared" si="30"/>
        <v>85164.06</v>
      </c>
      <c r="W235" s="95">
        <f t="shared" si="30"/>
        <v>10263.079999999998</v>
      </c>
      <c r="X235" s="95">
        <f t="shared" si="30"/>
        <v>61184.37</v>
      </c>
      <c r="Y235" s="95">
        <f t="shared" si="30"/>
        <v>-8374.6999999999989</v>
      </c>
      <c r="Z235" s="95">
        <f t="shared" si="30"/>
        <v>42766.18</v>
      </c>
      <c r="AA235" s="95">
        <f t="shared" si="30"/>
        <v>7862.7599999999984</v>
      </c>
      <c r="AB235" s="95">
        <f t="shared" si="30"/>
        <v>-270068.66000000003</v>
      </c>
      <c r="AC235" s="95">
        <f t="shared" si="30"/>
        <v>-42792.659999999996</v>
      </c>
      <c r="AD235" s="95">
        <f t="shared" si="30"/>
        <v>260681.66</v>
      </c>
      <c r="AE235" s="95">
        <f t="shared" si="30"/>
        <v>68612.33</v>
      </c>
      <c r="AF235" s="95">
        <f t="shared" si="30"/>
        <v>-160757.78999999998</v>
      </c>
      <c r="AG235" s="95">
        <f t="shared" si="30"/>
        <v>-42497.600000000006</v>
      </c>
      <c r="AH235" s="95">
        <f t="shared" si="30"/>
        <v>54219.060000000005</v>
      </c>
      <c r="AI235" s="95">
        <f t="shared" si="30"/>
        <v>10944.880000000001</v>
      </c>
      <c r="AJ235" s="95">
        <f t="shared" si="30"/>
        <v>0</v>
      </c>
      <c r="AK235" s="95">
        <f t="shared" si="30"/>
        <v>0</v>
      </c>
      <c r="AL235" s="95">
        <f t="shared" si="30"/>
        <v>0</v>
      </c>
      <c r="AM235" s="95">
        <f t="shared" si="30"/>
        <v>0</v>
      </c>
      <c r="AN235" s="95">
        <f t="shared" si="30"/>
        <v>0</v>
      </c>
      <c r="AO235" s="95">
        <f t="shared" si="30"/>
        <v>0</v>
      </c>
      <c r="AP235" s="95">
        <f t="shared" si="30"/>
        <v>0</v>
      </c>
      <c r="AQ235" s="95">
        <f t="shared" si="30"/>
        <v>0</v>
      </c>
    </row>
    <row r="236" spans="1:43" ht="15" thickTop="1" x14ac:dyDescent="0.3">
      <c r="B236" s="92"/>
      <c r="C236" s="92"/>
      <c r="D236" s="92"/>
      <c r="E236" s="92"/>
      <c r="F236" s="61"/>
      <c r="G236" s="92"/>
      <c r="H236" s="78"/>
      <c r="I236" s="92"/>
      <c r="J236" s="78"/>
      <c r="K236" s="5"/>
      <c r="N236" s="129" t="str">
        <f>IF(N235='Profit &amp; Loss'!N12,"P","O")</f>
        <v>P</v>
      </c>
      <c r="O236" s="129" t="str">
        <f>IF(O235='Profit &amp; Loss'!O12,"P","O")</f>
        <v>P</v>
      </c>
      <c r="P236" s="129" t="str">
        <f>IF(P235='Profit &amp; Loss'!P12,"P","O")</f>
        <v>P</v>
      </c>
      <c r="Q236" s="129" t="str">
        <f>IF(Q235='Profit &amp; Loss'!Q12,"P","O")</f>
        <v>P</v>
      </c>
      <c r="R236" s="129" t="str">
        <f>IF(R235='Profit &amp; Loss'!R12,"P","O")</f>
        <v>P</v>
      </c>
      <c r="S236" s="129" t="str">
        <f>IF(S235='Profit &amp; Loss'!S12,"P","O")</f>
        <v>P</v>
      </c>
      <c r="T236" s="129" t="str">
        <f>IF(T235='Profit &amp; Loss'!T12,"P","O")</f>
        <v>P</v>
      </c>
      <c r="U236" s="129" t="str">
        <f>IF(U235='Profit &amp; Loss'!U12,"P","O")</f>
        <v>P</v>
      </c>
      <c r="V236" s="129" t="str">
        <f>IF(V235='Profit &amp; Loss'!V12,"P","O")</f>
        <v>P</v>
      </c>
      <c r="W236" s="129" t="str">
        <f>IF(W235='Profit &amp; Loss'!W12,"P","O")</f>
        <v>P</v>
      </c>
      <c r="X236" s="129" t="str">
        <f>IF(X235='Profit &amp; Loss'!X12,"P","O")</f>
        <v>P</v>
      </c>
      <c r="Y236" s="129" t="str">
        <f>IF(Y235='Profit &amp; Loss'!Y12,"P","O")</f>
        <v>P</v>
      </c>
      <c r="Z236" s="129" t="str">
        <f>IF(Z235='Profit &amp; Loss'!Z12,"P","O")</f>
        <v>P</v>
      </c>
      <c r="AA236" s="129" t="str">
        <f>IF(AA235='Profit &amp; Loss'!AA12,"P","O")</f>
        <v>P</v>
      </c>
      <c r="AB236" s="129" t="str">
        <f>IF(AB235='Profit &amp; Loss'!AB12,"P","O")</f>
        <v>P</v>
      </c>
      <c r="AC236" s="129" t="str">
        <f>IF(AC235='Profit &amp; Loss'!AC12,"P","O")</f>
        <v>P</v>
      </c>
      <c r="AD236" s="129" t="str">
        <f>IF(AD235='Profit &amp; Loss'!AD12,"P","O")</f>
        <v>P</v>
      </c>
      <c r="AE236" s="129" t="str">
        <f>IF(AE235='Profit &amp; Loss'!AE12,"P","O")</f>
        <v>P</v>
      </c>
      <c r="AF236" s="129" t="str">
        <f>IF(AF235='Profit &amp; Loss'!AF12,"P","O")</f>
        <v>P</v>
      </c>
      <c r="AG236" s="129" t="str">
        <f>IF(AG235='Profit &amp; Loss'!AG12,"P","O")</f>
        <v>P</v>
      </c>
      <c r="AH236" s="129" t="str">
        <f>IF(AH235='Profit &amp; Loss'!AH12,"P","O")</f>
        <v>P</v>
      </c>
      <c r="AI236" s="129" t="str">
        <f>IF(AI235='Profit &amp; Loss'!AI12,"P","O")</f>
        <v>P</v>
      </c>
      <c r="AJ236" s="129" t="str">
        <f>IF(AJ235='Profit &amp; Loss'!AJ12,"P","O")</f>
        <v>P</v>
      </c>
      <c r="AK236" s="129" t="str">
        <f>IF(AK235='Profit &amp; Loss'!AK12,"P","O")</f>
        <v>P</v>
      </c>
      <c r="AL236" s="129" t="str">
        <f>IF(AL235='Profit &amp; Loss'!AL12,"P","O")</f>
        <v>P</v>
      </c>
      <c r="AM236" s="129" t="str">
        <f>IF(AM235='Profit &amp; Loss'!AM12,"P","O")</f>
        <v>P</v>
      </c>
      <c r="AN236" s="129" t="str">
        <f>IF(AN235='Profit &amp; Loss'!AN12,"P","O")</f>
        <v>P</v>
      </c>
      <c r="AO236" s="129" t="str">
        <f>IF(AO235='Profit &amp; Loss'!AO12,"P","O")</f>
        <v>P</v>
      </c>
      <c r="AP236" s="129" t="str">
        <f>IF(AP235='Profit &amp; Loss'!AP12,"P","O")</f>
        <v>P</v>
      </c>
      <c r="AQ236" s="129" t="str">
        <f>IF(AQ235='Profit &amp; Loss'!AQ12,"P","O")</f>
        <v>P</v>
      </c>
    </row>
    <row r="237" spans="1:43" x14ac:dyDescent="0.3">
      <c r="B237" s="26"/>
      <c r="C237" s="26"/>
      <c r="D237" s="26"/>
      <c r="E237" s="26"/>
      <c r="F237" s="77"/>
      <c r="G237" s="26"/>
      <c r="H237" s="78"/>
      <c r="I237" s="35"/>
      <c r="J237" s="78"/>
      <c r="K237" s="6"/>
    </row>
    <row r="238" spans="1:43" hidden="1" x14ac:dyDescent="0.3">
      <c r="B238" s="36"/>
      <c r="H238" s="59"/>
      <c r="I238" s="68"/>
      <c r="J238" s="59"/>
      <c r="K238" s="24"/>
    </row>
    <row r="239" spans="1:43" x14ac:dyDescent="0.3">
      <c r="B239" s="29">
        <v>10</v>
      </c>
      <c r="C239" s="29" t="s">
        <v>113</v>
      </c>
      <c r="D239" s="29"/>
      <c r="E239" s="29"/>
      <c r="F239" s="58"/>
      <c r="G239" s="29"/>
      <c r="H239" s="58"/>
      <c r="I239" s="29"/>
      <c r="J239" s="58"/>
      <c r="K239" s="34"/>
    </row>
    <row r="240" spans="1:43" x14ac:dyDescent="0.3">
      <c r="B240" s="29"/>
    </row>
    <row r="241" spans="1:43" x14ac:dyDescent="0.3">
      <c r="C241" s="36" t="s">
        <v>114</v>
      </c>
      <c r="D241" s="36"/>
      <c r="E241" s="36"/>
      <c r="F241" s="61"/>
      <c r="G241" s="36"/>
      <c r="H241" s="61"/>
      <c r="I241" s="36"/>
      <c r="J241" s="61"/>
      <c r="K241" s="7"/>
    </row>
    <row r="242" spans="1:43" x14ac:dyDescent="0.3">
      <c r="B242" s="36"/>
    </row>
    <row r="243" spans="1:43" x14ac:dyDescent="0.3">
      <c r="B243" s="35"/>
      <c r="C243" s="36" t="s">
        <v>115</v>
      </c>
      <c r="D243" s="35"/>
      <c r="E243" s="35"/>
      <c r="F243" s="61"/>
      <c r="G243" s="35"/>
      <c r="H243" s="79">
        <f>IF(Cover!$R$18&gt;0,SUMIF($N$1:$AQ$1,Cover!$R$18&amp;H$6,$N243:$AQ243),SUMIF($N$4:$AQ$4,H$6,$N243:$AQ243))</f>
        <v>-20295.54</v>
      </c>
      <c r="I243" s="70"/>
      <c r="J243" s="79">
        <f>IF(Cover!$R$18&gt;0,SUMIF($N$1:$AQ$1,Cover!$R$18&amp;J$6,$N243:$AQ243),SUMIF($N$4:$AQ$4,J$6,$N243:$AQ243))</f>
        <v>-18219.72</v>
      </c>
      <c r="K243" s="5"/>
      <c r="N243" s="4">
        <v>-3600.62</v>
      </c>
      <c r="O243" s="4">
        <v>803.33</v>
      </c>
      <c r="P243" s="4">
        <v>-7094.54</v>
      </c>
      <c r="Q243" s="4">
        <v>26.32</v>
      </c>
      <c r="R243" s="4">
        <v>-12772.32</v>
      </c>
      <c r="S243" s="4">
        <v>64.94</v>
      </c>
      <c r="T243" s="4">
        <v>-15877.17</v>
      </c>
      <c r="U243" s="4">
        <v>2740.93</v>
      </c>
      <c r="V243" s="4">
        <v>-15509.62</v>
      </c>
      <c r="W243" s="4">
        <v>2842.47</v>
      </c>
      <c r="X243" s="4">
        <v>-16010.81</v>
      </c>
      <c r="Y243" s="4">
        <v>3107.09</v>
      </c>
      <c r="Z243" s="4">
        <v>-24359.96</v>
      </c>
      <c r="AA243" s="4">
        <v>2555.81</v>
      </c>
      <c r="AB243" s="4">
        <v>-16318.22</v>
      </c>
      <c r="AC243" s="4">
        <v>3185.69</v>
      </c>
      <c r="AD243" s="4">
        <v>-12060.38</v>
      </c>
      <c r="AE243" s="4">
        <v>-341.36</v>
      </c>
      <c r="AF243" s="4">
        <v>-20334.54</v>
      </c>
      <c r="AG243" s="4">
        <v>2114.8200000000002</v>
      </c>
      <c r="AH243" s="4">
        <v>-19865.560000000001</v>
      </c>
      <c r="AI243" s="4">
        <v>-429.98</v>
      </c>
    </row>
    <row r="244" spans="1:43" x14ac:dyDescent="0.3">
      <c r="B244" s="35"/>
      <c r="C244" s="36" t="s">
        <v>3</v>
      </c>
      <c r="D244" s="35"/>
      <c r="E244" s="35"/>
      <c r="F244" s="61"/>
      <c r="G244" s="35"/>
      <c r="H244" s="79">
        <f>IF(Cover!$R$18&gt;0,SUMIF($N$1:$AQ$1,Cover!$R$18&amp;H$6,$N244:$AQ244),SUMIF($N$4:$AQ$4,H$6,$N244:$AQ244))</f>
        <v>1641.73</v>
      </c>
      <c r="I244" s="70"/>
      <c r="J244" s="79">
        <f>IF(Cover!$R$18&gt;0,SUMIF($N$1:$AQ$1,Cover!$R$18&amp;J$6,$N244:$AQ244),SUMIF($N$4:$AQ$4,J$6,$N244:$AQ244))</f>
        <v>-6374.64</v>
      </c>
      <c r="K244" s="5"/>
      <c r="N244" s="4">
        <v>0</v>
      </c>
      <c r="O244" s="4">
        <v>-2539.84</v>
      </c>
      <c r="P244" s="4">
        <v>0</v>
      </c>
      <c r="Q244" s="4">
        <v>-623.4</v>
      </c>
      <c r="R244" s="4">
        <v>0</v>
      </c>
      <c r="S244" s="4">
        <v>705.32</v>
      </c>
      <c r="U244" s="4">
        <v>774.25</v>
      </c>
      <c r="W244" s="4">
        <v>2564.7600000000002</v>
      </c>
      <c r="Y244" s="4">
        <v>-2336.5300000000002</v>
      </c>
      <c r="AA244" s="4">
        <v>1179.4100000000001</v>
      </c>
      <c r="AC244" s="4">
        <v>-6418.9</v>
      </c>
      <c r="AE244" s="4">
        <v>10291.85</v>
      </c>
      <c r="AG244" s="4">
        <v>-6374.64</v>
      </c>
      <c r="AI244" s="4">
        <v>1641.73</v>
      </c>
    </row>
    <row r="245" spans="1:43" ht="15" thickBot="1" x14ac:dyDescent="0.35">
      <c r="B245" s="35"/>
      <c r="C245" s="36" t="s">
        <v>116</v>
      </c>
      <c r="D245" s="35"/>
      <c r="E245" s="35"/>
      <c r="F245" s="61"/>
      <c r="G245" s="35"/>
      <c r="H245" s="91">
        <f>SUM(H243:H244)</f>
        <v>-18653.810000000001</v>
      </c>
      <c r="I245" s="35"/>
      <c r="J245" s="91">
        <f>SUM(J243:J244)</f>
        <v>-24594.36</v>
      </c>
      <c r="K245" s="5"/>
      <c r="N245" s="4">
        <f>SUM(N243:N244)</f>
        <v>-3600.62</v>
      </c>
      <c r="O245" s="4">
        <f t="shared" ref="O245:AQ245" si="31">SUM(O243:O244)</f>
        <v>-1736.5100000000002</v>
      </c>
      <c r="P245" s="4">
        <f t="shared" si="31"/>
        <v>-7094.54</v>
      </c>
      <c r="Q245" s="4">
        <f t="shared" si="31"/>
        <v>-597.07999999999993</v>
      </c>
      <c r="R245" s="4">
        <f t="shared" si="31"/>
        <v>-12772.32</v>
      </c>
      <c r="S245" s="4">
        <f t="shared" si="31"/>
        <v>770.26</v>
      </c>
      <c r="T245" s="4">
        <f t="shared" si="31"/>
        <v>-15877.17</v>
      </c>
      <c r="U245" s="4">
        <f t="shared" si="31"/>
        <v>3515.18</v>
      </c>
      <c r="V245" s="4">
        <f t="shared" si="31"/>
        <v>-15509.62</v>
      </c>
      <c r="W245" s="4">
        <f t="shared" si="31"/>
        <v>5407.23</v>
      </c>
      <c r="X245" s="4">
        <f t="shared" si="31"/>
        <v>-16010.81</v>
      </c>
      <c r="Y245" s="4">
        <f t="shared" si="31"/>
        <v>770.56</v>
      </c>
      <c r="Z245" s="4">
        <f t="shared" si="31"/>
        <v>-24359.96</v>
      </c>
      <c r="AA245" s="4">
        <f t="shared" si="31"/>
        <v>3735.2200000000003</v>
      </c>
      <c r="AB245" s="4">
        <f t="shared" si="31"/>
        <v>-16318.22</v>
      </c>
      <c r="AC245" s="4">
        <f t="shared" si="31"/>
        <v>-3233.2099999999996</v>
      </c>
      <c r="AD245" s="4">
        <f t="shared" si="31"/>
        <v>-12060.38</v>
      </c>
      <c r="AE245" s="4">
        <f t="shared" si="31"/>
        <v>9950.49</v>
      </c>
      <c r="AF245" s="4">
        <f t="shared" si="31"/>
        <v>-20334.54</v>
      </c>
      <c r="AG245" s="4">
        <f t="shared" si="31"/>
        <v>-4259.82</v>
      </c>
      <c r="AH245" s="4">
        <f t="shared" si="31"/>
        <v>-19865.560000000001</v>
      </c>
      <c r="AI245" s="4">
        <f t="shared" si="31"/>
        <v>1211.75</v>
      </c>
      <c r="AJ245" s="4">
        <f t="shared" si="31"/>
        <v>0</v>
      </c>
      <c r="AK245" s="4">
        <f t="shared" si="31"/>
        <v>0</v>
      </c>
      <c r="AL245" s="4">
        <f t="shared" si="31"/>
        <v>0</v>
      </c>
      <c r="AM245" s="4">
        <f t="shared" si="31"/>
        <v>0</v>
      </c>
      <c r="AN245" s="4">
        <f t="shared" si="31"/>
        <v>0</v>
      </c>
      <c r="AO245" s="4">
        <f t="shared" si="31"/>
        <v>0</v>
      </c>
      <c r="AP245" s="4">
        <f t="shared" si="31"/>
        <v>0</v>
      </c>
      <c r="AQ245" s="4">
        <f t="shared" si="31"/>
        <v>0</v>
      </c>
    </row>
    <row r="246" spans="1:43" ht="15" thickTop="1" x14ac:dyDescent="0.3">
      <c r="B246" s="26"/>
      <c r="C246" s="26"/>
      <c r="D246" s="26"/>
      <c r="E246" s="26"/>
      <c r="F246" s="77"/>
      <c r="G246" s="26"/>
      <c r="H246" s="78"/>
      <c r="I246" s="35"/>
      <c r="J246" s="78"/>
      <c r="K246" s="6"/>
      <c r="N246" s="129" t="str">
        <f>IF(N245='Profit &amp; Loss'!N33,"P","O")</f>
        <v>P</v>
      </c>
      <c r="O246" s="129" t="str">
        <f>IF(O245='Profit &amp; Loss'!O33,"P","O")</f>
        <v>P</v>
      </c>
      <c r="P246" s="129" t="str">
        <f>IF(P245='Profit &amp; Loss'!P33,"P","O")</f>
        <v>P</v>
      </c>
      <c r="Q246" s="129" t="str">
        <f>IF(Q245='Profit &amp; Loss'!Q33,"P","O")</f>
        <v>P</v>
      </c>
      <c r="R246" s="129" t="str">
        <f>IF(R245='Profit &amp; Loss'!R33,"P","O")</f>
        <v>P</v>
      </c>
      <c r="S246" s="129" t="str">
        <f>IF(S245='Profit &amp; Loss'!S33,"P","O")</f>
        <v>P</v>
      </c>
      <c r="T246" s="129" t="str">
        <f>IF(T245='Profit &amp; Loss'!T33,"P","O")</f>
        <v>P</v>
      </c>
      <c r="U246" s="129" t="str">
        <f>IF(U245='Profit &amp; Loss'!U33,"P","O")</f>
        <v>P</v>
      </c>
      <c r="V246" s="129" t="str">
        <f>IF(V245='Profit &amp; Loss'!V33,"P","O")</f>
        <v>P</v>
      </c>
      <c r="W246" s="129" t="str">
        <f>IF(W245='Profit &amp; Loss'!W33,"P","O")</f>
        <v>P</v>
      </c>
      <c r="X246" s="129" t="str">
        <f>IF(X245='Profit &amp; Loss'!X33,"P","O")</f>
        <v>P</v>
      </c>
      <c r="Y246" s="129" t="str">
        <f>IF(Y245='Profit &amp; Loss'!Y33,"P","O")</f>
        <v>P</v>
      </c>
      <c r="Z246" s="129" t="str">
        <f>IF(Z245='Profit &amp; Loss'!Z33,"P","O")</f>
        <v>P</v>
      </c>
      <c r="AA246" s="129" t="str">
        <f>IF(AA245='Profit &amp; Loss'!AA33,"P","O")</f>
        <v>P</v>
      </c>
      <c r="AB246" s="129" t="str">
        <f>IF(AB245='Profit &amp; Loss'!AB33,"P","O")</f>
        <v>P</v>
      </c>
      <c r="AC246" s="129" t="str">
        <f>IF(AC245='Profit &amp; Loss'!AC33,"P","O")</f>
        <v>P</v>
      </c>
      <c r="AD246" s="129" t="str">
        <f>IF(AD245='Profit &amp; Loss'!AD33,"P","O")</f>
        <v>P</v>
      </c>
      <c r="AE246" s="129" t="str">
        <f>IF(AE245='Profit &amp; Loss'!AE33,"P","O")</f>
        <v>P</v>
      </c>
      <c r="AF246" s="129" t="str">
        <f>IF(AF245='Profit &amp; Loss'!AF33,"P","O")</f>
        <v>P</v>
      </c>
      <c r="AG246" s="129" t="str">
        <f>IF(AG245='Profit &amp; Loss'!AG33,"P","O")</f>
        <v>P</v>
      </c>
      <c r="AH246" s="129" t="str">
        <f>IF(AH245='Profit &amp; Loss'!AH33,"P","O")</f>
        <v>P</v>
      </c>
      <c r="AI246" s="129" t="str">
        <f>IF(AI245='Profit &amp; Loss'!AI33,"P","O")</f>
        <v>P</v>
      </c>
      <c r="AJ246" s="129" t="str">
        <f>IF(AJ245='Profit &amp; Loss'!AJ33,"P","O")</f>
        <v>P</v>
      </c>
      <c r="AK246" s="129" t="str">
        <f>IF(AK245='Profit &amp; Loss'!AK33,"P","O")</f>
        <v>P</v>
      </c>
      <c r="AL246" s="129" t="str">
        <f>IF(AL245='Profit &amp; Loss'!AL33,"P","O")</f>
        <v>P</v>
      </c>
      <c r="AM246" s="129" t="str">
        <f>IF(AM245='Profit &amp; Loss'!AM33,"P","O")</f>
        <v>P</v>
      </c>
      <c r="AN246" s="129" t="str">
        <f>IF(AN245='Profit &amp; Loss'!AN33,"P","O")</f>
        <v>P</v>
      </c>
      <c r="AO246" s="129" t="str">
        <f>IF(AO245='Profit &amp; Loss'!AO33,"P","O")</f>
        <v>P</v>
      </c>
      <c r="AP246" s="129" t="str">
        <f>IF(AP245='Profit &amp; Loss'!AP33,"P","O")</f>
        <v>P</v>
      </c>
      <c r="AQ246" s="129" t="str">
        <f>IF(AQ245='Profit &amp; Loss'!AQ33,"P","O")</f>
        <v>P</v>
      </c>
    </row>
    <row r="247" spans="1:43" x14ac:dyDescent="0.3">
      <c r="B247" s="36"/>
      <c r="H247" s="59"/>
      <c r="I247" s="68"/>
      <c r="J247" s="59"/>
    </row>
    <row r="248" spans="1:43" hidden="1" x14ac:dyDescent="0.3">
      <c r="C248" s="36" t="s">
        <v>117</v>
      </c>
      <c r="D248" s="36"/>
      <c r="E248" s="36"/>
      <c r="F248" s="61"/>
      <c r="G248" s="36"/>
      <c r="H248" s="61"/>
      <c r="I248" s="36"/>
      <c r="J248" s="61"/>
      <c r="K248" s="7"/>
    </row>
    <row r="249" spans="1:43" hidden="1" x14ac:dyDescent="0.3">
      <c r="B249" s="36"/>
    </row>
    <row r="250" spans="1:43" hidden="1" x14ac:dyDescent="0.3">
      <c r="B250" s="35"/>
      <c r="C250" s="36" t="s">
        <v>118</v>
      </c>
      <c r="D250" s="35"/>
      <c r="E250" s="35"/>
      <c r="F250" s="61"/>
      <c r="G250" s="35"/>
      <c r="H250" s="79">
        <f>IF(Cover!$R$18&gt;0,SUMIF($N$1:$AQ$1,Cover!$R$18&amp;H$6,$N250:$AQ250),SUMIF($N$4:$AQ$4,H$6,$N250:$AQ250))</f>
        <v>0</v>
      </c>
      <c r="I250" s="70"/>
      <c r="J250" s="79">
        <f>IF(Cover!$R$18&gt;0,SUMIF($N$1:$AQ$1,Cover!$R$18&amp;J$6,$N250:$AQ250),SUMIF($N$4:$AQ$4,J$6,$N250:$AQ250))</f>
        <v>0</v>
      </c>
      <c r="K250" s="5"/>
      <c r="N250" s="4">
        <v>8963.1200000000008</v>
      </c>
      <c r="O250" s="4">
        <v>-1255.8</v>
      </c>
      <c r="P250" s="4">
        <v>7508.86</v>
      </c>
      <c r="Q250" s="4">
        <v>-465.92</v>
      </c>
      <c r="R250" s="4">
        <v>129142.49</v>
      </c>
      <c r="S250" s="4">
        <v>803.46</v>
      </c>
      <c r="T250" s="4">
        <v>-17344.759999999998</v>
      </c>
      <c r="U250" s="4">
        <v>3674.15</v>
      </c>
      <c r="V250" s="4">
        <v>18244.46</v>
      </c>
      <c r="W250" s="4">
        <v>4487.76</v>
      </c>
    </row>
    <row r="251" spans="1:43" hidden="1" x14ac:dyDescent="0.3">
      <c r="B251" s="36"/>
    </row>
    <row r="252" spans="1:43" hidden="1" x14ac:dyDescent="0.3">
      <c r="B252" s="35"/>
      <c r="C252" s="36" t="s">
        <v>119</v>
      </c>
      <c r="D252" s="35"/>
      <c r="E252" s="35"/>
      <c r="F252" s="61"/>
      <c r="G252" s="35"/>
      <c r="H252" s="61"/>
      <c r="I252" s="35"/>
      <c r="J252" s="61"/>
      <c r="K252" s="5"/>
    </row>
    <row r="253" spans="1:43" hidden="1" x14ac:dyDescent="0.3">
      <c r="A253" s="4" t="s">
        <v>232</v>
      </c>
      <c r="B253" s="35"/>
      <c r="D253" s="36" t="s">
        <v>246</v>
      </c>
      <c r="E253" s="35"/>
      <c r="F253" s="61"/>
      <c r="G253" s="35"/>
      <c r="H253" s="79">
        <f>IF(Cover!$R$18&gt;0,SUMIF($N$1:$AQ$1,Cover!$R$18&amp;H$6,$N253:$AQ253),SUMIF($N$4:$AQ$4,H$6,$N253:$AQ253))</f>
        <v>0</v>
      </c>
      <c r="I253" s="70"/>
      <c r="J253" s="79">
        <f>IF(Cover!$R$18&gt;0,SUMIF($N$1:$AQ$1,Cover!$R$18&amp;J$6,$N253:$AQ253),SUMIF($N$4:$AQ$4,J$6,$N253:$AQ253))</f>
        <v>0</v>
      </c>
      <c r="K253" s="5"/>
      <c r="N253" s="4">
        <v>0</v>
      </c>
      <c r="O253" s="4">
        <v>204.01</v>
      </c>
      <c r="Q253" s="4">
        <v>261.89</v>
      </c>
      <c r="S253" s="4">
        <v>20.37</v>
      </c>
      <c r="U253" s="4">
        <v>-110.03</v>
      </c>
      <c r="W253" s="4">
        <v>-2050.5700000000002</v>
      </c>
    </row>
    <row r="254" spans="1:43" hidden="1" x14ac:dyDescent="0.3">
      <c r="B254" s="92"/>
      <c r="D254" s="93" t="s">
        <v>241</v>
      </c>
      <c r="E254" s="92"/>
      <c r="F254" s="61"/>
      <c r="G254" s="92"/>
      <c r="H254" s="79">
        <f>IF(Cover!$R$18&gt;0,SUMIF($N$1:$AQ$1,Cover!$R$18&amp;H$6,$N254:$AQ254),SUMIF($N$4:$AQ$4,H$6,$N254:$AQ254))</f>
        <v>0</v>
      </c>
      <c r="I254" s="70"/>
      <c r="J254" s="79">
        <f>IF(Cover!$R$18&gt;0,SUMIF($N$1:$AQ$1,Cover!$R$18&amp;J$6,$N254:$AQ254),SUMIF($N$4:$AQ$4,J$6,$N254:$AQ254))</f>
        <v>0</v>
      </c>
      <c r="K254" s="5"/>
      <c r="R254" s="4">
        <v>1917.27</v>
      </c>
      <c r="T254" s="4">
        <v>2067.39</v>
      </c>
      <c r="W254" s="4">
        <v>0</v>
      </c>
    </row>
    <row r="255" spans="1:43" hidden="1" x14ac:dyDescent="0.3">
      <c r="A255" s="4" t="s">
        <v>230</v>
      </c>
      <c r="B255" s="35"/>
      <c r="D255" s="36" t="s">
        <v>247</v>
      </c>
      <c r="E255" s="35"/>
      <c r="F255" s="61"/>
      <c r="G255" s="35"/>
      <c r="H255" s="79">
        <f>IF(Cover!$R$18&gt;0,SUMIF($N$1:$AQ$1,Cover!$R$18&amp;H$6,$N255:$AQ255),SUMIF($N$4:$AQ$4,H$6,$N255:$AQ255))</f>
        <v>0</v>
      </c>
      <c r="I255" s="70"/>
      <c r="J255" s="79">
        <f>IF(Cover!$R$18&gt;0,SUMIF($N$1:$AQ$1,Cover!$R$18&amp;J$6,$N255:$AQ255),SUMIF($N$4:$AQ$4,J$6,$N255:$AQ255))</f>
        <v>0</v>
      </c>
      <c r="K255" s="5"/>
      <c r="N255" s="4">
        <v>540.09</v>
      </c>
      <c r="O255" s="4">
        <v>53.73</v>
      </c>
      <c r="P255" s="4">
        <v>1064.1099999999999</v>
      </c>
      <c r="R255" s="4">
        <v>1915.85</v>
      </c>
      <c r="T255" s="4">
        <v>2381.58</v>
      </c>
      <c r="U255" s="4">
        <v>37.74</v>
      </c>
      <c r="V255" s="4">
        <v>2326.44</v>
      </c>
      <c r="W255" s="4">
        <v>18.68</v>
      </c>
    </row>
    <row r="256" spans="1:43" hidden="1" x14ac:dyDescent="0.3">
      <c r="B256" s="35"/>
      <c r="C256" s="36"/>
      <c r="D256" s="35"/>
      <c r="E256" s="35"/>
      <c r="F256" s="61"/>
      <c r="G256" s="35"/>
      <c r="H256" s="61"/>
      <c r="I256" s="35"/>
      <c r="J256" s="61"/>
      <c r="K256" s="5"/>
    </row>
    <row r="257" spans="1:43" hidden="1" x14ac:dyDescent="0.3">
      <c r="B257" s="35"/>
      <c r="C257" s="36" t="s">
        <v>120</v>
      </c>
      <c r="D257" s="35"/>
      <c r="E257" s="35"/>
      <c r="F257" s="61"/>
      <c r="G257" s="35"/>
      <c r="H257" s="61"/>
      <c r="I257" s="35"/>
      <c r="J257" s="61"/>
      <c r="K257" s="5"/>
    </row>
    <row r="258" spans="1:43" hidden="1" x14ac:dyDescent="0.3">
      <c r="B258" s="35"/>
      <c r="D258" s="36" t="s">
        <v>248</v>
      </c>
      <c r="E258" s="35"/>
      <c r="F258" s="61"/>
      <c r="G258" s="35"/>
      <c r="H258" s="79">
        <f>IF(Cover!$R$18&gt;0,SUMIF($N$1:$AQ$1,Cover!$R$18&amp;H$6,$N258:$AQ258),SUMIF($N$4:$AQ$4,H$6,$N258:$AQ258))</f>
        <v>0</v>
      </c>
      <c r="I258" s="70"/>
      <c r="J258" s="79">
        <f>IF(Cover!$R$18&gt;0,SUMIF($N$1:$AQ$1,Cover!$R$18&amp;J$6,$N258:$AQ258),SUMIF($N$4:$AQ$4,J$6,$N258:$AQ258))</f>
        <v>0</v>
      </c>
      <c r="K258" s="5"/>
      <c r="N258" s="4">
        <v>-300</v>
      </c>
      <c r="O258" s="4">
        <v>-75</v>
      </c>
      <c r="R258" s="4">
        <v>-128850</v>
      </c>
      <c r="S258" s="4">
        <v>-22.92</v>
      </c>
    </row>
    <row r="259" spans="1:43" hidden="1" x14ac:dyDescent="0.3">
      <c r="B259" s="35"/>
      <c r="C259" s="36"/>
      <c r="D259" s="36" t="s">
        <v>239</v>
      </c>
      <c r="E259" s="35"/>
      <c r="F259" s="61"/>
      <c r="G259" s="35"/>
      <c r="H259" s="79">
        <f>IF(Cover!$R$18&gt;0,SUMIF($N$1:$AQ$1,Cover!$R$18&amp;H$6,$N259:$AQ259),SUMIF($N$4:$AQ$4,H$6,$N259:$AQ259))</f>
        <v>0</v>
      </c>
      <c r="I259" s="70"/>
      <c r="J259" s="79">
        <f>IF(Cover!$R$18&gt;0,SUMIF($N$1:$AQ$1,Cover!$R$18&amp;J$6,$N259:$AQ259),SUMIF($N$4:$AQ$4,J$6,$N259:$AQ259))</f>
        <v>0</v>
      </c>
      <c r="K259" s="5"/>
      <c r="N259" s="4">
        <v>-789.54</v>
      </c>
      <c r="O259" s="4">
        <v>0</v>
      </c>
    </row>
    <row r="260" spans="1:43" hidden="1" x14ac:dyDescent="0.3">
      <c r="A260" s="4" t="s">
        <v>230</v>
      </c>
      <c r="B260" s="35"/>
      <c r="D260" s="36" t="s">
        <v>249</v>
      </c>
      <c r="E260" s="35"/>
      <c r="F260" s="61"/>
      <c r="G260" s="35"/>
      <c r="H260" s="79">
        <f>IF(Cover!$R$18&gt;0,SUMIF($N$1:$AQ$1,Cover!$R$18&amp;H$6,$N260:$AQ260),SUMIF($N$4:$AQ$4,H$6,$N260:$AQ260))</f>
        <v>0</v>
      </c>
      <c r="I260" s="70"/>
      <c r="J260" s="79">
        <f>IF(Cover!$R$18&gt;0,SUMIF($N$1:$AQ$1,Cover!$R$18&amp;J$6,$N260:$AQ260),SUMIF($N$4:$AQ$4,J$6,$N260:$AQ260))</f>
        <v>0</v>
      </c>
      <c r="K260" s="5"/>
      <c r="N260" s="4">
        <v>-3600.62</v>
      </c>
      <c r="O260" s="4">
        <v>-358.23</v>
      </c>
      <c r="P260" s="4">
        <v>-7094.04</v>
      </c>
      <c r="R260" s="4">
        <v>-12772.32</v>
      </c>
      <c r="T260" s="4">
        <v>-15877.17</v>
      </c>
      <c r="U260" s="4">
        <v>-251.6</v>
      </c>
      <c r="V260" s="4">
        <v>-15509.62</v>
      </c>
      <c r="W260" s="4">
        <v>-124.5</v>
      </c>
    </row>
    <row r="261" spans="1:43" hidden="1" x14ac:dyDescent="0.3">
      <c r="A261" s="4" t="s">
        <v>231</v>
      </c>
      <c r="B261" s="35"/>
      <c r="D261" s="36" t="s">
        <v>250</v>
      </c>
      <c r="E261" s="35"/>
      <c r="F261" s="61"/>
      <c r="G261" s="35"/>
      <c r="H261" s="79">
        <f>IF(Cover!$R$18&gt;0,SUMIF($N$1:$AQ$1,Cover!$R$18&amp;H$6,$N261:$AQ261),SUMIF($N$4:$AQ$4,H$6,$N261:$AQ261))</f>
        <v>0</v>
      </c>
      <c r="I261" s="70"/>
      <c r="J261" s="79">
        <f>IF(Cover!$R$18&gt;0,SUMIF($N$1:$AQ$1,Cover!$R$18&amp;J$6,$N261:$AQ261),SUMIF($N$4:$AQ$4,J$6,$N261:$AQ261))</f>
        <v>0</v>
      </c>
      <c r="K261" s="5"/>
      <c r="N261" s="4">
        <v>0</v>
      </c>
      <c r="O261" s="4">
        <v>0.8</v>
      </c>
      <c r="P261" s="4">
        <v>-0.5</v>
      </c>
      <c r="Q261" s="4">
        <v>-0.21</v>
      </c>
      <c r="S261" s="4">
        <v>-0.13</v>
      </c>
      <c r="U261" s="4">
        <v>-0.12</v>
      </c>
      <c r="W261" s="4">
        <v>0</v>
      </c>
    </row>
    <row r="262" spans="1:43" hidden="1" x14ac:dyDescent="0.3">
      <c r="B262" s="35"/>
      <c r="C262" s="36"/>
      <c r="D262" s="36" t="s">
        <v>241</v>
      </c>
      <c r="E262" s="35"/>
      <c r="F262" s="61"/>
      <c r="G262" s="35"/>
      <c r="H262" s="79">
        <f>IF(Cover!$R$18&gt;0,SUMIF($N$1:$AQ$1,Cover!$R$18&amp;H$6,$N262:$AQ262),SUMIF($N$4:$AQ$4,H$6,$N262:$AQ262))</f>
        <v>0</v>
      </c>
      <c r="I262" s="70"/>
      <c r="J262" s="79">
        <f>IF(Cover!$R$18&gt;0,SUMIF($N$1:$AQ$1,Cover!$R$18&amp;J$6,$N262:$AQ262),SUMIF($N$4:$AQ$4,J$6,$N262:$AQ262))</f>
        <v>0</v>
      </c>
      <c r="K262" s="5"/>
      <c r="N262" s="4">
        <v>-2321.96</v>
      </c>
      <c r="P262" s="4">
        <v>-1662.69</v>
      </c>
    </row>
    <row r="263" spans="1:43" hidden="1" x14ac:dyDescent="0.3">
      <c r="B263" s="35"/>
      <c r="C263" s="36"/>
      <c r="D263" s="36" t="s">
        <v>240</v>
      </c>
      <c r="E263" s="35"/>
      <c r="F263" s="61"/>
      <c r="G263" s="35"/>
      <c r="H263" s="79">
        <f>IF(Cover!$R$18&gt;0,SUMIF($N$1:$AQ$1,Cover!$R$18&amp;H$6,$N263:$AQ263),SUMIF($N$4:$AQ$4,H$6,$N263:$AQ263))</f>
        <v>0</v>
      </c>
      <c r="I263" s="70"/>
      <c r="J263" s="79">
        <f>IF(Cover!$R$18&gt;0,SUMIF($N$1:$AQ$1,Cover!$R$18&amp;J$6,$N263:$AQ263),SUMIF($N$4:$AQ$4,J$6,$N263:$AQ263))</f>
        <v>0</v>
      </c>
      <c r="K263" s="5"/>
      <c r="N263" s="4">
        <v>-6091.73</v>
      </c>
      <c r="P263" s="4">
        <v>-6910.27</v>
      </c>
      <c r="R263" s="4">
        <v>-4125.6000000000004</v>
      </c>
      <c r="T263" s="4">
        <v>11575.47</v>
      </c>
      <c r="V263" s="4">
        <v>-16076.96</v>
      </c>
    </row>
    <row r="264" spans="1:43" hidden="1" x14ac:dyDescent="0.3">
      <c r="B264" s="35"/>
      <c r="D264" s="36" t="s">
        <v>245</v>
      </c>
      <c r="E264" s="35"/>
      <c r="F264" s="61"/>
      <c r="G264" s="35"/>
      <c r="H264" s="79">
        <f>IF(Cover!$R$18&gt;0,SUMIF($N$1:$AQ$1,Cover!$R$18&amp;H$6,$N264:$AQ264),SUMIF($N$4:$AQ$4,H$6,$N264:$AQ264))</f>
        <v>0</v>
      </c>
      <c r="I264" s="70"/>
      <c r="J264" s="79">
        <f>IF(Cover!$R$18&gt;0,SUMIF($N$1:$AQ$1,Cover!$R$18&amp;J$6,$N264:$AQ264),SUMIF($N$4:$AQ$4,J$6,$N264:$AQ264))</f>
        <v>0</v>
      </c>
      <c r="K264" s="5"/>
      <c r="O264" s="4">
        <v>-306.02</v>
      </c>
      <c r="Q264" s="4">
        <v>-392.83</v>
      </c>
      <c r="S264" s="4">
        <v>-30.56</v>
      </c>
      <c r="T264" s="4">
        <v>1320.35</v>
      </c>
      <c r="U264" s="4">
        <v>165.04</v>
      </c>
      <c r="V264" s="4">
        <v>-4493.92</v>
      </c>
      <c r="W264" s="4">
        <v>3075.87</v>
      </c>
    </row>
    <row r="265" spans="1:43" ht="15" hidden="1" thickBot="1" x14ac:dyDescent="0.35">
      <c r="B265" s="35"/>
      <c r="C265" s="36" t="s">
        <v>116</v>
      </c>
      <c r="D265" s="35"/>
      <c r="E265" s="35"/>
      <c r="F265" s="61"/>
      <c r="G265" s="35"/>
      <c r="H265" s="91">
        <f>H250+SUM(H253:H255)+SUM(H258:H264)</f>
        <v>0</v>
      </c>
      <c r="I265" s="35"/>
      <c r="J265" s="91">
        <f>J250+SUM(J253:J255)+SUM(J258:J264)</f>
        <v>0</v>
      </c>
      <c r="K265" s="5"/>
      <c r="N265" s="4">
        <f>N250+SUM(N253:N255)+SUM(N258:N264)</f>
        <v>-3600.6399999999976</v>
      </c>
      <c r="O265" s="4">
        <f t="shared" ref="O265:AQ265" si="32">O250+SUM(O253:O255)+SUM(O258:O264)</f>
        <v>-1736.51</v>
      </c>
      <c r="P265" s="4">
        <f t="shared" si="32"/>
        <v>-7094.5300000000007</v>
      </c>
      <c r="Q265" s="4">
        <f t="shared" si="32"/>
        <v>-597.06999999999994</v>
      </c>
      <c r="R265" s="4">
        <f t="shared" si="32"/>
        <v>-12772.309999999998</v>
      </c>
      <c r="S265" s="4">
        <f t="shared" si="32"/>
        <v>770.22</v>
      </c>
      <c r="T265" s="4">
        <f t="shared" si="32"/>
        <v>-15877.14</v>
      </c>
      <c r="U265" s="4">
        <f t="shared" si="32"/>
        <v>3515.1800000000003</v>
      </c>
      <c r="V265" s="4">
        <f t="shared" si="32"/>
        <v>-15509.600000000002</v>
      </c>
      <c r="W265" s="4">
        <f t="shared" si="32"/>
        <v>5407.24</v>
      </c>
      <c r="X265" s="4">
        <f t="shared" si="32"/>
        <v>0</v>
      </c>
      <c r="Y265" s="4">
        <f t="shared" si="32"/>
        <v>0</v>
      </c>
      <c r="Z265" s="4">
        <f t="shared" si="32"/>
        <v>0</v>
      </c>
      <c r="AA265" s="4">
        <f t="shared" si="32"/>
        <v>0</v>
      </c>
      <c r="AB265" s="4">
        <f t="shared" si="32"/>
        <v>0</v>
      </c>
      <c r="AC265" s="4">
        <f t="shared" si="32"/>
        <v>0</v>
      </c>
      <c r="AD265" s="4">
        <f t="shared" si="32"/>
        <v>0</v>
      </c>
      <c r="AE265" s="4">
        <f t="shared" si="32"/>
        <v>0</v>
      </c>
      <c r="AF265" s="4">
        <f t="shared" si="32"/>
        <v>0</v>
      </c>
      <c r="AG265" s="4">
        <f t="shared" si="32"/>
        <v>0</v>
      </c>
      <c r="AH265" s="4">
        <f t="shared" si="32"/>
        <v>0</v>
      </c>
      <c r="AI265" s="4">
        <f t="shared" si="32"/>
        <v>0</v>
      </c>
      <c r="AJ265" s="4">
        <f t="shared" si="32"/>
        <v>0</v>
      </c>
      <c r="AK265" s="4">
        <f t="shared" si="32"/>
        <v>0</v>
      </c>
      <c r="AL265" s="4">
        <f t="shared" si="32"/>
        <v>0</v>
      </c>
      <c r="AM265" s="4">
        <f t="shared" si="32"/>
        <v>0</v>
      </c>
      <c r="AN265" s="4">
        <f t="shared" si="32"/>
        <v>0</v>
      </c>
      <c r="AO265" s="4">
        <f t="shared" si="32"/>
        <v>0</v>
      </c>
      <c r="AP265" s="4">
        <f t="shared" si="32"/>
        <v>0</v>
      </c>
      <c r="AQ265" s="4">
        <f t="shared" si="32"/>
        <v>0</v>
      </c>
    </row>
    <row r="266" spans="1:43" ht="15" hidden="1" thickTop="1" x14ac:dyDescent="0.3">
      <c r="B266" s="26"/>
      <c r="C266" s="28"/>
      <c r="D266" s="26"/>
      <c r="E266" s="26"/>
      <c r="F266" s="77"/>
      <c r="G266" s="26"/>
      <c r="H266" s="78"/>
      <c r="I266" s="35"/>
      <c r="J266" s="78"/>
      <c r="K266" s="6"/>
    </row>
    <row r="267" spans="1:43" hidden="1" x14ac:dyDescent="0.3">
      <c r="B267" s="36"/>
      <c r="H267" s="59"/>
      <c r="I267" s="68"/>
      <c r="J267" s="59"/>
    </row>
    <row r="268" spans="1:43" hidden="1" x14ac:dyDescent="0.3">
      <c r="B268" s="29">
        <v>11</v>
      </c>
      <c r="C268" s="29" t="s">
        <v>121</v>
      </c>
      <c r="D268" s="29"/>
      <c r="E268" s="29"/>
      <c r="F268" s="58"/>
      <c r="G268" s="29"/>
      <c r="H268" s="58"/>
      <c r="I268" s="29"/>
      <c r="J268" s="58"/>
      <c r="K268" s="34"/>
    </row>
    <row r="269" spans="1:43" hidden="1" x14ac:dyDescent="0.3">
      <c r="B269" s="29"/>
    </row>
    <row r="270" spans="1:43" s="31" customFormat="1" ht="39.6" hidden="1" x14ac:dyDescent="0.3">
      <c r="B270" s="138"/>
      <c r="C270" s="140"/>
      <c r="D270" s="5"/>
      <c r="E270" s="5"/>
      <c r="F270" s="40" t="s">
        <v>235</v>
      </c>
      <c r="G270" s="5"/>
      <c r="H270" s="40" t="s">
        <v>236</v>
      </c>
      <c r="I270" s="5"/>
      <c r="J270" s="40" t="s">
        <v>237</v>
      </c>
      <c r="K270" s="5"/>
    </row>
    <row r="271" spans="1:43" hidden="1" x14ac:dyDescent="0.3">
      <c r="B271" s="138"/>
      <c r="C271" s="140"/>
      <c r="D271" s="35"/>
      <c r="E271" s="35"/>
      <c r="F271" s="61"/>
      <c r="G271" s="35"/>
      <c r="H271" s="61"/>
      <c r="I271" s="35"/>
      <c r="J271" s="61"/>
      <c r="K271" s="5"/>
    </row>
    <row r="272" spans="1:43" hidden="1" x14ac:dyDescent="0.3">
      <c r="B272" s="35"/>
      <c r="C272" s="29" t="s">
        <v>123</v>
      </c>
      <c r="D272" s="37"/>
      <c r="E272" s="37"/>
      <c r="F272" s="58"/>
      <c r="G272" s="37"/>
      <c r="H272" s="58"/>
      <c r="I272" s="37"/>
      <c r="J272" s="58"/>
      <c r="K272" s="8"/>
    </row>
    <row r="273" spans="2:11" hidden="1" x14ac:dyDescent="0.3">
      <c r="B273" s="35"/>
      <c r="C273" s="36"/>
      <c r="D273" s="35"/>
      <c r="E273" s="35"/>
      <c r="F273" s="61"/>
      <c r="G273" s="35"/>
      <c r="H273" s="61"/>
      <c r="I273" s="35"/>
      <c r="J273" s="61"/>
      <c r="K273" s="5"/>
    </row>
    <row r="274" spans="2:11" hidden="1" x14ac:dyDescent="0.3">
      <c r="B274" s="35"/>
      <c r="C274" s="36" t="s">
        <v>2</v>
      </c>
      <c r="D274" s="35"/>
      <c r="E274" s="35"/>
      <c r="F274" s="61">
        <f>J279</f>
        <v>110.03</v>
      </c>
      <c r="G274" s="92"/>
      <c r="H274" s="61">
        <v>2050.5700000000002</v>
      </c>
      <c r="I274" s="70"/>
      <c r="J274" s="61">
        <f>F274+H274</f>
        <v>2160.6000000000004</v>
      </c>
      <c r="K274" s="5"/>
    </row>
    <row r="275" spans="2:11" hidden="1" x14ac:dyDescent="0.3">
      <c r="B275" s="35"/>
      <c r="C275" s="36" t="s">
        <v>15</v>
      </c>
      <c r="D275" s="35"/>
      <c r="E275" s="35"/>
      <c r="F275" s="61">
        <f>J280</f>
        <v>5751.65</v>
      </c>
      <c r="G275" s="92"/>
      <c r="H275" s="61">
        <v>-4615.33</v>
      </c>
      <c r="I275" s="70"/>
      <c r="J275" s="98">
        <f>F275+H275</f>
        <v>1136.3199999999997</v>
      </c>
      <c r="K275" s="5"/>
    </row>
    <row r="276" spans="2:11" ht="15" hidden="1" thickBot="1" x14ac:dyDescent="0.35">
      <c r="B276" s="35"/>
      <c r="C276" s="29" t="s">
        <v>275</v>
      </c>
      <c r="D276" s="37"/>
      <c r="E276" s="37"/>
      <c r="F276" s="91">
        <f>SUM(F274:F275)</f>
        <v>5861.6799999999994</v>
      </c>
      <c r="G276" s="94"/>
      <c r="H276" s="91">
        <f>SUM(H274:H275)</f>
        <v>-2564.7599999999998</v>
      </c>
      <c r="I276" s="92"/>
      <c r="J276" s="91">
        <f>SUM(J274:J275)</f>
        <v>3296.92</v>
      </c>
      <c r="K276" s="8"/>
    </row>
    <row r="277" spans="2:11" ht="15" hidden="1" thickTop="1" x14ac:dyDescent="0.3">
      <c r="B277" s="26"/>
      <c r="C277" s="28"/>
      <c r="D277" s="26"/>
      <c r="E277" s="26"/>
      <c r="F277" s="78"/>
      <c r="G277" s="26"/>
      <c r="H277" s="78"/>
      <c r="I277" s="92"/>
      <c r="J277" s="78"/>
      <c r="K277" s="6"/>
    </row>
    <row r="278" spans="2:11" hidden="1" x14ac:dyDescent="0.3">
      <c r="B278" s="35"/>
      <c r="C278" s="36"/>
      <c r="D278" s="35"/>
      <c r="E278" s="35"/>
      <c r="F278" s="78"/>
      <c r="G278" s="64"/>
      <c r="H278" s="78"/>
      <c r="I278" s="64"/>
      <c r="J278" s="78"/>
      <c r="K278" s="5"/>
    </row>
    <row r="279" spans="2:11" hidden="1" x14ac:dyDescent="0.3">
      <c r="B279" s="35"/>
      <c r="C279" s="36" t="s">
        <v>2</v>
      </c>
      <c r="D279" s="35"/>
      <c r="E279" s="35"/>
      <c r="F279" s="61">
        <f>J284</f>
        <v>0</v>
      </c>
      <c r="G279" s="92"/>
      <c r="H279" s="61">
        <v>110.03</v>
      </c>
      <c r="I279" s="70"/>
      <c r="J279" s="61">
        <f>F279+H279</f>
        <v>110.03</v>
      </c>
      <c r="K279" s="5"/>
    </row>
    <row r="280" spans="2:11" hidden="1" x14ac:dyDescent="0.3">
      <c r="B280" s="35"/>
      <c r="C280" s="36" t="s">
        <v>15</v>
      </c>
      <c r="D280" s="35"/>
      <c r="E280" s="35"/>
      <c r="F280" s="61">
        <v>6635.94</v>
      </c>
      <c r="G280" s="92"/>
      <c r="H280" s="61">
        <v>-884.29</v>
      </c>
      <c r="I280" s="70"/>
      <c r="J280" s="61">
        <f>F280+H280</f>
        <v>5751.65</v>
      </c>
      <c r="K280" s="5"/>
    </row>
    <row r="281" spans="2:11" ht="15" hidden="1" thickBot="1" x14ac:dyDescent="0.35">
      <c r="B281" s="35"/>
      <c r="C281" s="29" t="s">
        <v>261</v>
      </c>
      <c r="D281" s="37"/>
      <c r="E281" s="37"/>
      <c r="F281" s="91">
        <f>SUM(F279:F280)</f>
        <v>6635.94</v>
      </c>
      <c r="G281" s="94"/>
      <c r="H281" s="91">
        <f>SUM(H279:H280)</f>
        <v>-774.26</v>
      </c>
      <c r="I281" s="92"/>
      <c r="J281" s="91">
        <f>SUM(J279:J280)</f>
        <v>5861.6799999999994</v>
      </c>
      <c r="K281" s="8"/>
    </row>
    <row r="282" spans="2:11" ht="15" hidden="1" thickTop="1" x14ac:dyDescent="0.3">
      <c r="B282" s="26"/>
      <c r="C282" s="28"/>
      <c r="D282" s="26"/>
      <c r="E282" s="26"/>
      <c r="F282" s="78"/>
      <c r="G282" s="26"/>
      <c r="H282" s="78"/>
      <c r="I282" s="35"/>
      <c r="J282" s="78"/>
      <c r="K282" s="6"/>
    </row>
    <row r="283" spans="2:11" hidden="1" x14ac:dyDescent="0.3">
      <c r="B283" s="28"/>
      <c r="F283" s="59"/>
      <c r="G283" s="68"/>
      <c r="H283" s="59"/>
      <c r="I283" s="68"/>
      <c r="J283" s="59"/>
    </row>
  </sheetData>
  <mergeCells count="38">
    <mergeCell ref="B1:J1"/>
    <mergeCell ref="B3:J3"/>
    <mergeCell ref="B270:B271"/>
    <mergeCell ref="C270:C271"/>
    <mergeCell ref="C12:J12"/>
    <mergeCell ref="C14:J14"/>
    <mergeCell ref="C16:J16"/>
    <mergeCell ref="C17:J17"/>
    <mergeCell ref="D47:J47"/>
    <mergeCell ref="E23:J23"/>
    <mergeCell ref="E25:J25"/>
    <mergeCell ref="D27:J27"/>
    <mergeCell ref="E31:J31"/>
    <mergeCell ref="C152:J152"/>
    <mergeCell ref="B4:J4"/>
    <mergeCell ref="E33:J33"/>
    <mergeCell ref="E35:J35"/>
    <mergeCell ref="E37:J37"/>
    <mergeCell ref="D39:J39"/>
    <mergeCell ref="D41:J41"/>
    <mergeCell ref="D43:J43"/>
    <mergeCell ref="D93:J93"/>
    <mergeCell ref="D71:J71"/>
    <mergeCell ref="D73:J73"/>
    <mergeCell ref="D75:J75"/>
    <mergeCell ref="D77:J77"/>
    <mergeCell ref="D91:J91"/>
    <mergeCell ref="D89:J89"/>
    <mergeCell ref="D79:J79"/>
    <mergeCell ref="D81:J81"/>
    <mergeCell ref="D83:J83"/>
    <mergeCell ref="E87:J87"/>
    <mergeCell ref="E85:J85"/>
    <mergeCell ref="D54:J54"/>
    <mergeCell ref="D60:J60"/>
    <mergeCell ref="D63:J63"/>
    <mergeCell ref="D67:J67"/>
    <mergeCell ref="D57:J57"/>
  </mergeCells>
  <pageMargins left="0.70866141732283472" right="0.70866141732283472" top="0.74803149606299213" bottom="0.74803149606299213" header="0.31496062992125984" footer="0.31496062992125984"/>
  <pageSetup paperSize="9" orientation="portrait" r:id="rId1"/>
  <headerFooter>
    <oddHeader>&amp;RPage &amp;P</oddHeader>
    <oddFooter>&amp;C&amp;8These notes should be read in conjunction with the following compilation report of Best Tax Strategies</oddFooter>
  </headerFooter>
  <rowBreaks count="5" manualBreakCount="5">
    <brk id="64" max="16383" man="1"/>
    <brk id="88" max="16383" man="1"/>
    <brk id="138" max="16383" man="1"/>
    <brk id="191" max="16383" man="1"/>
    <brk id="3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topLeftCell="B16" workbookViewId="0">
      <selection activeCell="R18" sqref="R18"/>
    </sheetView>
  </sheetViews>
  <sheetFormatPr defaultColWidth="9.109375" defaultRowHeight="14.4" x14ac:dyDescent="0.3"/>
  <cols>
    <col min="1" max="1" width="0" style="4" hidden="1" customWidth="1"/>
    <col min="2" max="4" width="3.33203125" style="51" customWidth="1"/>
    <col min="5" max="5" width="41" style="51" customWidth="1"/>
    <col min="6" max="6" width="10.6640625" style="71" customWidth="1"/>
    <col min="7" max="7" width="2" style="51" customWidth="1"/>
    <col min="8" max="8" width="10.6640625" style="71" customWidth="1"/>
    <col min="9" max="9" width="2" style="51" customWidth="1"/>
    <col min="10" max="10" width="10.6640625" style="71" customWidth="1"/>
    <col min="11" max="16384" width="9.109375" style="4"/>
  </cols>
  <sheetData>
    <row r="1" spans="2:15" s="1" customFormat="1" ht="15.6" x14ac:dyDescent="0.3">
      <c r="B1" s="136" t="str">
        <f>Cover!$B$22</f>
        <v>Infensus Superannuation Fund</v>
      </c>
      <c r="C1" s="136"/>
      <c r="D1" s="136"/>
      <c r="E1" s="136"/>
      <c r="F1" s="136"/>
      <c r="G1" s="136"/>
      <c r="H1" s="136"/>
      <c r="I1" s="136"/>
      <c r="J1" s="136"/>
    </row>
    <row r="2" spans="2:15" s="1" customFormat="1" x14ac:dyDescent="0.3">
      <c r="B2" s="73"/>
      <c r="C2" s="42"/>
      <c r="D2" s="42"/>
      <c r="E2" s="42"/>
      <c r="F2" s="74"/>
      <c r="G2" s="42"/>
      <c r="H2" s="74"/>
      <c r="I2" s="42"/>
      <c r="J2" s="74"/>
    </row>
    <row r="3" spans="2:15" s="1" customFormat="1" ht="15.6" x14ac:dyDescent="0.3">
      <c r="B3" s="136" t="s">
        <v>13</v>
      </c>
      <c r="C3" s="136"/>
      <c r="D3" s="136"/>
      <c r="E3" s="136"/>
      <c r="F3" s="136"/>
      <c r="G3" s="136"/>
      <c r="H3" s="136"/>
      <c r="I3" s="136"/>
      <c r="J3" s="136"/>
    </row>
    <row r="4" spans="2:15" s="1" customFormat="1" ht="15.6" x14ac:dyDescent="0.3">
      <c r="B4" s="137"/>
      <c r="C4" s="137"/>
      <c r="D4" s="137"/>
      <c r="E4" s="137"/>
      <c r="F4" s="137"/>
      <c r="G4" s="137"/>
      <c r="H4" s="137"/>
      <c r="I4" s="137"/>
      <c r="J4" s="137"/>
    </row>
    <row r="6" spans="2:15" s="33" customFormat="1" ht="45" customHeight="1" x14ac:dyDescent="0.3">
      <c r="B6" s="138" t="s">
        <v>124</v>
      </c>
      <c r="C6" s="138"/>
      <c r="D6" s="138"/>
      <c r="E6" s="138"/>
      <c r="F6" s="138"/>
      <c r="G6" s="138"/>
      <c r="H6" s="138"/>
      <c r="I6" s="138"/>
      <c r="J6" s="138"/>
      <c r="K6" s="31"/>
      <c r="L6" s="32"/>
      <c r="N6" s="32"/>
    </row>
    <row r="7" spans="2:15" x14ac:dyDescent="0.3">
      <c r="B7" s="36"/>
      <c r="K7" s="1"/>
      <c r="L7" s="27"/>
      <c r="M7" s="3"/>
      <c r="N7" s="2"/>
      <c r="O7" s="3"/>
    </row>
    <row r="8" spans="2:15" x14ac:dyDescent="0.3">
      <c r="B8" s="138" t="s">
        <v>125</v>
      </c>
      <c r="C8" s="138"/>
      <c r="D8" s="138"/>
      <c r="E8" s="138"/>
      <c r="F8" s="138"/>
      <c r="G8" s="138"/>
      <c r="H8" s="138"/>
      <c r="I8" s="138"/>
      <c r="J8" s="138"/>
      <c r="K8" s="1"/>
      <c r="L8" s="2"/>
      <c r="M8" s="3"/>
      <c r="N8" s="2"/>
      <c r="O8" s="3"/>
    </row>
    <row r="9" spans="2:15" x14ac:dyDescent="0.3">
      <c r="B9" s="36"/>
      <c r="K9" s="1"/>
      <c r="L9" s="2"/>
      <c r="M9" s="3"/>
      <c r="N9" s="2"/>
      <c r="O9" s="3"/>
    </row>
    <row r="10" spans="2:15" ht="59.25" customHeight="1" x14ac:dyDescent="0.3">
      <c r="B10" s="36" t="s">
        <v>126</v>
      </c>
      <c r="C10" s="138" t="str">
        <f>"the financial statements and notes to the financial statements for the year ended 30 June "&amp;Cover!B26&amp;" present fairly, in all material respects, the financial position of the superannuation fund at 30 June "&amp;Cover!B26&amp;" and the results of its operations for the year then ended in accordance with the accounting policies described in Note 1 to the financial statements;"</f>
        <v>the financial statements and notes to the financial statements for the year ended 30 June 2023 present fairly, in all material respects, the financial position of the superannuation fund at 30 June 2023 and the results of its operations for the year then ended in accordance with the accounting policies described in Note 1 to the financial statements;</v>
      </c>
      <c r="D10" s="138"/>
      <c r="E10" s="138"/>
      <c r="F10" s="138"/>
      <c r="G10" s="138"/>
      <c r="H10" s="138"/>
      <c r="I10" s="138"/>
      <c r="J10" s="138"/>
      <c r="K10" s="7"/>
      <c r="L10" s="2"/>
      <c r="M10" s="3"/>
      <c r="N10" s="2"/>
      <c r="O10" s="3"/>
    </row>
    <row r="11" spans="2:15" x14ac:dyDescent="0.3">
      <c r="B11" s="36"/>
      <c r="K11" s="1"/>
      <c r="L11" s="2"/>
      <c r="M11" s="3"/>
      <c r="N11" s="2"/>
      <c r="O11" s="3"/>
    </row>
    <row r="12" spans="2:15" ht="30" customHeight="1" x14ac:dyDescent="0.3">
      <c r="B12" s="36" t="s">
        <v>127</v>
      </c>
      <c r="C12" s="138" t="s">
        <v>128</v>
      </c>
      <c r="D12" s="138"/>
      <c r="E12" s="138"/>
      <c r="F12" s="138"/>
      <c r="G12" s="138"/>
      <c r="H12" s="138"/>
      <c r="I12" s="138"/>
      <c r="J12" s="138"/>
      <c r="K12" s="7"/>
      <c r="L12" s="2"/>
      <c r="M12" s="3"/>
      <c r="N12" s="2"/>
      <c r="O12" s="3"/>
    </row>
    <row r="13" spans="2:15" x14ac:dyDescent="0.3">
      <c r="B13" s="36"/>
      <c r="K13" s="1"/>
      <c r="L13" s="2"/>
      <c r="M13" s="3"/>
      <c r="N13" s="2"/>
      <c r="O13" s="3"/>
    </row>
    <row r="14" spans="2:15" ht="44.25" customHeight="1" x14ac:dyDescent="0.3">
      <c r="B14" s="36" t="s">
        <v>129</v>
      </c>
      <c r="C14" s="138" t="str">
        <f>"the operation of the superannuation fund has been carried out in accordance with its trust deed and in compliance with the requirements of the Superannuation Industry (Supervision) Act 1993 and associated Regulations during the year ended 30 June "&amp;Cover!B26&amp;"."</f>
        <v>the operation of the superannuation fund has been carried out in accordance with its trust deed and in compliance with the requirements of the Superannuation Industry (Supervision) Act 1993 and associated Regulations during the year ended 30 June 2023.</v>
      </c>
      <c r="D14" s="138"/>
      <c r="E14" s="138"/>
      <c r="F14" s="138"/>
      <c r="G14" s="138"/>
      <c r="H14" s="138"/>
      <c r="I14" s="138"/>
      <c r="J14" s="138"/>
      <c r="K14" s="7"/>
      <c r="L14" s="2"/>
      <c r="M14" s="3"/>
      <c r="N14" s="2"/>
      <c r="O14" s="3"/>
    </row>
    <row r="15" spans="2:15" x14ac:dyDescent="0.3">
      <c r="B15" s="36"/>
      <c r="K15" s="1"/>
      <c r="L15" s="2"/>
      <c r="M15" s="3"/>
      <c r="N15" s="2"/>
      <c r="O15" s="3"/>
    </row>
    <row r="16" spans="2:15" x14ac:dyDescent="0.3">
      <c r="B16" s="140" t="s">
        <v>130</v>
      </c>
      <c r="C16" s="140"/>
      <c r="D16" s="140"/>
      <c r="E16" s="140"/>
      <c r="F16" s="140"/>
      <c r="G16" s="140"/>
      <c r="H16" s="140"/>
      <c r="I16" s="140"/>
      <c r="J16" s="140"/>
      <c r="K16" s="1"/>
      <c r="L16" s="2"/>
      <c r="M16" s="3"/>
      <c r="N16" s="2"/>
      <c r="O16" s="3"/>
    </row>
    <row r="17" spans="2:15" x14ac:dyDescent="0.3">
      <c r="B17" s="36"/>
      <c r="K17" s="1"/>
      <c r="L17" s="2"/>
      <c r="M17" s="3"/>
      <c r="N17" s="2"/>
      <c r="O17" s="3"/>
    </row>
    <row r="18" spans="2:15" x14ac:dyDescent="0.3">
      <c r="B18" s="36"/>
      <c r="K18" s="1"/>
      <c r="L18" s="2"/>
      <c r="M18" s="3"/>
      <c r="N18" s="2"/>
      <c r="O18" s="3"/>
    </row>
    <row r="19" spans="2:15" x14ac:dyDescent="0.3">
      <c r="B19" s="36"/>
      <c r="K19" s="1"/>
      <c r="L19" s="2"/>
      <c r="M19" s="3"/>
      <c r="N19" s="2"/>
      <c r="O19" s="3"/>
    </row>
    <row r="20" spans="2:15" x14ac:dyDescent="0.3">
      <c r="B20" s="36"/>
      <c r="K20" s="1"/>
      <c r="L20" s="2"/>
      <c r="M20" s="3"/>
      <c r="N20" s="2"/>
      <c r="O20" s="3"/>
    </row>
    <row r="21" spans="2:15" x14ac:dyDescent="0.3">
      <c r="B21" s="36"/>
      <c r="K21" s="1"/>
      <c r="L21" s="2"/>
      <c r="M21" s="3"/>
      <c r="N21" s="2"/>
      <c r="O21" s="3"/>
    </row>
    <row r="22" spans="2:15" x14ac:dyDescent="0.3">
      <c r="B22" s="36" t="s">
        <v>131</v>
      </c>
      <c r="K22" s="1"/>
      <c r="L22" s="2"/>
      <c r="M22" s="3"/>
      <c r="N22" s="2"/>
      <c r="O22" s="3"/>
    </row>
    <row r="23" spans="2:15" x14ac:dyDescent="0.3">
      <c r="B23" s="36" t="s">
        <v>132</v>
      </c>
      <c r="K23" s="1"/>
      <c r="L23" s="2"/>
      <c r="M23" s="3"/>
      <c r="N23" s="2"/>
      <c r="O23" s="3"/>
    </row>
    <row r="24" spans="2:15" x14ac:dyDescent="0.3">
      <c r="B24" s="36"/>
      <c r="K24" s="1"/>
      <c r="L24" s="2"/>
      <c r="M24" s="3"/>
      <c r="N24" s="2"/>
      <c r="O24" s="3"/>
    </row>
    <row r="25" spans="2:15" x14ac:dyDescent="0.3">
      <c r="B25" s="36"/>
      <c r="K25" s="1"/>
      <c r="L25" s="2"/>
      <c r="M25" s="3"/>
      <c r="N25" s="2"/>
      <c r="O25" s="3"/>
    </row>
    <row r="26" spans="2:15" x14ac:dyDescent="0.3">
      <c r="B26" s="36"/>
      <c r="K26" s="1"/>
      <c r="L26" s="2"/>
      <c r="M26" s="3"/>
      <c r="N26" s="2"/>
      <c r="O26" s="3"/>
    </row>
    <row r="27" spans="2:15" x14ac:dyDescent="0.3">
      <c r="B27" s="36"/>
      <c r="K27" s="1"/>
      <c r="L27" s="2"/>
      <c r="M27" s="3"/>
      <c r="N27" s="2"/>
      <c r="O27" s="3"/>
    </row>
    <row r="28" spans="2:15" x14ac:dyDescent="0.3">
      <c r="B28" s="36" t="s">
        <v>131</v>
      </c>
      <c r="K28" s="1"/>
      <c r="L28" s="2"/>
      <c r="M28" s="3"/>
      <c r="N28" s="2"/>
      <c r="O28" s="3"/>
    </row>
    <row r="29" spans="2:15" x14ac:dyDescent="0.3">
      <c r="B29" s="36" t="s">
        <v>133</v>
      </c>
      <c r="K29" s="1"/>
      <c r="L29" s="2"/>
      <c r="M29" s="3"/>
      <c r="N29" s="2"/>
      <c r="O29" s="3"/>
    </row>
    <row r="30" spans="2:15" x14ac:dyDescent="0.3">
      <c r="B30" s="36"/>
      <c r="K30" s="1"/>
      <c r="L30" s="2"/>
      <c r="M30" s="3"/>
      <c r="N30" s="2"/>
      <c r="O30" s="3"/>
    </row>
    <row r="31" spans="2:15" x14ac:dyDescent="0.3">
      <c r="B31" s="36"/>
      <c r="K31" s="1"/>
      <c r="L31" s="2"/>
      <c r="M31" s="3"/>
      <c r="N31" s="2"/>
      <c r="O31" s="3"/>
    </row>
    <row r="32" spans="2:15" x14ac:dyDescent="0.3">
      <c r="B32" s="36"/>
      <c r="K32" s="1"/>
      <c r="L32" s="2"/>
      <c r="M32" s="3"/>
      <c r="N32" s="2"/>
      <c r="O32" s="3"/>
    </row>
    <row r="33" spans="2:16" x14ac:dyDescent="0.3">
      <c r="B33" s="36"/>
      <c r="K33" s="1"/>
      <c r="L33" s="2"/>
      <c r="M33" s="3"/>
      <c r="N33" s="2"/>
      <c r="O33" s="3"/>
    </row>
    <row r="34" spans="2:16" x14ac:dyDescent="0.3">
      <c r="B34" s="36" t="s">
        <v>131</v>
      </c>
      <c r="K34" s="1"/>
      <c r="L34" s="2"/>
      <c r="M34" s="3"/>
      <c r="N34" s="2"/>
      <c r="O34" s="3"/>
    </row>
    <row r="35" spans="2:16" x14ac:dyDescent="0.3">
      <c r="B35" s="36" t="s">
        <v>134</v>
      </c>
      <c r="K35" s="1"/>
      <c r="L35" s="2"/>
      <c r="M35" s="3"/>
      <c r="N35" s="2"/>
      <c r="O35" s="3"/>
    </row>
    <row r="36" spans="2:16" x14ac:dyDescent="0.3">
      <c r="B36" s="36"/>
      <c r="K36" s="1"/>
      <c r="L36" s="2"/>
      <c r="M36" s="3"/>
      <c r="N36" s="2"/>
      <c r="O36" s="3"/>
    </row>
    <row r="37" spans="2:16" x14ac:dyDescent="0.3">
      <c r="B37" s="36"/>
      <c r="K37" s="1"/>
      <c r="L37" s="2"/>
      <c r="M37" s="3"/>
      <c r="N37" s="2"/>
      <c r="O37" s="3"/>
    </row>
    <row r="38" spans="2:16" x14ac:dyDescent="0.3">
      <c r="B38" s="130" t="s">
        <v>243</v>
      </c>
      <c r="K38" s="1"/>
      <c r="L38" s="1"/>
      <c r="M38" s="2"/>
      <c r="N38" s="3"/>
      <c r="O38" s="2"/>
      <c r="P38" s="3"/>
    </row>
    <row r="39" spans="2:16" x14ac:dyDescent="0.3">
      <c r="K39" s="1"/>
      <c r="L39" s="2"/>
      <c r="M39" s="3"/>
      <c r="N39" s="2"/>
      <c r="O39" s="3"/>
    </row>
  </sheetData>
  <mergeCells count="9">
    <mergeCell ref="C12:J12"/>
    <mergeCell ref="C14:J14"/>
    <mergeCell ref="B16:J16"/>
    <mergeCell ref="B8:J8"/>
    <mergeCell ref="B1:J1"/>
    <mergeCell ref="B3:J3"/>
    <mergeCell ref="B4:J4"/>
    <mergeCell ref="B6:J6"/>
    <mergeCell ref="C10:J10"/>
  </mergeCells>
  <pageMargins left="0.70866141732283472" right="0.70866141732283472" top="0.74803149606299213" bottom="0.74803149606299213" header="0.31496062992125984" footer="0.31496062992125984"/>
  <pageSetup paperSize="9" orientation="portrait" r:id="rId1"/>
  <headerFooter>
    <oddHeader>&amp;RPage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9"/>
  <sheetViews>
    <sheetView topLeftCell="B14" workbookViewId="0">
      <selection activeCell="R18" sqref="R18"/>
    </sheetView>
  </sheetViews>
  <sheetFormatPr defaultColWidth="9.109375" defaultRowHeight="14.4" x14ac:dyDescent="0.3"/>
  <cols>
    <col min="1" max="1" width="0" style="4" hidden="1" customWidth="1"/>
    <col min="2" max="5" width="3.33203125" style="51" customWidth="1"/>
    <col min="6" max="6" width="37.6640625" style="71" customWidth="1"/>
    <col min="7" max="7" width="10.6640625" style="51" customWidth="1"/>
    <col min="8" max="8" width="2" style="71" customWidth="1"/>
    <col min="9" max="9" width="10.6640625" style="51" customWidth="1"/>
    <col min="10" max="10" width="2" style="71" customWidth="1"/>
    <col min="11" max="11" width="10.6640625" style="4" customWidth="1"/>
    <col min="12" max="16384" width="9.109375" style="4"/>
  </cols>
  <sheetData>
    <row r="1" spans="2:16" s="1" customFormat="1" ht="15.6" x14ac:dyDescent="0.3">
      <c r="B1" s="135" t="str">
        <f>Cover!$B$22</f>
        <v>Infensus Superannuation Fund</v>
      </c>
      <c r="C1" s="135"/>
      <c r="D1" s="135"/>
      <c r="E1" s="135"/>
      <c r="F1" s="135"/>
      <c r="G1" s="135"/>
      <c r="H1" s="135"/>
      <c r="I1" s="135"/>
      <c r="J1" s="135"/>
      <c r="K1" s="135"/>
    </row>
    <row r="2" spans="2:16" s="1" customFormat="1" x14ac:dyDescent="0.3">
      <c r="B2" s="73"/>
      <c r="C2" s="42"/>
      <c r="D2" s="42"/>
      <c r="E2" s="42"/>
      <c r="F2" s="42"/>
      <c r="G2" s="74"/>
      <c r="H2" s="42"/>
      <c r="I2" s="74"/>
      <c r="J2" s="42"/>
      <c r="K2" s="39"/>
    </row>
    <row r="3" spans="2:16" s="1" customFormat="1" ht="15.6" x14ac:dyDescent="0.3">
      <c r="B3" s="135" t="s">
        <v>242</v>
      </c>
      <c r="C3" s="135"/>
      <c r="D3" s="135"/>
      <c r="E3" s="135"/>
      <c r="F3" s="135"/>
      <c r="G3" s="135"/>
      <c r="H3" s="135"/>
      <c r="I3" s="135"/>
      <c r="J3" s="135"/>
      <c r="K3" s="135"/>
    </row>
    <row r="4" spans="2:16" s="1" customFormat="1" ht="15.6" x14ac:dyDescent="0.3">
      <c r="B4" s="134"/>
      <c r="C4" s="134"/>
      <c r="D4" s="134"/>
      <c r="E4" s="134"/>
      <c r="F4" s="134"/>
      <c r="G4" s="134"/>
      <c r="H4" s="134"/>
      <c r="I4" s="134"/>
      <c r="J4" s="134"/>
      <c r="K4" s="134"/>
    </row>
    <row r="6" spans="2:16" ht="64.5" customHeight="1" x14ac:dyDescent="0.3">
      <c r="B6" s="138" t="str">
        <f>"We have compiled the accompanying special purpose financial statements of Infensus Superannuation Fund, which comprise the statement of financial position as at 30 June "&amp;Cover!B26&amp;", the operating statement, notes to the financial statements for the year ended 30 June "&amp;Cover!B26&amp;" and trustees’ declaration. The specific purpose for which the special purpose financial statements have been prepared is set out in Note 1 to the financial statements."</f>
        <v>We have compiled the accompanying special purpose financial statements of Infensus Superannuation Fund, which comprise the statement of financial position as at 30 June 2023, the operating statement, notes to the financial statements for the year ended 30 June 2023 and trustees’ declaration. The specific purpose for which the special purpose financial statements have been prepared is set out in Note 1 to the financial statements.</v>
      </c>
      <c r="C6" s="138"/>
      <c r="D6" s="138"/>
      <c r="E6" s="138"/>
      <c r="F6" s="138"/>
      <c r="G6" s="138"/>
      <c r="H6" s="138"/>
      <c r="I6" s="138"/>
      <c r="J6" s="138"/>
      <c r="K6" s="138"/>
      <c r="L6" s="1"/>
      <c r="M6" s="2"/>
      <c r="N6" s="3"/>
      <c r="O6" s="2"/>
      <c r="P6" s="3"/>
    </row>
    <row r="7" spans="2:16" hidden="1" x14ac:dyDescent="0.3">
      <c r="B7" s="36"/>
      <c r="K7" s="1"/>
      <c r="L7" s="1"/>
      <c r="M7" s="2"/>
      <c r="N7" s="3"/>
      <c r="O7" s="2"/>
      <c r="P7" s="3"/>
    </row>
    <row r="8" spans="2:16" x14ac:dyDescent="0.3">
      <c r="B8" s="29" t="s">
        <v>135</v>
      </c>
      <c r="K8" s="1"/>
      <c r="L8" s="1"/>
      <c r="M8" s="2"/>
      <c r="N8" s="3"/>
      <c r="O8" s="2"/>
      <c r="P8" s="3"/>
    </row>
    <row r="9" spans="2:16" x14ac:dyDescent="0.3">
      <c r="B9" s="36"/>
      <c r="K9" s="1"/>
      <c r="L9" s="1"/>
      <c r="M9" s="2"/>
      <c r="N9" s="3"/>
      <c r="O9" s="2"/>
      <c r="P9" s="3"/>
    </row>
    <row r="10" spans="2:16" s="33" customFormat="1" ht="40.5" customHeight="1" x14ac:dyDescent="0.3">
      <c r="B10" s="138" t="s">
        <v>136</v>
      </c>
      <c r="C10" s="138"/>
      <c r="D10" s="138"/>
      <c r="E10" s="138"/>
      <c r="F10" s="138"/>
      <c r="G10" s="138"/>
      <c r="H10" s="138"/>
      <c r="I10" s="138"/>
      <c r="J10" s="138"/>
      <c r="K10" s="138"/>
      <c r="L10" s="31"/>
      <c r="M10" s="32"/>
      <c r="O10" s="32"/>
    </row>
    <row r="11" spans="2:16" x14ac:dyDescent="0.3">
      <c r="B11" s="36"/>
      <c r="K11" s="1"/>
      <c r="L11" s="1"/>
      <c r="M11" s="2"/>
      <c r="N11" s="3"/>
      <c r="O11" s="2"/>
      <c r="P11" s="3"/>
    </row>
    <row r="12" spans="2:16" x14ac:dyDescent="0.3">
      <c r="B12" s="29" t="s">
        <v>137</v>
      </c>
      <c r="K12" s="1"/>
      <c r="L12" s="1"/>
      <c r="M12" s="2"/>
      <c r="N12" s="3"/>
      <c r="O12" s="2"/>
      <c r="P12" s="3"/>
    </row>
    <row r="13" spans="2:16" x14ac:dyDescent="0.3">
      <c r="B13" s="36"/>
      <c r="K13" s="1"/>
      <c r="L13" s="1"/>
      <c r="M13" s="2"/>
      <c r="N13" s="3"/>
      <c r="O13" s="2"/>
      <c r="P13" s="3"/>
    </row>
    <row r="14" spans="2:16" ht="44.25" customHeight="1" x14ac:dyDescent="0.3">
      <c r="B14" s="138" t="s">
        <v>138</v>
      </c>
      <c r="C14" s="138"/>
      <c r="D14" s="138"/>
      <c r="E14" s="138"/>
      <c r="F14" s="138"/>
      <c r="G14" s="138"/>
      <c r="H14" s="138"/>
      <c r="I14" s="138"/>
      <c r="J14" s="138"/>
      <c r="K14" s="138"/>
      <c r="L14" s="1"/>
      <c r="M14" s="2"/>
      <c r="N14" s="3"/>
      <c r="O14" s="2"/>
      <c r="P14" s="3"/>
    </row>
    <row r="15" spans="2:16" x14ac:dyDescent="0.3">
      <c r="B15" s="36"/>
      <c r="K15" s="1"/>
      <c r="L15" s="1"/>
      <c r="M15" s="2"/>
      <c r="N15" s="3"/>
      <c r="O15" s="2"/>
      <c r="P15" s="3"/>
    </row>
    <row r="16" spans="2:16" ht="55.5" customHeight="1" x14ac:dyDescent="0.3">
      <c r="B16" s="138" t="s">
        <v>139</v>
      </c>
      <c r="C16" s="138"/>
      <c r="D16" s="138"/>
      <c r="E16" s="138"/>
      <c r="F16" s="138"/>
      <c r="G16" s="138"/>
      <c r="H16" s="138"/>
      <c r="I16" s="138"/>
      <c r="J16" s="138"/>
      <c r="K16" s="138"/>
      <c r="L16" s="1"/>
      <c r="M16" s="2"/>
      <c r="N16" s="3"/>
      <c r="O16" s="2"/>
      <c r="P16" s="3"/>
    </row>
    <row r="17" spans="2:16" hidden="1" x14ac:dyDescent="0.3">
      <c r="B17" s="36"/>
      <c r="K17" s="1"/>
      <c r="L17" s="1"/>
      <c r="M17" s="2"/>
      <c r="N17" s="3"/>
      <c r="O17" s="2"/>
      <c r="P17" s="3"/>
    </row>
    <row r="18" spans="2:16" ht="45" customHeight="1" x14ac:dyDescent="0.3">
      <c r="B18" s="138" t="s">
        <v>140</v>
      </c>
      <c r="C18" s="138"/>
      <c r="D18" s="138"/>
      <c r="E18" s="138"/>
      <c r="F18" s="138"/>
      <c r="G18" s="138"/>
      <c r="H18" s="138"/>
      <c r="I18" s="138"/>
      <c r="J18" s="138"/>
      <c r="K18" s="138"/>
      <c r="L18" s="1"/>
      <c r="M18" s="2"/>
      <c r="N18" s="3"/>
      <c r="O18" s="2"/>
      <c r="P18" s="3"/>
    </row>
    <row r="19" spans="2:16" x14ac:dyDescent="0.3">
      <c r="B19" s="36"/>
      <c r="K19" s="1"/>
      <c r="L19" s="1"/>
      <c r="M19" s="2"/>
      <c r="N19" s="3"/>
      <c r="O19" s="2"/>
      <c r="P19" s="3"/>
    </row>
    <row r="20" spans="2:16" x14ac:dyDescent="0.3">
      <c r="B20" s="36" t="s">
        <v>141</v>
      </c>
      <c r="E20" s="36"/>
      <c r="F20" s="36" t="s">
        <v>142</v>
      </c>
      <c r="H20" s="72"/>
      <c r="I20" s="36"/>
      <c r="J20" s="72"/>
      <c r="K20" s="7"/>
      <c r="L20" s="7"/>
      <c r="M20" s="2"/>
      <c r="N20" s="3"/>
      <c r="O20" s="2"/>
      <c r="P20" s="3"/>
    </row>
    <row r="21" spans="2:16" x14ac:dyDescent="0.3">
      <c r="B21" s="36" t="s">
        <v>143</v>
      </c>
      <c r="F21" s="36" t="s">
        <v>309</v>
      </c>
      <c r="K21" s="1"/>
      <c r="L21" s="1"/>
      <c r="N21" s="3"/>
      <c r="O21" s="2"/>
      <c r="P21" s="3"/>
    </row>
    <row r="22" spans="2:16" x14ac:dyDescent="0.3">
      <c r="B22" s="36"/>
      <c r="K22" s="1"/>
      <c r="L22" s="1"/>
      <c r="M22" s="2"/>
      <c r="N22" s="3"/>
      <c r="O22" s="2"/>
      <c r="P22" s="3"/>
    </row>
    <row r="23" spans="2:16" x14ac:dyDescent="0.3">
      <c r="B23" s="36"/>
      <c r="K23" s="1"/>
      <c r="L23" s="1"/>
      <c r="M23" s="2"/>
      <c r="N23" s="3"/>
      <c r="O23" s="2"/>
      <c r="P23" s="3"/>
    </row>
    <row r="24" spans="2:16" x14ac:dyDescent="0.3">
      <c r="B24" s="36"/>
      <c r="K24" s="1"/>
      <c r="L24" s="1"/>
      <c r="M24" s="2"/>
      <c r="N24" s="3"/>
      <c r="O24" s="2"/>
      <c r="P24" s="3"/>
    </row>
    <row r="25" spans="2:16" x14ac:dyDescent="0.3">
      <c r="B25" s="36" t="s">
        <v>144</v>
      </c>
      <c r="K25" s="1"/>
      <c r="L25" s="1"/>
      <c r="M25" s="2"/>
      <c r="N25" s="3"/>
      <c r="O25" s="2"/>
      <c r="P25" s="3"/>
    </row>
    <row r="26" spans="2:16" x14ac:dyDescent="0.3">
      <c r="B26" s="36"/>
      <c r="K26" s="1"/>
      <c r="L26" s="1"/>
      <c r="M26" s="2"/>
      <c r="N26" s="3"/>
      <c r="O26" s="2"/>
      <c r="P26" s="3"/>
    </row>
    <row r="27" spans="2:16" x14ac:dyDescent="0.3">
      <c r="B27" s="36"/>
      <c r="K27" s="1"/>
      <c r="L27" s="1"/>
      <c r="M27" s="2"/>
      <c r="N27" s="3"/>
      <c r="O27" s="2"/>
      <c r="P27" s="3"/>
    </row>
    <row r="28" spans="2:16" x14ac:dyDescent="0.3">
      <c r="B28" s="36" t="s">
        <v>243</v>
      </c>
      <c r="K28" s="1"/>
      <c r="L28" s="1"/>
      <c r="M28" s="2"/>
      <c r="N28" s="3"/>
      <c r="O28" s="2"/>
      <c r="P28" s="3"/>
    </row>
    <row r="29" spans="2:16" x14ac:dyDescent="0.3">
      <c r="K29" s="1"/>
      <c r="L29" s="1"/>
      <c r="M29" s="2"/>
      <c r="N29" s="3"/>
      <c r="O29" s="2"/>
      <c r="P29" s="3"/>
    </row>
  </sheetData>
  <mergeCells count="8">
    <mergeCell ref="B16:K16"/>
    <mergeCell ref="B18:K18"/>
    <mergeCell ref="B6:K6"/>
    <mergeCell ref="B1:K1"/>
    <mergeCell ref="B3:K3"/>
    <mergeCell ref="B4:K4"/>
    <mergeCell ref="B10:K10"/>
    <mergeCell ref="B14:K14"/>
  </mergeCells>
  <pageMargins left="0.70866141732283472" right="0.70866141732283472" top="0.74803149606299213" bottom="0.74803149606299213" header="0.31496062992125984" footer="0.31496062992125984"/>
  <pageSetup paperSize="9" orientation="portrait" r:id="rId1"/>
  <headerFooter>
    <oddHeader>&amp;RPage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zoomScale="115" zoomScaleNormal="115" workbookViewId="0">
      <selection activeCell="M11" sqref="M11"/>
    </sheetView>
  </sheetViews>
  <sheetFormatPr defaultRowHeight="14.4" x14ac:dyDescent="0.3"/>
  <sheetData>
    <row r="1" spans="1:1" x14ac:dyDescent="0.3">
      <c r="A1" t="s">
        <v>288</v>
      </c>
    </row>
    <row r="2" spans="1:1" x14ac:dyDescent="0.3">
      <c r="A2" t="s">
        <v>289</v>
      </c>
    </row>
    <row r="3" spans="1:1" x14ac:dyDescent="0.3">
      <c r="A3" t="s">
        <v>290</v>
      </c>
    </row>
    <row r="4" spans="1:1" x14ac:dyDescent="0.3">
      <c r="A4" t="s">
        <v>291</v>
      </c>
    </row>
    <row r="5" spans="1:1" x14ac:dyDescent="0.3">
      <c r="A5" t="s">
        <v>292</v>
      </c>
    </row>
    <row r="6" spans="1:1" x14ac:dyDescent="0.3">
      <c r="A6" t="s">
        <v>293</v>
      </c>
    </row>
    <row r="7" spans="1:1" x14ac:dyDescent="0.3">
      <c r="A7" t="s">
        <v>294</v>
      </c>
    </row>
  </sheetData>
  <printOptions horizontalCentered="1" verticalCentered="1"/>
  <pageMargins left="0.70866141732283472" right="0.70866141732283472" top="0.74803149606299213" bottom="0.74803149606299213" header="0.31496062992125984" footer="0.31496062992125984"/>
  <pageSetup paperSize="9" orientation="portrait" r:id="rId1"/>
  <rowBreaks count="6" manualBreakCount="6">
    <brk id="1" max="16383" man="1"/>
    <brk id="2" max="16383" man="1"/>
    <brk id="3" max="16383" man="1"/>
    <brk id="4" max="16383" man="1"/>
    <brk id="5" max="16383" man="1"/>
    <brk id="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8"/>
  <sheetViews>
    <sheetView topLeftCell="B29" workbookViewId="0">
      <selection activeCell="I74" sqref="I74"/>
    </sheetView>
  </sheetViews>
  <sheetFormatPr defaultColWidth="9.109375" defaultRowHeight="14.4" x14ac:dyDescent="0.3"/>
  <cols>
    <col min="1" max="1" width="0" style="4" hidden="1" customWidth="1"/>
    <col min="2" max="4" width="3.33203125" style="51" customWidth="1"/>
    <col min="5" max="5" width="41" style="51" customWidth="1"/>
    <col min="6" max="6" width="10.6640625" style="52" customWidth="1"/>
    <col min="7" max="7" width="2" style="51" customWidth="1"/>
    <col min="8" max="8" width="10.6640625" style="52" customWidth="1"/>
    <col min="9" max="9" width="2" style="51" customWidth="1"/>
    <col min="10" max="10" width="10.6640625" style="52" customWidth="1"/>
    <col min="11" max="14" width="9.109375" style="4"/>
    <col min="15" max="15" width="9.5546875" style="4" customWidth="1"/>
    <col min="16" max="19" width="9.109375" style="4"/>
    <col min="20" max="20" width="10.44140625" style="4" bestFit="1" customWidth="1"/>
    <col min="21" max="16384" width="9.109375" style="4"/>
  </cols>
  <sheetData>
    <row r="1" spans="1:43" s="17" customFormat="1" ht="15.6" x14ac:dyDescent="0.3">
      <c r="B1" s="136" t="str">
        <f>Cover!$B$22</f>
        <v>Infensus Superannuation Fund</v>
      </c>
      <c r="C1" s="136"/>
      <c r="D1" s="136"/>
      <c r="E1" s="136"/>
      <c r="F1" s="136"/>
      <c r="G1" s="136"/>
      <c r="H1" s="136"/>
      <c r="I1" s="136"/>
      <c r="J1" s="136"/>
      <c r="N1" s="17" t="str">
        <f>N3&amp;N4</f>
        <v>G &amp; L2013</v>
      </c>
      <c r="O1" s="17" t="str">
        <f t="shared" ref="O1:AQ1" si="0">O3&amp;O4</f>
        <v>DGO2013</v>
      </c>
      <c r="P1" s="17" t="str">
        <f t="shared" si="0"/>
        <v>G &amp; L2014</v>
      </c>
      <c r="Q1" s="17" t="str">
        <f t="shared" si="0"/>
        <v>DGO2014</v>
      </c>
      <c r="R1" s="17" t="str">
        <f t="shared" si="0"/>
        <v>G &amp; L2015</v>
      </c>
      <c r="S1" s="17" t="str">
        <f t="shared" si="0"/>
        <v>DGO2015</v>
      </c>
      <c r="T1" s="17" t="str">
        <f t="shared" si="0"/>
        <v>G &amp; L2016</v>
      </c>
      <c r="U1" s="17" t="str">
        <f t="shared" si="0"/>
        <v>DGO2016</v>
      </c>
      <c r="V1" s="17" t="str">
        <f t="shared" si="0"/>
        <v>G &amp; L2017</v>
      </c>
      <c r="W1" s="17" t="str">
        <f t="shared" si="0"/>
        <v>DGO2017</v>
      </c>
      <c r="X1" s="17" t="str">
        <f t="shared" si="0"/>
        <v>G &amp; L2018</v>
      </c>
      <c r="Y1" s="17" t="str">
        <f t="shared" si="0"/>
        <v>DGO2018</v>
      </c>
      <c r="Z1" s="17" t="str">
        <f t="shared" si="0"/>
        <v>G &amp; L2019</v>
      </c>
      <c r="AA1" s="17" t="str">
        <f t="shared" si="0"/>
        <v>DGO2019</v>
      </c>
      <c r="AB1" s="17" t="str">
        <f t="shared" si="0"/>
        <v>G &amp; L2020</v>
      </c>
      <c r="AC1" s="17" t="str">
        <f t="shared" si="0"/>
        <v>DGO2020</v>
      </c>
      <c r="AD1" s="17" t="str">
        <f t="shared" si="0"/>
        <v>G &amp; L2021</v>
      </c>
      <c r="AE1" s="17" t="str">
        <f t="shared" si="0"/>
        <v>DGO2021</v>
      </c>
      <c r="AF1" s="17" t="str">
        <f t="shared" si="0"/>
        <v>G &amp; L2022</v>
      </c>
      <c r="AG1" s="17" t="str">
        <f t="shared" si="0"/>
        <v>DGO2022</v>
      </c>
      <c r="AH1" s="17" t="str">
        <f t="shared" si="0"/>
        <v>G &amp; L2023</v>
      </c>
      <c r="AI1" s="17" t="str">
        <f t="shared" si="0"/>
        <v>DGO2023</v>
      </c>
      <c r="AJ1" s="17" t="str">
        <f t="shared" si="0"/>
        <v>G &amp; L2024</v>
      </c>
      <c r="AK1" s="17" t="str">
        <f t="shared" si="0"/>
        <v>DGO2024</v>
      </c>
      <c r="AL1" s="17" t="str">
        <f t="shared" si="0"/>
        <v>G &amp; L2025</v>
      </c>
      <c r="AM1" s="17" t="str">
        <f t="shared" si="0"/>
        <v>DGO2025</v>
      </c>
      <c r="AN1" s="17" t="str">
        <f t="shared" si="0"/>
        <v>G &amp; L2026</v>
      </c>
      <c r="AO1" s="17" t="str">
        <f t="shared" si="0"/>
        <v>DGO2026</v>
      </c>
      <c r="AP1" s="17" t="str">
        <f t="shared" si="0"/>
        <v>G &amp; L2027</v>
      </c>
      <c r="AQ1" s="17" t="str">
        <f t="shared" si="0"/>
        <v>DGO2027</v>
      </c>
    </row>
    <row r="2" spans="1:43" s="12" customFormat="1" ht="6.6" x14ac:dyDescent="0.15">
      <c r="B2" s="73"/>
      <c r="C2" s="42"/>
      <c r="D2" s="42"/>
      <c r="E2" s="42"/>
      <c r="F2" s="43"/>
      <c r="G2" s="42"/>
      <c r="H2" s="43"/>
      <c r="I2" s="42"/>
      <c r="J2" s="43"/>
    </row>
    <row r="3" spans="1:43" s="17" customFormat="1" ht="15.6" x14ac:dyDescent="0.3">
      <c r="B3" s="136">
        <f>Contents!$D$16</f>
        <v>0</v>
      </c>
      <c r="C3" s="136"/>
      <c r="D3" s="136"/>
      <c r="E3" s="136"/>
      <c r="F3" s="136"/>
      <c r="G3" s="136"/>
      <c r="H3" s="136"/>
      <c r="I3" s="136"/>
      <c r="J3" s="136"/>
      <c r="N3" s="17" t="s">
        <v>233</v>
      </c>
      <c r="O3" s="17" t="s">
        <v>218</v>
      </c>
      <c r="P3" s="17" t="s">
        <v>233</v>
      </c>
      <c r="Q3" s="17" t="s">
        <v>218</v>
      </c>
      <c r="R3" s="17" t="s">
        <v>233</v>
      </c>
      <c r="S3" s="17" t="s">
        <v>218</v>
      </c>
      <c r="T3" s="17" t="s">
        <v>233</v>
      </c>
      <c r="U3" s="17" t="s">
        <v>218</v>
      </c>
      <c r="V3" s="17" t="s">
        <v>233</v>
      </c>
      <c r="W3" s="17" t="s">
        <v>218</v>
      </c>
      <c r="X3" s="17" t="s">
        <v>233</v>
      </c>
      <c r="Y3" s="17" t="s">
        <v>218</v>
      </c>
      <c r="Z3" s="17" t="s">
        <v>233</v>
      </c>
      <c r="AA3" s="17" t="s">
        <v>218</v>
      </c>
      <c r="AB3" s="17" t="s">
        <v>233</v>
      </c>
      <c r="AC3" s="17" t="s">
        <v>218</v>
      </c>
      <c r="AD3" s="17" t="s">
        <v>233</v>
      </c>
      <c r="AE3" s="17" t="s">
        <v>218</v>
      </c>
      <c r="AF3" s="17" t="s">
        <v>233</v>
      </c>
      <c r="AG3" s="17" t="s">
        <v>218</v>
      </c>
      <c r="AH3" s="17" t="s">
        <v>233</v>
      </c>
      <c r="AI3" s="17" t="s">
        <v>218</v>
      </c>
      <c r="AJ3" s="17" t="s">
        <v>233</v>
      </c>
      <c r="AK3" s="17" t="s">
        <v>218</v>
      </c>
      <c r="AL3" s="17" t="s">
        <v>233</v>
      </c>
      <c r="AM3" s="17" t="s">
        <v>218</v>
      </c>
      <c r="AN3" s="17" t="s">
        <v>233</v>
      </c>
      <c r="AO3" s="17" t="s">
        <v>218</v>
      </c>
      <c r="AP3" s="17" t="s">
        <v>233</v>
      </c>
      <c r="AQ3" s="17" t="s">
        <v>218</v>
      </c>
    </row>
    <row r="4" spans="1:43" s="17" customFormat="1" ht="15.6" x14ac:dyDescent="0.3">
      <c r="B4" s="137">
        <f>Cover!$B$26</f>
        <v>2023</v>
      </c>
      <c r="C4" s="137"/>
      <c r="D4" s="137"/>
      <c r="E4" s="137"/>
      <c r="F4" s="137"/>
      <c r="G4" s="137"/>
      <c r="H4" s="137"/>
      <c r="I4" s="137"/>
      <c r="J4" s="137"/>
      <c r="N4" s="17">
        <v>2013</v>
      </c>
      <c r="O4" s="17">
        <v>2013</v>
      </c>
      <c r="P4" s="17">
        <v>2014</v>
      </c>
      <c r="Q4" s="17">
        <v>2014</v>
      </c>
      <c r="R4" s="17">
        <v>2015</v>
      </c>
      <c r="S4" s="17">
        <v>2015</v>
      </c>
      <c r="T4" s="17">
        <v>2016</v>
      </c>
      <c r="U4" s="17">
        <v>2016</v>
      </c>
      <c r="V4" s="17">
        <v>2017</v>
      </c>
      <c r="W4" s="17">
        <v>2017</v>
      </c>
      <c r="X4" s="17">
        <v>2018</v>
      </c>
      <c r="Y4" s="17">
        <v>2018</v>
      </c>
      <c r="Z4" s="17">
        <v>2019</v>
      </c>
      <c r="AA4" s="17">
        <v>2019</v>
      </c>
      <c r="AB4" s="17">
        <v>2020</v>
      </c>
      <c r="AC4" s="17">
        <v>2020</v>
      </c>
      <c r="AD4" s="17">
        <v>2021</v>
      </c>
      <c r="AE4" s="17">
        <v>2021</v>
      </c>
      <c r="AF4" s="17">
        <v>2022</v>
      </c>
      <c r="AG4" s="17">
        <v>2022</v>
      </c>
      <c r="AH4" s="17">
        <v>2023</v>
      </c>
      <c r="AI4" s="17">
        <v>2023</v>
      </c>
      <c r="AJ4" s="17">
        <v>2024</v>
      </c>
      <c r="AK4" s="17">
        <v>2024</v>
      </c>
      <c r="AL4" s="17">
        <v>2025</v>
      </c>
      <c r="AM4" s="17">
        <v>2025</v>
      </c>
      <c r="AN4" s="17">
        <v>2026</v>
      </c>
      <c r="AO4" s="17">
        <v>2026</v>
      </c>
      <c r="AP4" s="17">
        <v>2027</v>
      </c>
      <c r="AQ4" s="17">
        <v>2027</v>
      </c>
    </row>
    <row r="5" spans="1:43" s="20" customFormat="1" ht="8.25" customHeight="1" x14ac:dyDescent="0.3">
      <c r="B5" s="44"/>
      <c r="C5" s="63"/>
      <c r="D5" s="63"/>
      <c r="E5" s="63"/>
      <c r="F5" s="47"/>
      <c r="G5" s="63"/>
      <c r="H5" s="47"/>
      <c r="I5" s="63"/>
      <c r="J5" s="47"/>
      <c r="K5" s="17"/>
    </row>
    <row r="6" spans="1:43" s="17" customFormat="1" ht="15.6" x14ac:dyDescent="0.3">
      <c r="B6" s="75"/>
      <c r="C6" s="45"/>
      <c r="D6" s="45"/>
      <c r="E6" s="50"/>
      <c r="F6" s="48"/>
      <c r="G6" s="45"/>
      <c r="H6" s="49">
        <f>Cover!$B$26</f>
        <v>2023</v>
      </c>
      <c r="I6" s="49"/>
      <c r="J6" s="49">
        <f>H6-1</f>
        <v>2022</v>
      </c>
    </row>
    <row r="7" spans="1:43" s="17" customFormat="1" ht="15.6" x14ac:dyDescent="0.3">
      <c r="B7" s="75"/>
      <c r="C7" s="45"/>
      <c r="D7" s="45"/>
      <c r="E7" s="45"/>
      <c r="F7" s="46"/>
      <c r="G7" s="45"/>
      <c r="H7" s="48" t="s">
        <v>122</v>
      </c>
      <c r="I7" s="50"/>
      <c r="J7" s="48" t="s">
        <v>122</v>
      </c>
    </row>
    <row r="8" spans="1:43" s="20" customFormat="1" ht="8.25" customHeight="1" x14ac:dyDescent="0.3">
      <c r="B8" s="44"/>
      <c r="C8" s="63"/>
      <c r="D8" s="63"/>
      <c r="E8" s="63"/>
      <c r="F8" s="47"/>
      <c r="G8" s="63"/>
      <c r="H8" s="47"/>
      <c r="I8" s="63"/>
      <c r="J8" s="47"/>
      <c r="K8" s="17"/>
    </row>
    <row r="9" spans="1:43" x14ac:dyDescent="0.3">
      <c r="B9" s="29" t="s">
        <v>145</v>
      </c>
      <c r="C9" s="35"/>
      <c r="D9" s="35"/>
      <c r="E9" s="35"/>
      <c r="F9" s="79"/>
      <c r="G9" s="35"/>
      <c r="H9" s="79"/>
      <c r="I9" s="35"/>
      <c r="J9" s="79"/>
      <c r="K9" s="5"/>
    </row>
    <row r="10" spans="1:43" hidden="1" x14ac:dyDescent="0.3">
      <c r="B10" s="93" t="s">
        <v>257</v>
      </c>
      <c r="C10" s="92"/>
      <c r="D10" s="92"/>
      <c r="E10" s="92"/>
      <c r="F10" s="79"/>
      <c r="G10" s="92"/>
      <c r="H10" s="79"/>
      <c r="I10" s="92"/>
      <c r="J10" s="79"/>
      <c r="K10" s="5"/>
    </row>
    <row r="11" spans="1:43" hidden="1" x14ac:dyDescent="0.3">
      <c r="A11" s="4" t="s">
        <v>215</v>
      </c>
      <c r="C11" s="93" t="s">
        <v>201</v>
      </c>
      <c r="D11" s="92"/>
      <c r="G11" s="92"/>
      <c r="H11" s="79">
        <f>IF(Cover!$R$18&gt;0,SUMIF($N$1:$AQ$1,Cover!$R$18&amp;H$6,$N11:$AQ11),SUMIF($N$4:$AQ$4,H$6,$N11:$AQ11))</f>
        <v>0</v>
      </c>
      <c r="I11" s="70"/>
      <c r="J11" s="79">
        <f>IF(Cover!$R$18&gt;0,SUMIF($N$1:$AQ$1,Cover!$R$18&amp;J$6,$N11:$AQ11),SUMIF($N$4:$AQ$4,J$6,$N11:$AQ11))</f>
        <v>0</v>
      </c>
      <c r="K11" s="5"/>
    </row>
    <row r="12" spans="1:43" hidden="1" x14ac:dyDescent="0.3">
      <c r="A12" s="4" t="s">
        <v>216</v>
      </c>
      <c r="C12" s="93" t="s">
        <v>213</v>
      </c>
      <c r="D12" s="92"/>
      <c r="G12" s="92"/>
      <c r="H12" s="79">
        <f>IF(Cover!$R$18&gt;0,SUMIF($N$1:$AQ$1,Cover!$R$18&amp;H$6,$N12:$AQ12),SUMIF($N$4:$AQ$4,H$6,$N12:$AQ12))</f>
        <v>0</v>
      </c>
      <c r="I12" s="70"/>
      <c r="J12" s="79">
        <f>IF(Cover!$R$18&gt;0,SUMIF($N$1:$AQ$1,Cover!$R$18&amp;J$6,$N12:$AQ12),SUMIF($N$4:$AQ$4,J$6,$N12:$AQ12))</f>
        <v>0</v>
      </c>
      <c r="K12" s="5"/>
      <c r="R12" s="4">
        <v>429500</v>
      </c>
    </row>
    <row r="13" spans="1:43" hidden="1" x14ac:dyDescent="0.3">
      <c r="A13" s="4" t="s">
        <v>217</v>
      </c>
      <c r="C13" s="93" t="s">
        <v>214</v>
      </c>
      <c r="D13" s="92"/>
      <c r="G13" s="92"/>
      <c r="H13" s="79">
        <f>IF(Cover!$R$18&gt;0,SUMIF($N$1:$AQ$1,Cover!$R$18&amp;H$6,$N13:$AQ13),SUMIF($N$4:$AQ$4,H$6,$N13:$AQ13))</f>
        <v>0</v>
      </c>
      <c r="I13" s="70"/>
      <c r="J13" s="79">
        <f>IF(Cover!$R$18&gt;0,SUMIF($N$1:$AQ$1,Cover!$R$18&amp;J$6,$N13:$AQ13),SUMIF($N$4:$AQ$4,J$6,$N13:$AQ13))</f>
        <v>0</v>
      </c>
      <c r="K13" s="5"/>
      <c r="R13" s="4">
        <v>429500</v>
      </c>
    </row>
    <row r="14" spans="1:43" hidden="1" x14ac:dyDescent="0.3">
      <c r="C14" s="93"/>
      <c r="D14" s="92"/>
      <c r="G14" s="92"/>
      <c r="H14" s="86">
        <f>SUM(H11:H13)</f>
        <v>0</v>
      </c>
      <c r="I14" s="70"/>
      <c r="J14" s="86">
        <f>SUM(J11:J13)</f>
        <v>0</v>
      </c>
      <c r="K14" s="5"/>
      <c r="N14" s="4">
        <f>SUM(N11:N13)</f>
        <v>0</v>
      </c>
      <c r="O14" s="4">
        <f t="shared" ref="O14:AQ14" si="1">SUM(O11:O13)</f>
        <v>0</v>
      </c>
      <c r="P14" s="4">
        <f t="shared" si="1"/>
        <v>0</v>
      </c>
      <c r="Q14" s="4">
        <f t="shared" si="1"/>
        <v>0</v>
      </c>
      <c r="R14" s="4">
        <f t="shared" si="1"/>
        <v>859000</v>
      </c>
      <c r="S14" s="4">
        <f t="shared" si="1"/>
        <v>0</v>
      </c>
      <c r="T14" s="4">
        <f t="shared" si="1"/>
        <v>0</v>
      </c>
      <c r="U14" s="4">
        <f t="shared" si="1"/>
        <v>0</v>
      </c>
      <c r="V14" s="4">
        <f t="shared" si="1"/>
        <v>0</v>
      </c>
      <c r="W14" s="4">
        <f t="shared" si="1"/>
        <v>0</v>
      </c>
      <c r="X14" s="4">
        <f t="shared" si="1"/>
        <v>0</v>
      </c>
      <c r="Y14" s="4">
        <f t="shared" si="1"/>
        <v>0</v>
      </c>
      <c r="Z14" s="4">
        <f t="shared" si="1"/>
        <v>0</v>
      </c>
      <c r="AA14" s="4">
        <f t="shared" si="1"/>
        <v>0</v>
      </c>
      <c r="AB14" s="4">
        <f t="shared" si="1"/>
        <v>0</v>
      </c>
      <c r="AC14" s="4">
        <f t="shared" si="1"/>
        <v>0</v>
      </c>
      <c r="AD14" s="4">
        <f t="shared" si="1"/>
        <v>0</v>
      </c>
      <c r="AE14" s="4">
        <f t="shared" si="1"/>
        <v>0</v>
      </c>
      <c r="AF14" s="4">
        <f t="shared" si="1"/>
        <v>0</v>
      </c>
      <c r="AG14" s="4">
        <f t="shared" si="1"/>
        <v>0</v>
      </c>
      <c r="AH14" s="4">
        <f t="shared" si="1"/>
        <v>0</v>
      </c>
      <c r="AI14" s="4">
        <f t="shared" si="1"/>
        <v>0</v>
      </c>
      <c r="AJ14" s="4">
        <f t="shared" si="1"/>
        <v>0</v>
      </c>
      <c r="AK14" s="4">
        <f t="shared" si="1"/>
        <v>0</v>
      </c>
      <c r="AL14" s="4">
        <f t="shared" si="1"/>
        <v>0</v>
      </c>
      <c r="AM14" s="4">
        <f t="shared" si="1"/>
        <v>0</v>
      </c>
      <c r="AN14" s="4">
        <f t="shared" si="1"/>
        <v>0</v>
      </c>
      <c r="AO14" s="4">
        <f t="shared" si="1"/>
        <v>0</v>
      </c>
      <c r="AP14" s="4">
        <f t="shared" si="1"/>
        <v>0</v>
      </c>
      <c r="AQ14" s="4">
        <f t="shared" si="1"/>
        <v>0</v>
      </c>
    </row>
    <row r="15" spans="1:43" hidden="1" x14ac:dyDescent="0.3">
      <c r="B15" s="36" t="s">
        <v>146</v>
      </c>
      <c r="C15" s="35"/>
      <c r="D15" s="35"/>
      <c r="E15" s="35"/>
      <c r="F15" s="79"/>
      <c r="G15" s="35"/>
      <c r="H15" s="79"/>
      <c r="I15" s="35"/>
      <c r="J15" s="79"/>
      <c r="K15" s="5"/>
    </row>
    <row r="16" spans="1:43" hidden="1" x14ac:dyDescent="0.3">
      <c r="A16" s="4" t="s">
        <v>215</v>
      </c>
      <c r="C16" s="36" t="s">
        <v>201</v>
      </c>
      <c r="D16" s="35"/>
      <c r="G16" s="35"/>
      <c r="H16" s="79">
        <f>IF(Cover!$R$18&gt;0,SUMIF($N$1:$AQ$1,Cover!$R$18&amp;H$6,$N16:$AQ16),SUMIF($N$4:$AQ$4,H$6,$N16:$AQ16))</f>
        <v>0</v>
      </c>
      <c r="I16" s="70"/>
      <c r="J16" s="79">
        <f>IF(Cover!$R$18&gt;0,SUMIF($N$1:$AQ$1,Cover!$R$18&amp;J$6,$N16:$AQ16),SUMIF($N$4:$AQ$4,J$6,$N16:$AQ16))</f>
        <v>0</v>
      </c>
      <c r="K16" s="5"/>
      <c r="O16" s="4">
        <v>6975</v>
      </c>
      <c r="Q16" s="4">
        <v>18.63</v>
      </c>
    </row>
    <row r="17" spans="1:43" hidden="1" x14ac:dyDescent="0.3">
      <c r="A17" s="4" t="s">
        <v>216</v>
      </c>
      <c r="C17" s="36" t="s">
        <v>213</v>
      </c>
      <c r="D17" s="35"/>
      <c r="G17" s="35"/>
      <c r="H17" s="79">
        <f>IF(Cover!$R$18&gt;0,SUMIF($N$1:$AQ$1,Cover!$R$18&amp;H$6,$N17:$AQ17),SUMIF($N$4:$AQ$4,H$6,$N17:$AQ17))</f>
        <v>0</v>
      </c>
      <c r="I17" s="70"/>
      <c r="J17" s="79">
        <f>IF(Cover!$R$18&gt;0,SUMIF($N$1:$AQ$1,Cover!$R$18&amp;J$6,$N17:$AQ17),SUMIF($N$4:$AQ$4,J$6,$N17:$AQ17))</f>
        <v>0</v>
      </c>
      <c r="K17" s="5"/>
    </row>
    <row r="18" spans="1:43" hidden="1" x14ac:dyDescent="0.3">
      <c r="A18" s="4" t="s">
        <v>217</v>
      </c>
      <c r="C18" s="36" t="s">
        <v>214</v>
      </c>
      <c r="D18" s="35"/>
      <c r="G18" s="35"/>
      <c r="H18" s="79">
        <f>IF(Cover!$R$18&gt;0,SUMIF($N$1:$AQ$1,Cover!$R$18&amp;H$6,$N18:$AQ18),SUMIF($N$4:$AQ$4,H$6,$N18:$AQ18))</f>
        <v>0</v>
      </c>
      <c r="I18" s="70"/>
      <c r="J18" s="79">
        <f>IF(Cover!$R$18&gt;0,SUMIF($N$1:$AQ$1,Cover!$R$18&amp;J$6,$N18:$AQ18),SUMIF($N$4:$AQ$4,J$6,$N18:$AQ18))</f>
        <v>0</v>
      </c>
      <c r="K18" s="5"/>
    </row>
    <row r="19" spans="1:43" hidden="1" x14ac:dyDescent="0.3">
      <c r="C19" s="36"/>
      <c r="D19" s="35"/>
      <c r="G19" s="35"/>
      <c r="H19" s="86">
        <f>SUM(H16:H18)</f>
        <v>0</v>
      </c>
      <c r="I19" s="70"/>
      <c r="J19" s="86">
        <f>SUM(J16:J18)</f>
        <v>0</v>
      </c>
      <c r="K19" s="5"/>
      <c r="N19" s="4">
        <f>SUM(N16:N18)</f>
        <v>0</v>
      </c>
      <c r="O19" s="4">
        <f t="shared" ref="O19" si="2">SUM(O16:O18)</f>
        <v>6975</v>
      </c>
      <c r="P19" s="4">
        <f t="shared" ref="P19" si="3">SUM(P16:P18)</f>
        <v>0</v>
      </c>
      <c r="Q19" s="4">
        <f t="shared" ref="Q19" si="4">SUM(Q16:Q18)</f>
        <v>18.63</v>
      </c>
      <c r="R19" s="4">
        <f t="shared" ref="R19" si="5">SUM(R16:R18)</f>
        <v>0</v>
      </c>
      <c r="S19" s="4">
        <f t="shared" ref="S19" si="6">SUM(S16:S18)</f>
        <v>0</v>
      </c>
      <c r="T19" s="4">
        <f t="shared" ref="T19" si="7">SUM(T16:T18)</f>
        <v>0</v>
      </c>
      <c r="U19" s="4">
        <f t="shared" ref="U19" si="8">SUM(U16:U18)</f>
        <v>0</v>
      </c>
      <c r="V19" s="4">
        <f t="shared" ref="V19" si="9">SUM(V16:V18)</f>
        <v>0</v>
      </c>
      <c r="W19" s="4">
        <f t="shared" ref="W19" si="10">SUM(W16:W18)</f>
        <v>0</v>
      </c>
      <c r="X19" s="4">
        <f t="shared" ref="X19" si="11">SUM(X16:X18)</f>
        <v>0</v>
      </c>
      <c r="Y19" s="4">
        <f t="shared" ref="Y19" si="12">SUM(Y16:Y18)</f>
        <v>0</v>
      </c>
      <c r="Z19" s="4">
        <f t="shared" ref="Z19" si="13">SUM(Z16:Z18)</f>
        <v>0</v>
      </c>
      <c r="AA19" s="4">
        <f t="shared" ref="AA19" si="14">SUM(AA16:AA18)</f>
        <v>0</v>
      </c>
      <c r="AB19" s="4">
        <f t="shared" ref="AB19" si="15">SUM(AB16:AB18)</f>
        <v>0</v>
      </c>
      <c r="AC19" s="4">
        <f t="shared" ref="AC19" si="16">SUM(AC16:AC18)</f>
        <v>0</v>
      </c>
      <c r="AD19" s="4">
        <f t="shared" ref="AD19" si="17">SUM(AD16:AD18)</f>
        <v>0</v>
      </c>
      <c r="AE19" s="4">
        <f t="shared" ref="AE19" si="18">SUM(AE16:AE18)</f>
        <v>0</v>
      </c>
      <c r="AF19" s="4">
        <f t="shared" ref="AF19" si="19">SUM(AF16:AF18)</f>
        <v>0</v>
      </c>
      <c r="AG19" s="4">
        <f t="shared" ref="AG19" si="20">SUM(AG16:AG18)</f>
        <v>0</v>
      </c>
      <c r="AH19" s="4">
        <f t="shared" ref="AH19" si="21">SUM(AH16:AH18)</f>
        <v>0</v>
      </c>
      <c r="AI19" s="4">
        <f t="shared" ref="AI19" si="22">SUM(AI16:AI18)</f>
        <v>0</v>
      </c>
      <c r="AJ19" s="4">
        <f t="shared" ref="AJ19" si="23">SUM(AJ16:AJ18)</f>
        <v>0</v>
      </c>
      <c r="AK19" s="4">
        <f t="shared" ref="AK19" si="24">SUM(AK16:AK18)</f>
        <v>0</v>
      </c>
      <c r="AL19" s="4">
        <f t="shared" ref="AL19" si="25">SUM(AL16:AL18)</f>
        <v>0</v>
      </c>
      <c r="AM19" s="4">
        <f t="shared" ref="AM19" si="26">SUM(AM16:AM18)</f>
        <v>0</v>
      </c>
      <c r="AN19" s="4">
        <f t="shared" ref="AN19" si="27">SUM(AN16:AN18)</f>
        <v>0</v>
      </c>
      <c r="AO19" s="4">
        <f t="shared" ref="AO19" si="28">SUM(AO16:AO18)</f>
        <v>0</v>
      </c>
      <c r="AP19" s="4">
        <f t="shared" ref="AP19" si="29">SUM(AP16:AP18)</f>
        <v>0</v>
      </c>
      <c r="AQ19" s="4">
        <f t="shared" ref="AQ19" si="30">SUM(AQ16:AQ18)</f>
        <v>0</v>
      </c>
    </row>
    <row r="20" spans="1:43" hidden="1" x14ac:dyDescent="0.3">
      <c r="B20" s="51" t="s">
        <v>212</v>
      </c>
      <c r="C20" s="36"/>
      <c r="D20" s="35"/>
      <c r="G20" s="35"/>
      <c r="H20" s="79"/>
      <c r="I20" s="70"/>
      <c r="J20" s="79"/>
      <c r="K20" s="5"/>
    </row>
    <row r="21" spans="1:43" hidden="1" x14ac:dyDescent="0.3">
      <c r="A21" s="4" t="s">
        <v>226</v>
      </c>
      <c r="C21" s="36" t="s">
        <v>201</v>
      </c>
      <c r="D21" s="35"/>
      <c r="G21" s="35"/>
      <c r="H21" s="79">
        <f>IF(Cover!$R$18&gt;0,SUMIF($N$1:$AQ$1,Cover!$R$18&amp;H$6,$N21:$AQ21),SUMIF($N$4:$AQ$4,H$6,$N21:$AQ21))</f>
        <v>0</v>
      </c>
      <c r="I21" s="70"/>
      <c r="J21" s="79">
        <f>IF(Cover!$R$18&gt;0,SUMIF($N$1:$AQ$1,Cover!$R$18&amp;J$6,$N21:$AQ21),SUMIF($N$4:$AQ$4,J$6,$N21:$AQ21))</f>
        <v>0</v>
      </c>
      <c r="K21" s="5"/>
      <c r="S21" s="4">
        <v>152.80000000000001</v>
      </c>
    </row>
    <row r="22" spans="1:43" hidden="1" x14ac:dyDescent="0.3">
      <c r="A22" s="4" t="s">
        <v>227</v>
      </c>
      <c r="C22" s="36" t="s">
        <v>213</v>
      </c>
      <c r="D22" s="35"/>
      <c r="G22" s="35"/>
      <c r="H22" s="79">
        <f>IF(Cover!$R$18&gt;0,SUMIF($N$1:$AQ$1,Cover!$R$18&amp;H$6,$N22:$AQ22),SUMIF($N$4:$AQ$4,H$6,$N22:$AQ22))</f>
        <v>0</v>
      </c>
      <c r="I22" s="70"/>
      <c r="J22" s="79">
        <f>IF(Cover!$R$18&gt;0,SUMIF($N$1:$AQ$1,Cover!$R$18&amp;J$6,$N22:$AQ22),SUMIF($N$4:$AQ$4,J$6,$N22:$AQ22))</f>
        <v>0</v>
      </c>
      <c r="K22" s="5"/>
      <c r="N22" s="4">
        <v>1000</v>
      </c>
    </row>
    <row r="23" spans="1:43" hidden="1" x14ac:dyDescent="0.3">
      <c r="A23" s="4" t="s">
        <v>228</v>
      </c>
      <c r="C23" s="36" t="s">
        <v>214</v>
      </c>
      <c r="D23" s="35"/>
      <c r="G23" s="35"/>
      <c r="H23" s="88">
        <f>IF(Cover!$R$18&gt;0,SUMIF($N$1:$AQ$1,Cover!$R$18&amp;H$6,$N23:$AQ23),SUMIF($N$4:$AQ$4,H$6,$N23:$AQ23))</f>
        <v>0</v>
      </c>
      <c r="I23" s="70"/>
      <c r="J23" s="79">
        <f>IF(Cover!$R$18&gt;0,SUMIF($N$1:$AQ$1,Cover!$R$18&amp;J$6,$N23:$AQ23),SUMIF($N$4:$AQ$4,J$6,$N23:$AQ23))</f>
        <v>0</v>
      </c>
      <c r="K23" s="5"/>
      <c r="N23" s="4">
        <v>1000</v>
      </c>
    </row>
    <row r="24" spans="1:43" hidden="1" x14ac:dyDescent="0.3">
      <c r="C24" s="36"/>
      <c r="D24" s="35"/>
      <c r="G24" s="35"/>
      <c r="H24" s="86">
        <f>SUM(H21:H23)</f>
        <v>0</v>
      </c>
      <c r="I24" s="70"/>
      <c r="J24" s="86">
        <f>SUM(J21:J23)</f>
        <v>0</v>
      </c>
      <c r="K24" s="5"/>
      <c r="N24" s="4">
        <f>SUM(N21:N23)</f>
        <v>2000</v>
      </c>
      <c r="O24" s="4">
        <f t="shared" ref="O24" si="31">SUM(O21:O23)</f>
        <v>0</v>
      </c>
      <c r="P24" s="4">
        <f t="shared" ref="P24" si="32">SUM(P21:P23)</f>
        <v>0</v>
      </c>
      <c r="Q24" s="4">
        <f t="shared" ref="Q24" si="33">SUM(Q21:Q23)</f>
        <v>0</v>
      </c>
      <c r="R24" s="4">
        <f t="shared" ref="R24" si="34">SUM(R21:R23)</f>
        <v>0</v>
      </c>
      <c r="S24" s="4">
        <f t="shared" ref="S24" si="35">SUM(S21:S23)</f>
        <v>152.80000000000001</v>
      </c>
      <c r="T24" s="4">
        <f t="shared" ref="T24" si="36">SUM(T21:T23)</f>
        <v>0</v>
      </c>
      <c r="U24" s="4">
        <f t="shared" ref="U24" si="37">SUM(U21:U23)</f>
        <v>0</v>
      </c>
      <c r="V24" s="4">
        <f t="shared" ref="V24" si="38">SUM(V21:V23)</f>
        <v>0</v>
      </c>
      <c r="W24" s="4">
        <f t="shared" ref="W24" si="39">SUM(W21:W23)</f>
        <v>0</v>
      </c>
      <c r="X24" s="4">
        <f t="shared" ref="X24" si="40">SUM(X21:X23)</f>
        <v>0</v>
      </c>
      <c r="Y24" s="4">
        <f t="shared" ref="Y24" si="41">SUM(Y21:Y23)</f>
        <v>0</v>
      </c>
      <c r="Z24" s="4">
        <f t="shared" ref="Z24" si="42">SUM(Z21:Z23)</f>
        <v>0</v>
      </c>
      <c r="AA24" s="4">
        <f t="shared" ref="AA24" si="43">SUM(AA21:AA23)</f>
        <v>0</v>
      </c>
      <c r="AB24" s="4">
        <f t="shared" ref="AB24" si="44">SUM(AB21:AB23)</f>
        <v>0</v>
      </c>
      <c r="AC24" s="4">
        <f t="shared" ref="AC24" si="45">SUM(AC21:AC23)</f>
        <v>0</v>
      </c>
      <c r="AD24" s="4">
        <f t="shared" ref="AD24" si="46">SUM(AD21:AD23)</f>
        <v>0</v>
      </c>
      <c r="AE24" s="4">
        <f t="shared" ref="AE24" si="47">SUM(AE21:AE23)</f>
        <v>0</v>
      </c>
      <c r="AF24" s="4">
        <f t="shared" ref="AF24" si="48">SUM(AF21:AF23)</f>
        <v>0</v>
      </c>
      <c r="AG24" s="4">
        <f t="shared" ref="AG24" si="49">SUM(AG21:AG23)</f>
        <v>0</v>
      </c>
      <c r="AH24" s="4">
        <f t="shared" ref="AH24" si="50">SUM(AH21:AH23)</f>
        <v>0</v>
      </c>
      <c r="AI24" s="4">
        <f t="shared" ref="AI24" si="51">SUM(AI21:AI23)</f>
        <v>0</v>
      </c>
      <c r="AJ24" s="4">
        <f t="shared" ref="AJ24" si="52">SUM(AJ21:AJ23)</f>
        <v>0</v>
      </c>
      <c r="AK24" s="4">
        <f t="shared" ref="AK24" si="53">SUM(AK21:AK23)</f>
        <v>0</v>
      </c>
      <c r="AL24" s="4">
        <f t="shared" ref="AL24" si="54">SUM(AL21:AL23)</f>
        <v>0</v>
      </c>
      <c r="AM24" s="4">
        <f t="shared" ref="AM24" si="55">SUM(AM21:AM23)</f>
        <v>0</v>
      </c>
      <c r="AN24" s="4">
        <f t="shared" ref="AN24" si="56">SUM(AN21:AN23)</f>
        <v>0</v>
      </c>
      <c r="AO24" s="4">
        <f t="shared" ref="AO24" si="57">SUM(AO21:AO23)</f>
        <v>0</v>
      </c>
      <c r="AP24" s="4">
        <f t="shared" ref="AP24" si="58">SUM(AP21:AP23)</f>
        <v>0</v>
      </c>
      <c r="AQ24" s="4">
        <f t="shared" ref="AQ24" si="59">SUM(AQ21:AQ23)</f>
        <v>0</v>
      </c>
    </row>
    <row r="25" spans="1:43" x14ac:dyDescent="0.3">
      <c r="B25" s="36" t="s">
        <v>147</v>
      </c>
      <c r="C25" s="35"/>
      <c r="D25" s="35"/>
      <c r="E25" s="35"/>
      <c r="F25" s="79"/>
      <c r="G25" s="35"/>
      <c r="H25" s="79"/>
      <c r="I25" s="70"/>
      <c r="J25" s="79"/>
      <c r="K25" s="5"/>
    </row>
    <row r="26" spans="1:43" x14ac:dyDescent="0.3">
      <c r="A26" s="4" t="s">
        <v>219</v>
      </c>
      <c r="C26" s="36" t="s">
        <v>201</v>
      </c>
      <c r="D26" s="66"/>
      <c r="E26" s="66"/>
      <c r="F26" s="79"/>
      <c r="G26" s="66"/>
      <c r="H26" s="79">
        <f>IF(Cover!$R$18&gt;0,SUMIF($N$1:$AQ$1,Cover!$R$18&amp;H$6,$N26:$AQ26),SUMIF($N$4:$AQ$4,H$6,$N26:$AQ26))</f>
        <v>0</v>
      </c>
      <c r="I26" s="70"/>
      <c r="J26" s="88">
        <f>IF(Cover!$R$18&gt;0,SUMIF($N$1:$AQ$1,Cover!$R$18&amp;J$6,$N26:$AQ26),SUMIF($N$4:$AQ$4,J$6,$N26:$AQ26))</f>
        <v>0</v>
      </c>
      <c r="K26" s="9"/>
      <c r="Q26" s="4">
        <v>1000</v>
      </c>
      <c r="S26" s="4">
        <v>1000</v>
      </c>
      <c r="U26" s="4">
        <v>20000</v>
      </c>
      <c r="W26" s="4">
        <v>20000</v>
      </c>
    </row>
    <row r="27" spans="1:43" hidden="1" x14ac:dyDescent="0.3">
      <c r="A27" s="4" t="s">
        <v>221</v>
      </c>
      <c r="C27" s="36" t="s">
        <v>213</v>
      </c>
      <c r="D27" s="66"/>
      <c r="E27" s="66"/>
      <c r="F27" s="79"/>
      <c r="G27" s="66"/>
      <c r="H27" s="79">
        <f>IF(Cover!$R$18&gt;0,SUMIF($N$1:$AQ$1,Cover!$R$18&amp;H$6,$N27:$AQ27),SUMIF($N$4:$AQ$4,H$6,$N27:$AQ27))</f>
        <v>0</v>
      </c>
      <c r="I27" s="70"/>
      <c r="J27" s="79">
        <f>IF(Cover!$R$18&gt;0,SUMIF($N$1:$AQ$1,Cover!$R$18&amp;J$6,$N27:$AQ27),SUMIF($N$4:$AQ$4,J$6,$N27:$AQ27))</f>
        <v>0</v>
      </c>
      <c r="K27" s="9"/>
    </row>
    <row r="28" spans="1:43" hidden="1" x14ac:dyDescent="0.3">
      <c r="A28" s="4" t="s">
        <v>222</v>
      </c>
      <c r="C28" s="36" t="s">
        <v>214</v>
      </c>
      <c r="D28" s="66"/>
      <c r="E28" s="66"/>
      <c r="F28" s="79"/>
      <c r="G28" s="66"/>
      <c r="H28" s="79">
        <f>IF(Cover!$R$18&gt;0,SUMIF($N$1:$AQ$1,Cover!$R$18&amp;H$6,$N28:$AQ28),SUMIF($N$4:$AQ$4,H$6,$N28:$AQ28))</f>
        <v>0</v>
      </c>
      <c r="I28" s="70"/>
      <c r="J28" s="79">
        <f>IF(Cover!$R$18&gt;0,SUMIF($N$1:$AQ$1,Cover!$R$18&amp;J$6,$N28:$AQ28),SUMIF($N$4:$AQ$4,J$6,$N28:$AQ28))</f>
        <v>0</v>
      </c>
      <c r="K28" s="9"/>
    </row>
    <row r="29" spans="1:43" x14ac:dyDescent="0.3">
      <c r="C29" s="36"/>
      <c r="D29" s="66"/>
      <c r="E29" s="66"/>
      <c r="F29" s="79"/>
      <c r="G29" s="66"/>
      <c r="H29" s="86">
        <f>SUM(H26:H28)</f>
        <v>0</v>
      </c>
      <c r="I29" s="70"/>
      <c r="J29" s="79">
        <f>SUM(J26:J28)</f>
        <v>0</v>
      </c>
      <c r="K29" s="9"/>
      <c r="N29" s="4">
        <f>SUM(N26:N28)</f>
        <v>0</v>
      </c>
      <c r="O29" s="4">
        <f t="shared" ref="O29" si="60">SUM(O26:O28)</f>
        <v>0</v>
      </c>
      <c r="P29" s="4">
        <f t="shared" ref="P29" si="61">SUM(P26:P28)</f>
        <v>0</v>
      </c>
      <c r="Q29" s="4">
        <f t="shared" ref="Q29" si="62">SUM(Q26:Q28)</f>
        <v>1000</v>
      </c>
      <c r="R29" s="4">
        <f t="shared" ref="R29" si="63">SUM(R26:R28)</f>
        <v>0</v>
      </c>
      <c r="S29" s="4">
        <f t="shared" ref="S29" si="64">SUM(S26:S28)</f>
        <v>1000</v>
      </c>
      <c r="T29" s="4">
        <f t="shared" ref="T29" si="65">SUM(T26:T28)</f>
        <v>0</v>
      </c>
      <c r="U29" s="4">
        <f t="shared" ref="U29" si="66">SUM(U26:U28)</f>
        <v>20000</v>
      </c>
      <c r="V29" s="4">
        <f t="shared" ref="V29" si="67">SUM(V26:V28)</f>
        <v>0</v>
      </c>
      <c r="W29" s="4">
        <f t="shared" ref="W29" si="68">SUM(W26:W28)</f>
        <v>20000</v>
      </c>
      <c r="X29" s="4">
        <f t="shared" ref="X29" si="69">SUM(X26:X28)</f>
        <v>0</v>
      </c>
      <c r="Y29" s="4">
        <f t="shared" ref="Y29" si="70">SUM(Y26:Y28)</f>
        <v>0</v>
      </c>
      <c r="Z29" s="4">
        <f t="shared" ref="Z29" si="71">SUM(Z26:Z28)</f>
        <v>0</v>
      </c>
      <c r="AA29" s="4">
        <f t="shared" ref="AA29" si="72">SUM(AA26:AA28)</f>
        <v>0</v>
      </c>
      <c r="AB29" s="4">
        <f t="shared" ref="AB29" si="73">SUM(AB26:AB28)</f>
        <v>0</v>
      </c>
      <c r="AC29" s="4">
        <f t="shared" ref="AC29" si="74">SUM(AC26:AC28)</f>
        <v>0</v>
      </c>
      <c r="AD29" s="4">
        <f t="shared" ref="AD29" si="75">SUM(AD26:AD28)</f>
        <v>0</v>
      </c>
      <c r="AE29" s="4">
        <f t="shared" ref="AE29" si="76">SUM(AE26:AE28)</f>
        <v>0</v>
      </c>
      <c r="AF29" s="4">
        <f t="shared" ref="AF29" si="77">SUM(AF26:AF28)</f>
        <v>0</v>
      </c>
      <c r="AG29" s="4">
        <f t="shared" ref="AG29" si="78">SUM(AG26:AG28)</f>
        <v>0</v>
      </c>
      <c r="AH29" s="4">
        <f t="shared" ref="AH29" si="79">SUM(AH26:AH28)</f>
        <v>0</v>
      </c>
      <c r="AI29" s="4">
        <f t="shared" ref="AI29" si="80">SUM(AI26:AI28)</f>
        <v>0</v>
      </c>
      <c r="AJ29" s="4">
        <f t="shared" ref="AJ29" si="81">SUM(AJ26:AJ28)</f>
        <v>0</v>
      </c>
      <c r="AK29" s="4">
        <f t="shared" ref="AK29" si="82">SUM(AK26:AK28)</f>
        <v>0</v>
      </c>
      <c r="AL29" s="4">
        <f t="shared" ref="AL29" si="83">SUM(AL26:AL28)</f>
        <v>0</v>
      </c>
      <c r="AM29" s="4">
        <f t="shared" ref="AM29" si="84">SUM(AM26:AM28)</f>
        <v>0</v>
      </c>
      <c r="AN29" s="4">
        <f t="shared" ref="AN29" si="85">SUM(AN26:AN28)</f>
        <v>0</v>
      </c>
      <c r="AO29" s="4">
        <f t="shared" ref="AO29" si="86">SUM(AO26:AO28)</f>
        <v>0</v>
      </c>
      <c r="AP29" s="4">
        <f t="shared" ref="AP29" si="87">SUM(AP26:AP28)</f>
        <v>0</v>
      </c>
      <c r="AQ29" s="4">
        <f t="shared" ref="AQ29" si="88">SUM(AQ26:AQ28)</f>
        <v>0</v>
      </c>
    </row>
    <row r="30" spans="1:43" hidden="1" x14ac:dyDescent="0.3">
      <c r="B30" s="36" t="s">
        <v>148</v>
      </c>
      <c r="D30" s="35"/>
      <c r="E30" s="35"/>
      <c r="F30" s="79"/>
      <c r="G30" s="35"/>
      <c r="H30" s="79"/>
      <c r="I30" s="70"/>
      <c r="J30" s="79"/>
      <c r="K30" s="5"/>
    </row>
    <row r="31" spans="1:43" hidden="1" x14ac:dyDescent="0.3">
      <c r="A31" s="4" t="s">
        <v>219</v>
      </c>
      <c r="C31" s="36" t="s">
        <v>201</v>
      </c>
      <c r="D31" s="35"/>
      <c r="E31" s="35"/>
      <c r="F31" s="79"/>
      <c r="G31" s="35"/>
      <c r="H31" s="80">
        <f>IF(Cover!$R$18&gt;0,SUMIF($N$1:$AQ$1,Cover!$R$18&amp;H$6,$N31:$AQ31),SUMIF($N$4:$AQ$4,H$6,$N31:$AQ31))</f>
        <v>0</v>
      </c>
      <c r="I31" s="70"/>
      <c r="J31" s="79">
        <f>IF(Cover!$R$18&gt;0,SUMIF($N$1:$AQ$1,Cover!$R$18&amp;J$6,$N31:$AQ31),SUMIF($N$4:$AQ$4,J$6,$N31:$AQ31))</f>
        <v>0</v>
      </c>
      <c r="K31" s="5"/>
      <c r="O31" s="4">
        <v>500</v>
      </c>
    </row>
    <row r="32" spans="1:43" hidden="1" x14ac:dyDescent="0.3">
      <c r="A32" s="4" t="s">
        <v>221</v>
      </c>
      <c r="C32" s="36" t="s">
        <v>213</v>
      </c>
      <c r="D32" s="35"/>
      <c r="E32" s="35"/>
      <c r="F32" s="79"/>
      <c r="G32" s="35"/>
      <c r="H32" s="80">
        <f>IF(Cover!$R$18&gt;0,SUMIF($N$1:$AQ$1,Cover!$R$18&amp;H$6,$N32:$AQ32),SUMIF($N$4:$AQ$4,H$6,$N32:$AQ32))</f>
        <v>0</v>
      </c>
      <c r="I32" s="70"/>
      <c r="J32" s="79">
        <f>IF(Cover!$R$18&gt;0,SUMIF($N$1:$AQ$1,Cover!$R$18&amp;J$6,$N32:$AQ32),SUMIF($N$4:$AQ$4,J$6,$N32:$AQ32))</f>
        <v>0</v>
      </c>
      <c r="K32" s="5"/>
    </row>
    <row r="33" spans="1:43" hidden="1" x14ac:dyDescent="0.3">
      <c r="A33" s="4" t="s">
        <v>222</v>
      </c>
      <c r="C33" s="36" t="s">
        <v>214</v>
      </c>
      <c r="D33" s="35"/>
      <c r="E33" s="35"/>
      <c r="F33" s="79"/>
      <c r="G33" s="35"/>
      <c r="H33" s="79">
        <f>IF(Cover!$R$18&gt;0,SUMIF($N$1:$AQ$1,Cover!$R$18&amp;H$6,$N33:$AQ33),SUMIF($N$4:$AQ$4,H$6,$N33:$AQ33))</f>
        <v>0</v>
      </c>
      <c r="I33" s="70"/>
      <c r="J33" s="79">
        <f>IF(Cover!$R$18&gt;0,SUMIF($N$1:$AQ$1,Cover!$R$18&amp;J$6,$N33:$AQ33),SUMIF($N$4:$AQ$4,J$6,$N33:$AQ33))</f>
        <v>0</v>
      </c>
      <c r="K33" s="5"/>
    </row>
    <row r="34" spans="1:43" hidden="1" x14ac:dyDescent="0.3">
      <c r="C34" s="36"/>
      <c r="D34" s="35"/>
      <c r="E34" s="35"/>
      <c r="F34" s="79"/>
      <c r="G34" s="35"/>
      <c r="H34" s="86">
        <f>SUM(H31:H33)</f>
        <v>0</v>
      </c>
      <c r="I34" s="70"/>
      <c r="J34" s="86">
        <f>SUM(J31:J33)</f>
        <v>0</v>
      </c>
      <c r="K34" s="5"/>
      <c r="N34" s="4">
        <f>SUM(N31:N33)</f>
        <v>0</v>
      </c>
      <c r="O34" s="4">
        <f t="shared" ref="O34" si="89">SUM(O31:O33)</f>
        <v>500</v>
      </c>
      <c r="P34" s="4">
        <f t="shared" ref="P34" si="90">SUM(P31:P33)</f>
        <v>0</v>
      </c>
      <c r="Q34" s="4">
        <f t="shared" ref="Q34" si="91">SUM(Q31:Q33)</f>
        <v>0</v>
      </c>
      <c r="R34" s="4">
        <f t="shared" ref="R34" si="92">SUM(R31:R33)</f>
        <v>0</v>
      </c>
      <c r="S34" s="4">
        <f t="shared" ref="S34" si="93">SUM(S31:S33)</f>
        <v>0</v>
      </c>
      <c r="T34" s="4">
        <f t="shared" ref="T34" si="94">SUM(T31:T33)</f>
        <v>0</v>
      </c>
      <c r="U34" s="4">
        <f t="shared" ref="U34" si="95">SUM(U31:U33)</f>
        <v>0</v>
      </c>
      <c r="V34" s="4">
        <f t="shared" ref="V34" si="96">SUM(V31:V33)</f>
        <v>0</v>
      </c>
      <c r="W34" s="4">
        <f t="shared" ref="W34" si="97">SUM(W31:W33)</f>
        <v>0</v>
      </c>
      <c r="X34" s="4">
        <f t="shared" ref="X34" si="98">SUM(X31:X33)</f>
        <v>0</v>
      </c>
      <c r="Y34" s="4">
        <f t="shared" ref="Y34" si="99">SUM(Y31:Y33)</f>
        <v>0</v>
      </c>
      <c r="Z34" s="4">
        <f t="shared" ref="Z34" si="100">SUM(Z31:Z33)</f>
        <v>0</v>
      </c>
      <c r="AA34" s="4">
        <f t="shared" ref="AA34" si="101">SUM(AA31:AA33)</f>
        <v>0</v>
      </c>
      <c r="AB34" s="4">
        <f t="shared" ref="AB34" si="102">SUM(AB31:AB33)</f>
        <v>0</v>
      </c>
      <c r="AC34" s="4">
        <f t="shared" ref="AC34" si="103">SUM(AC31:AC33)</f>
        <v>0</v>
      </c>
      <c r="AD34" s="4">
        <f t="shared" ref="AD34" si="104">SUM(AD31:AD33)</f>
        <v>0</v>
      </c>
      <c r="AE34" s="4">
        <f t="shared" ref="AE34" si="105">SUM(AE31:AE33)</f>
        <v>0</v>
      </c>
      <c r="AF34" s="4">
        <f t="shared" ref="AF34" si="106">SUM(AF31:AF33)</f>
        <v>0</v>
      </c>
      <c r="AG34" s="4">
        <f t="shared" ref="AG34" si="107">SUM(AG31:AG33)</f>
        <v>0</v>
      </c>
      <c r="AH34" s="4">
        <f t="shared" ref="AH34" si="108">SUM(AH31:AH33)</f>
        <v>0</v>
      </c>
      <c r="AI34" s="4">
        <f t="shared" ref="AI34" si="109">SUM(AI31:AI33)</f>
        <v>0</v>
      </c>
      <c r="AJ34" s="4">
        <f t="shared" ref="AJ34" si="110">SUM(AJ31:AJ33)</f>
        <v>0</v>
      </c>
      <c r="AK34" s="4">
        <f t="shared" ref="AK34" si="111">SUM(AK31:AK33)</f>
        <v>0</v>
      </c>
      <c r="AL34" s="4">
        <f t="shared" ref="AL34" si="112">SUM(AL31:AL33)</f>
        <v>0</v>
      </c>
      <c r="AM34" s="4">
        <f t="shared" ref="AM34" si="113">SUM(AM31:AM33)</f>
        <v>0</v>
      </c>
      <c r="AN34" s="4">
        <f t="shared" ref="AN34" si="114">SUM(AN31:AN33)</f>
        <v>0</v>
      </c>
      <c r="AO34" s="4">
        <f t="shared" ref="AO34" si="115">SUM(AO31:AO33)</f>
        <v>0</v>
      </c>
      <c r="AP34" s="4">
        <f t="shared" ref="AP34" si="116">SUM(AP31:AP33)</f>
        <v>0</v>
      </c>
      <c r="AQ34" s="4">
        <f t="shared" ref="AQ34" si="117">SUM(AQ31:AQ33)</f>
        <v>0</v>
      </c>
    </row>
    <row r="35" spans="1:43" hidden="1" x14ac:dyDescent="0.3">
      <c r="B35" s="51" t="s">
        <v>220</v>
      </c>
      <c r="C35" s="36"/>
      <c r="D35" s="35"/>
      <c r="E35" s="35"/>
      <c r="F35" s="79"/>
      <c r="G35" s="35"/>
      <c r="H35" s="79"/>
      <c r="I35" s="70"/>
      <c r="J35" s="79"/>
      <c r="K35" s="5"/>
    </row>
    <row r="36" spans="1:43" hidden="1" x14ac:dyDescent="0.3">
      <c r="A36" s="4" t="s">
        <v>223</v>
      </c>
      <c r="C36" s="36" t="s">
        <v>201</v>
      </c>
      <c r="D36" s="35"/>
      <c r="E36" s="35"/>
      <c r="F36" s="79"/>
      <c r="G36" s="35"/>
      <c r="H36" s="79">
        <f>IF(Cover!$R$18&gt;0,SUMIF($N$1:$AQ$1,Cover!$R$18&amp;H$6,$N36:$AQ36),SUMIF($N$4:$AQ$4,H$6,$N36:$AQ36))</f>
        <v>0</v>
      </c>
      <c r="I36" s="70"/>
      <c r="J36" s="79">
        <f>IF(Cover!$R$18&gt;0,SUMIF($N$1:$AQ$1,Cover!$R$18&amp;J$6,$N36:$AQ36),SUMIF($N$4:$AQ$4,J$6,$N36:$AQ36))</f>
        <v>0</v>
      </c>
      <c r="K36" s="5"/>
    </row>
    <row r="37" spans="1:43" hidden="1" x14ac:dyDescent="0.3">
      <c r="A37" s="4" t="s">
        <v>224</v>
      </c>
      <c r="C37" s="36" t="s">
        <v>213</v>
      </c>
      <c r="D37" s="35"/>
      <c r="E37" s="35"/>
      <c r="F37" s="79"/>
      <c r="G37" s="35"/>
      <c r="H37" s="79">
        <f>IF(Cover!$R$18&gt;0,SUMIF($N$1:$AQ$1,Cover!$R$18&amp;H$6,$N37:$AQ37),SUMIF($N$4:$AQ$4,H$6,$N37:$AQ37))</f>
        <v>0</v>
      </c>
      <c r="I37" s="70"/>
      <c r="J37" s="79">
        <f>IF(Cover!$R$18&gt;0,SUMIF($N$1:$AQ$1,Cover!$R$18&amp;J$6,$N37:$AQ37),SUMIF($N$4:$AQ$4,J$6,$N37:$AQ37))</f>
        <v>0</v>
      </c>
      <c r="K37" s="5"/>
    </row>
    <row r="38" spans="1:43" hidden="1" x14ac:dyDescent="0.3">
      <c r="A38" s="4" t="s">
        <v>225</v>
      </c>
      <c r="C38" s="36" t="s">
        <v>214</v>
      </c>
      <c r="D38" s="35"/>
      <c r="E38" s="35"/>
      <c r="F38" s="79"/>
      <c r="G38" s="35"/>
      <c r="H38" s="88">
        <f>IF(Cover!$R$18&gt;0,SUMIF($N$1:$AQ$1,Cover!$R$18&amp;H$6,$N38:$AQ38),SUMIF($N$4:$AQ$4,H$6,$N38:$AQ38))</f>
        <v>0</v>
      </c>
      <c r="I38" s="70"/>
      <c r="J38" s="79">
        <f>IF(Cover!$R$18&gt;0,SUMIF($N$1:$AQ$1,Cover!$R$18&amp;J$6,$N38:$AQ38),SUMIF($N$4:$AQ$4,J$6,$N38:$AQ38))</f>
        <v>0</v>
      </c>
      <c r="K38" s="5"/>
      <c r="N38" s="4">
        <v>5263.58</v>
      </c>
    </row>
    <row r="39" spans="1:43" hidden="1" x14ac:dyDescent="0.3">
      <c r="C39" s="36"/>
      <c r="D39" s="35"/>
      <c r="E39" s="35"/>
      <c r="F39" s="79"/>
      <c r="G39" s="35"/>
      <c r="H39" s="88">
        <f>SUM(H36:H38)</f>
        <v>0</v>
      </c>
      <c r="I39" s="70"/>
      <c r="J39" s="89">
        <f>SUM(J36:J38)</f>
        <v>0</v>
      </c>
      <c r="K39" s="5"/>
      <c r="N39" s="4">
        <f>SUM(N36:N38)</f>
        <v>5263.58</v>
      </c>
      <c r="O39" s="4">
        <f t="shared" ref="O39:U39" si="118">SUM(O36:O38)</f>
        <v>0</v>
      </c>
      <c r="P39" s="4">
        <f t="shared" si="118"/>
        <v>0</v>
      </c>
      <c r="Q39" s="4">
        <f t="shared" si="118"/>
        <v>0</v>
      </c>
      <c r="R39" s="4">
        <f t="shared" si="118"/>
        <v>0</v>
      </c>
      <c r="S39" s="4">
        <f t="shared" si="118"/>
        <v>0</v>
      </c>
      <c r="T39" s="4">
        <f t="shared" si="118"/>
        <v>0</v>
      </c>
      <c r="U39" s="4">
        <f t="shared" si="118"/>
        <v>0</v>
      </c>
      <c r="V39" s="4">
        <f t="shared" ref="V39" si="119">SUM(V36:V38)</f>
        <v>0</v>
      </c>
      <c r="W39" s="4">
        <f t="shared" ref="W39" si="120">SUM(W36:W38)</f>
        <v>0</v>
      </c>
      <c r="X39" s="4">
        <f t="shared" ref="X39" si="121">SUM(X36:X38)</f>
        <v>0</v>
      </c>
      <c r="Y39" s="4">
        <f t="shared" ref="Y39" si="122">SUM(Y36:Y38)</f>
        <v>0</v>
      </c>
      <c r="Z39" s="4">
        <f t="shared" ref="Z39" si="123">SUM(Z36:Z38)</f>
        <v>0</v>
      </c>
      <c r="AA39" s="4">
        <f t="shared" ref="AA39" si="124">SUM(AA36:AA38)</f>
        <v>0</v>
      </c>
      <c r="AB39" s="4">
        <f t="shared" ref="AB39" si="125">SUM(AB36:AB38)</f>
        <v>0</v>
      </c>
      <c r="AC39" s="4">
        <f t="shared" ref="AC39" si="126">SUM(AC36:AC38)</f>
        <v>0</v>
      </c>
      <c r="AD39" s="4">
        <f t="shared" ref="AD39" si="127">SUM(AD36:AD38)</f>
        <v>0</v>
      </c>
      <c r="AE39" s="4">
        <f t="shared" ref="AE39" si="128">SUM(AE36:AE38)</f>
        <v>0</v>
      </c>
      <c r="AF39" s="4">
        <f t="shared" ref="AF39" si="129">SUM(AF36:AF38)</f>
        <v>0</v>
      </c>
      <c r="AG39" s="4">
        <f t="shared" ref="AG39" si="130">SUM(AG36:AG38)</f>
        <v>0</v>
      </c>
      <c r="AH39" s="4">
        <f t="shared" ref="AH39" si="131">SUM(AH36:AH38)</f>
        <v>0</v>
      </c>
      <c r="AI39" s="4">
        <f t="shared" ref="AI39" si="132">SUM(AI36:AI38)</f>
        <v>0</v>
      </c>
      <c r="AJ39" s="4">
        <f t="shared" ref="AJ39" si="133">SUM(AJ36:AJ38)</f>
        <v>0</v>
      </c>
      <c r="AK39" s="4">
        <f t="shared" ref="AK39" si="134">SUM(AK36:AK38)</f>
        <v>0</v>
      </c>
      <c r="AL39" s="4">
        <f t="shared" ref="AL39" si="135">SUM(AL36:AL38)</f>
        <v>0</v>
      </c>
      <c r="AM39" s="4">
        <f t="shared" ref="AM39" si="136">SUM(AM36:AM38)</f>
        <v>0</v>
      </c>
      <c r="AN39" s="4">
        <f t="shared" ref="AN39" si="137">SUM(AN36:AN38)</f>
        <v>0</v>
      </c>
      <c r="AO39" s="4">
        <f t="shared" ref="AO39" si="138">SUM(AO36:AO38)</f>
        <v>0</v>
      </c>
      <c r="AP39" s="4">
        <f t="shared" ref="AP39" si="139">SUM(AP36:AP38)</f>
        <v>0</v>
      </c>
      <c r="AQ39" s="4">
        <f t="shared" ref="AQ39" si="140">SUM(AQ36:AQ38)</f>
        <v>0</v>
      </c>
    </row>
    <row r="40" spans="1:43" ht="15" thickBot="1" x14ac:dyDescent="0.35">
      <c r="B40" s="29" t="s">
        <v>149</v>
      </c>
      <c r="D40" s="67"/>
      <c r="E40" s="67"/>
      <c r="F40" s="80"/>
      <c r="G40" s="67"/>
      <c r="H40" s="90">
        <f>SUM(H14,H39,H29,H24,H19,H34)</f>
        <v>0</v>
      </c>
      <c r="I40" s="35"/>
      <c r="J40" s="90">
        <f>SUM(J14,J39,J29,J24,J19,J34)</f>
        <v>0</v>
      </c>
      <c r="K40" s="21"/>
      <c r="N40" s="4">
        <f t="shared" ref="N40:Q40" si="141">SUM(N14,N39,N34,N29,N24,N19)</f>
        <v>7263.58</v>
      </c>
      <c r="O40" s="4">
        <f t="shared" si="141"/>
        <v>7475</v>
      </c>
      <c r="P40" s="4">
        <f t="shared" si="141"/>
        <v>0</v>
      </c>
      <c r="Q40" s="4">
        <f t="shared" si="141"/>
        <v>1018.63</v>
      </c>
      <c r="R40" s="4">
        <f>SUM(R14,R39,R34,R29,R24,R19)</f>
        <v>859000</v>
      </c>
      <c r="S40" s="4">
        <f t="shared" ref="S40:AQ40" si="142">SUM(S14,S39,S34,S29,S24,S19)</f>
        <v>1152.8</v>
      </c>
      <c r="T40" s="4">
        <f t="shared" si="142"/>
        <v>0</v>
      </c>
      <c r="U40" s="4">
        <f t="shared" si="142"/>
        <v>20000</v>
      </c>
      <c r="V40" s="4">
        <f t="shared" si="142"/>
        <v>0</v>
      </c>
      <c r="W40" s="4">
        <f t="shared" si="142"/>
        <v>20000</v>
      </c>
      <c r="X40" s="4">
        <f t="shared" si="142"/>
        <v>0</v>
      </c>
      <c r="Y40" s="4">
        <f t="shared" si="142"/>
        <v>0</v>
      </c>
      <c r="Z40" s="4">
        <f t="shared" si="142"/>
        <v>0</v>
      </c>
      <c r="AA40" s="4">
        <f t="shared" si="142"/>
        <v>0</v>
      </c>
      <c r="AB40" s="4">
        <f t="shared" si="142"/>
        <v>0</v>
      </c>
      <c r="AC40" s="4">
        <f t="shared" si="142"/>
        <v>0</v>
      </c>
      <c r="AD40" s="4">
        <f t="shared" si="142"/>
        <v>0</v>
      </c>
      <c r="AE40" s="4">
        <f t="shared" si="142"/>
        <v>0</v>
      </c>
      <c r="AF40" s="4">
        <f t="shared" si="142"/>
        <v>0</v>
      </c>
      <c r="AG40" s="4">
        <f t="shared" si="142"/>
        <v>0</v>
      </c>
      <c r="AH40" s="4">
        <f t="shared" si="142"/>
        <v>0</v>
      </c>
      <c r="AI40" s="4">
        <f t="shared" si="142"/>
        <v>0</v>
      </c>
      <c r="AJ40" s="4">
        <f t="shared" si="142"/>
        <v>0</v>
      </c>
      <c r="AK40" s="4">
        <f t="shared" si="142"/>
        <v>0</v>
      </c>
      <c r="AL40" s="4">
        <f t="shared" si="142"/>
        <v>0</v>
      </c>
      <c r="AM40" s="4">
        <f t="shared" si="142"/>
        <v>0</v>
      </c>
      <c r="AN40" s="4">
        <f t="shared" si="142"/>
        <v>0</v>
      </c>
      <c r="AO40" s="4">
        <f t="shared" si="142"/>
        <v>0</v>
      </c>
      <c r="AP40" s="4">
        <f t="shared" si="142"/>
        <v>0</v>
      </c>
      <c r="AQ40" s="4">
        <f t="shared" si="142"/>
        <v>0</v>
      </c>
    </row>
    <row r="41" spans="1:43" ht="15" thickTop="1" x14ac:dyDescent="0.3">
      <c r="B41" s="29"/>
      <c r="D41" s="35"/>
      <c r="E41" s="35"/>
      <c r="F41" s="79"/>
      <c r="G41" s="35"/>
      <c r="H41" s="79"/>
      <c r="I41" s="35"/>
      <c r="J41" s="79"/>
      <c r="K41" s="5"/>
    </row>
    <row r="42" spans="1:43" x14ac:dyDescent="0.3">
      <c r="B42" s="29" t="s">
        <v>150</v>
      </c>
      <c r="D42" s="35"/>
      <c r="E42" s="35"/>
      <c r="F42" s="79"/>
      <c r="G42" s="35"/>
      <c r="H42" s="79"/>
      <c r="I42" s="35"/>
      <c r="J42" s="79"/>
      <c r="K42" s="5"/>
    </row>
    <row r="43" spans="1:43" x14ac:dyDescent="0.3">
      <c r="B43" s="36" t="s">
        <v>31</v>
      </c>
      <c r="D43" s="35"/>
      <c r="E43" s="35"/>
      <c r="F43" s="79"/>
      <c r="G43" s="35"/>
      <c r="H43" s="79"/>
      <c r="I43" s="35"/>
      <c r="J43" s="79"/>
      <c r="K43" s="5"/>
    </row>
    <row r="44" spans="1:43" hidden="1" x14ac:dyDescent="0.3">
      <c r="A44" s="4" t="s">
        <v>192</v>
      </c>
      <c r="B44" s="4"/>
      <c r="C44" s="36" t="s">
        <v>186</v>
      </c>
      <c r="D44" s="35"/>
      <c r="E44" s="35"/>
      <c r="F44" s="79"/>
      <c r="G44" s="35"/>
      <c r="H44" s="79">
        <f>IF(Cover!$R$18&gt;0,SUMIF($N$1:$AQ$1,Cover!$R$18&amp;H$6,$N44:$AQ44),SUMIF($N$4:$AQ$4,H$6,$N44:$AQ44))</f>
        <v>0</v>
      </c>
      <c r="I44" s="70"/>
      <c r="J44" s="79">
        <f>IF(Cover!$R$18&gt;0,SUMIF($N$1:$AQ$1,Cover!$R$18&amp;J$6,$N44:$AQ44),SUMIF($N$4:$AQ$4,J$6,$N44:$AQ44))</f>
        <v>0</v>
      </c>
      <c r="K44" s="5"/>
      <c r="N44" s="4">
        <v>166.6</v>
      </c>
      <c r="P44" s="4">
        <v>299.88</v>
      </c>
      <c r="R44" s="4">
        <v>99.96</v>
      </c>
      <c r="T44" s="4">
        <v>0</v>
      </c>
    </row>
    <row r="45" spans="1:43" x14ac:dyDescent="0.3">
      <c r="B45" s="4"/>
      <c r="C45" s="97" t="s">
        <v>259</v>
      </c>
      <c r="D45" s="96"/>
      <c r="E45" s="96"/>
      <c r="F45" s="79"/>
      <c r="G45" s="96"/>
      <c r="H45" s="79">
        <f>IF(Cover!$R$18&gt;0,SUMIF($N$1:$AQ$1,Cover!$R$18&amp;H$6,$N45:$AQ45),SUMIF($N$4:$AQ$4,H$6,$N45:$AQ45))</f>
        <v>0</v>
      </c>
      <c r="I45" s="70"/>
      <c r="J45" s="79">
        <f>IF(Cover!$R$18&gt;0,SUMIF($N$1:$AQ$1,Cover!$R$18&amp;J$6,$N45:$AQ45),SUMIF($N$4:$AQ$4,J$6,$N45:$AQ45))</f>
        <v>0</v>
      </c>
      <c r="K45" s="5"/>
      <c r="T45" s="4">
        <v>950</v>
      </c>
      <c r="V45" s="4">
        <v>2160</v>
      </c>
    </row>
    <row r="46" spans="1:43" x14ac:dyDescent="0.3">
      <c r="B46" s="4"/>
      <c r="C46" s="105" t="s">
        <v>278</v>
      </c>
      <c r="D46" s="104"/>
      <c r="E46" s="104"/>
      <c r="F46" s="79"/>
      <c r="G46" s="104"/>
      <c r="H46" s="79">
        <f>IF(Cover!$R$18&gt;0,SUMIF($N$1:$AQ$1,Cover!$R$18&amp;H$6,$N46:$AQ46),SUMIF($N$4:$AQ$4,H$6,$N46:$AQ46))</f>
        <v>0</v>
      </c>
      <c r="I46" s="70"/>
      <c r="J46" s="79">
        <f>IF(Cover!$R$18&gt;0,SUMIF($N$1:$AQ$1,Cover!$R$18&amp;J$6,$N46:$AQ46),SUMIF($N$4:$AQ$4,J$6,$N46:$AQ46))</f>
        <v>0</v>
      </c>
      <c r="K46" s="5"/>
      <c r="V46" s="4">
        <v>912</v>
      </c>
    </row>
    <row r="47" spans="1:43" x14ac:dyDescent="0.3">
      <c r="A47" s="4" t="s">
        <v>193</v>
      </c>
      <c r="B47" s="4"/>
      <c r="C47" s="36" t="s">
        <v>172</v>
      </c>
      <c r="D47" s="35"/>
      <c r="E47" s="35"/>
      <c r="F47" s="79"/>
      <c r="G47" s="35"/>
      <c r="H47" s="79">
        <f>IF(Cover!$R$18&gt;0,SUMIF($N$1:$AQ$1,Cover!$R$18&amp;H$6,$N47:$AQ47),SUMIF($N$4:$AQ$4,H$6,$N47:$AQ47))</f>
        <v>0</v>
      </c>
      <c r="I47" s="70"/>
      <c r="J47" s="79">
        <f>IF(Cover!$R$18&gt;0,SUMIF($N$1:$AQ$1,Cover!$R$18&amp;J$6,$N47:$AQ47),SUMIF($N$4:$AQ$4,J$6,$N47:$AQ47))</f>
        <v>0</v>
      </c>
      <c r="K47" s="5"/>
      <c r="N47" s="4">
        <v>320.88</v>
      </c>
      <c r="P47" s="4">
        <v>374.4</v>
      </c>
      <c r="R47" s="4">
        <v>4063.44</v>
      </c>
      <c r="T47" s="4">
        <v>5228.2299999999996</v>
      </c>
      <c r="V47" s="4">
        <v>3434.34</v>
      </c>
    </row>
    <row r="48" spans="1:43" hidden="1" x14ac:dyDescent="0.3">
      <c r="A48" s="4" t="s">
        <v>158</v>
      </c>
      <c r="B48" s="4"/>
      <c r="C48" s="36" t="s">
        <v>98</v>
      </c>
      <c r="D48" s="35"/>
      <c r="E48" s="35"/>
      <c r="F48" s="79"/>
      <c r="G48" s="35"/>
      <c r="H48" s="79">
        <f>IF(Cover!$R$18&gt;0,SUMIF($N$1:$AQ$1,Cover!$R$18&amp;H$6,$N48:$AQ48),SUMIF($N$4:$AQ$4,H$6,$N48:$AQ48))</f>
        <v>0</v>
      </c>
      <c r="I48" s="70"/>
      <c r="J48" s="79">
        <f>IF(Cover!$R$18&gt;0,SUMIF($N$1:$AQ$1,Cover!$R$18&amp;J$6,$N48:$AQ48),SUMIF($N$4:$AQ$4,J$6,$N48:$AQ48))</f>
        <v>0</v>
      </c>
      <c r="K48" s="5"/>
      <c r="N48" s="4">
        <v>218.21</v>
      </c>
      <c r="O48" s="4">
        <v>485.21</v>
      </c>
      <c r="P48" s="4">
        <v>0</v>
      </c>
      <c r="Q48" s="4">
        <v>0</v>
      </c>
      <c r="R48" s="4">
        <v>0</v>
      </c>
    </row>
    <row r="49" spans="1:43" hidden="1" x14ac:dyDescent="0.3">
      <c r="A49" s="4" t="s">
        <v>194</v>
      </c>
      <c r="B49" s="4"/>
      <c r="C49" s="36" t="s">
        <v>159</v>
      </c>
      <c r="D49" s="35"/>
      <c r="E49" s="35"/>
      <c r="F49" s="79"/>
      <c r="G49" s="35"/>
      <c r="H49" s="79">
        <f>IF(Cover!$R$18&gt;0,SUMIF($N$1:$AQ$1,Cover!$R$18&amp;H$6,$N49:$AQ49),SUMIF($N$4:$AQ$4,H$6,$N49:$AQ49))</f>
        <v>0</v>
      </c>
      <c r="I49" s="70"/>
      <c r="J49" s="79">
        <f>IF(Cover!$R$18&gt;0,SUMIF($N$1:$AQ$1,Cover!$R$18&amp;J$6,$N49:$AQ49),SUMIF($N$4:$AQ$4,J$6,$N49:$AQ49))</f>
        <v>0</v>
      </c>
      <c r="K49" s="5"/>
      <c r="N49" s="4">
        <v>187.5</v>
      </c>
      <c r="O49" s="4">
        <v>750</v>
      </c>
      <c r="P49" s="4">
        <v>0</v>
      </c>
      <c r="Q49" s="4">
        <v>0</v>
      </c>
      <c r="R49" s="4">
        <v>0</v>
      </c>
    </row>
    <row r="50" spans="1:43" hidden="1" x14ac:dyDescent="0.3">
      <c r="A50" s="4" t="s">
        <v>195</v>
      </c>
      <c r="B50" s="4"/>
      <c r="C50" s="36" t="s">
        <v>99</v>
      </c>
      <c r="D50" s="35"/>
      <c r="E50" s="35"/>
      <c r="F50" s="79"/>
      <c r="G50" s="35"/>
      <c r="H50" s="79">
        <f>IF(Cover!$R$18&gt;0,SUMIF($N$1:$AQ$1,Cover!$R$18&amp;H$6,$N50:$AQ50),SUMIF($N$4:$AQ$4,H$6,$N50:$AQ50))</f>
        <v>0</v>
      </c>
      <c r="I50" s="70"/>
      <c r="J50" s="79">
        <f>IF(Cover!$R$18&gt;0,SUMIF($N$1:$AQ$1,Cover!$R$18&amp;J$6,$N50:$AQ50),SUMIF($N$4:$AQ$4,J$6,$N50:$AQ50))</f>
        <v>0</v>
      </c>
      <c r="K50" s="5"/>
      <c r="N50" s="4">
        <v>0</v>
      </c>
      <c r="P50" s="4">
        <v>0</v>
      </c>
    </row>
    <row r="51" spans="1:43" hidden="1" x14ac:dyDescent="0.3">
      <c r="A51" s="4" t="s">
        <v>196</v>
      </c>
      <c r="B51" s="4"/>
      <c r="C51" s="36" t="s">
        <v>100</v>
      </c>
      <c r="D51" s="35"/>
      <c r="E51" s="35"/>
      <c r="F51" s="79"/>
      <c r="G51" s="35"/>
      <c r="H51" s="79">
        <f>IF(Cover!$R$18&gt;0,SUMIF($N$1:$AQ$1,Cover!$R$18&amp;H$6,$N51:$AQ51),SUMIF($N$4:$AQ$4,H$6,$N51:$AQ51))</f>
        <v>0</v>
      </c>
      <c r="I51" s="70"/>
      <c r="J51" s="79">
        <f>IF(Cover!$R$18&gt;0,SUMIF($N$1:$AQ$1,Cover!$R$18&amp;J$6,$N51:$AQ51),SUMIF($N$4:$AQ$4,J$6,$N51:$AQ51))</f>
        <v>0</v>
      </c>
      <c r="K51" s="5"/>
      <c r="N51" s="4">
        <v>0</v>
      </c>
      <c r="P51" s="4">
        <v>0</v>
      </c>
    </row>
    <row r="52" spans="1:43" x14ac:dyDescent="0.3">
      <c r="B52" s="4"/>
      <c r="C52" s="103" t="s">
        <v>273</v>
      </c>
      <c r="D52" s="102"/>
      <c r="E52" s="102"/>
      <c r="F52" s="79"/>
      <c r="G52" s="102"/>
      <c r="H52" s="79">
        <f>IF(Cover!$R$18&gt;0,SUMIF($N$1:$AQ$1,Cover!$R$18&amp;H$6,$N52:$AQ52),SUMIF($N$4:$AQ$4,H$6,$N52:$AQ52))</f>
        <v>0</v>
      </c>
      <c r="I52" s="70"/>
      <c r="J52" s="79">
        <f>IF(Cover!$R$18&gt;0,SUMIF($N$1:$AQ$1,Cover!$R$18&amp;J$6,$N52:$AQ52),SUMIF($N$4:$AQ$4,J$6,$N52:$AQ52))</f>
        <v>0</v>
      </c>
      <c r="K52" s="5"/>
      <c r="W52" s="4">
        <v>290.5</v>
      </c>
    </row>
    <row r="53" spans="1:43" x14ac:dyDescent="0.3">
      <c r="A53" s="4" t="s">
        <v>197</v>
      </c>
      <c r="B53" s="4"/>
      <c r="C53" s="36" t="s">
        <v>101</v>
      </c>
      <c r="D53" s="35"/>
      <c r="E53" s="35"/>
      <c r="F53" s="79"/>
      <c r="G53" s="35"/>
      <c r="H53" s="79">
        <f>IF(Cover!$R$18&gt;0,SUMIF($N$1:$AQ$1,Cover!$R$18&amp;H$6,$N53:$AQ53),SUMIF($N$4:$AQ$4,H$6,$N53:$AQ53))</f>
        <v>0</v>
      </c>
      <c r="I53" s="70"/>
      <c r="J53" s="79">
        <f>IF(Cover!$R$18&gt;0,SUMIF($N$1:$AQ$1,Cover!$R$18&amp;J$6,$N53:$AQ53),SUMIF($N$4:$AQ$4,J$6,$N53:$AQ53))</f>
        <v>0</v>
      </c>
      <c r="K53" s="5"/>
      <c r="N53" s="4">
        <v>4188.6000000000004</v>
      </c>
      <c r="P53" s="4">
        <v>8842.6</v>
      </c>
      <c r="R53" s="4">
        <v>11194.92</v>
      </c>
      <c r="T53" s="4">
        <v>15761.79</v>
      </c>
      <c r="U53" s="4">
        <v>587.07000000000005</v>
      </c>
      <c r="V53" s="4">
        <v>16368.66</v>
      </c>
    </row>
    <row r="54" spans="1:43" hidden="1" x14ac:dyDescent="0.3">
      <c r="A54" s="4" t="s">
        <v>198</v>
      </c>
      <c r="B54" s="4"/>
      <c r="C54" s="36" t="s">
        <v>102</v>
      </c>
      <c r="D54" s="35"/>
      <c r="E54" s="35"/>
      <c r="F54" s="79"/>
      <c r="G54" s="35"/>
      <c r="H54" s="79">
        <f>IF(Cover!$R$18&gt;0,SUMIF($N$1:$AQ$1,Cover!$R$18&amp;H$6,$N54:$AQ54),SUMIF($N$4:$AQ$4,H$6,$N54:$AQ54))</f>
        <v>0</v>
      </c>
      <c r="I54" s="70"/>
      <c r="J54" s="79">
        <f>IF(Cover!$R$18&gt;0,SUMIF($N$1:$AQ$1,Cover!$R$18&amp;J$6,$N54:$AQ54),SUMIF($N$4:$AQ$4,J$6,$N54:$AQ54))</f>
        <v>0</v>
      </c>
      <c r="K54" s="5"/>
      <c r="N54" s="4">
        <v>0</v>
      </c>
      <c r="P54" s="4">
        <v>0</v>
      </c>
    </row>
    <row r="55" spans="1:43" x14ac:dyDescent="0.3">
      <c r="B55" s="4"/>
      <c r="C55" s="97" t="s">
        <v>260</v>
      </c>
      <c r="D55" s="96"/>
      <c r="E55" s="96"/>
      <c r="F55" s="79"/>
      <c r="G55" s="96"/>
      <c r="H55" s="79">
        <f>IF(Cover!$R$18&gt;0,SUMIF($N$1:$AQ$1,Cover!$R$18&amp;H$6,$N55:$AQ55),SUMIF($N$4:$AQ$4,H$6,$N55:$AQ55))</f>
        <v>0</v>
      </c>
      <c r="I55" s="70"/>
      <c r="J55" s="79">
        <f>IF(Cover!$R$18&gt;0,SUMIF($N$1:$AQ$1,Cover!$R$18&amp;J$6,$N55:$AQ55),SUMIF($N$4:$AQ$4,J$6,$N55:$AQ55))</f>
        <v>0</v>
      </c>
      <c r="K55" s="5"/>
      <c r="T55" s="4">
        <v>688.25</v>
      </c>
      <c r="V55" s="4">
        <v>0</v>
      </c>
    </row>
    <row r="56" spans="1:43" x14ac:dyDescent="0.3">
      <c r="B56" s="4"/>
      <c r="C56" s="105" t="s">
        <v>255</v>
      </c>
      <c r="D56" s="104"/>
      <c r="E56" s="104"/>
      <c r="F56" s="79"/>
      <c r="G56" s="104"/>
      <c r="H56" s="79">
        <f>IF(Cover!$R$18&gt;0,SUMIF($N$1:$AQ$1,Cover!$R$18&amp;H$6,$N56:$AQ56),SUMIF($N$4:$AQ$4,H$6,$N56:$AQ56))</f>
        <v>0</v>
      </c>
      <c r="I56" s="70"/>
      <c r="J56" s="79">
        <f>IF(Cover!$R$18&gt;0,SUMIF($N$1:$AQ$1,Cover!$R$18&amp;J$6,$N56:$AQ56),SUMIF($N$4:$AQ$4,J$6,$N56:$AQ56))</f>
        <v>0</v>
      </c>
      <c r="K56" s="5"/>
      <c r="V56" s="4">
        <v>63.23</v>
      </c>
    </row>
    <row r="57" spans="1:43" x14ac:dyDescent="0.3">
      <c r="A57" s="4" t="s">
        <v>199</v>
      </c>
      <c r="B57" s="4"/>
      <c r="C57" s="36" t="s">
        <v>174</v>
      </c>
      <c r="D57" s="35"/>
      <c r="E57" s="35"/>
      <c r="F57" s="79"/>
      <c r="G57" s="35"/>
      <c r="H57" s="79">
        <f>IF(Cover!$R$18&gt;0,SUMIF($N$1:$AQ$1,Cover!$R$18&amp;H$6,$N57:$AQ57),SUMIF($N$4:$AQ$4,H$6,$N57:$AQ57))</f>
        <v>0</v>
      </c>
      <c r="I57" s="70"/>
      <c r="J57" s="79">
        <f>IF(Cover!$R$18&gt;0,SUMIF($N$1:$AQ$1,Cover!$R$18&amp;J$6,$N57:$AQ57),SUMIF($N$4:$AQ$4,J$6,$N57:$AQ57))</f>
        <v>0</v>
      </c>
      <c r="K57" s="5"/>
      <c r="N57" s="4">
        <v>2726.64</v>
      </c>
      <c r="P57" s="4">
        <v>6297.24</v>
      </c>
      <c r="R57" s="4">
        <v>6827.72</v>
      </c>
      <c r="T57" s="4">
        <v>7940.02</v>
      </c>
      <c r="V57" s="4">
        <v>8800.2800000000007</v>
      </c>
    </row>
    <row r="58" spans="1:43" x14ac:dyDescent="0.3">
      <c r="A58" s="4" t="s">
        <v>200</v>
      </c>
      <c r="B58" s="36"/>
      <c r="C58" s="93" t="s">
        <v>176</v>
      </c>
      <c r="D58" s="35"/>
      <c r="E58" s="35"/>
      <c r="F58" s="79"/>
      <c r="G58" s="35"/>
      <c r="H58" s="79">
        <f>IF(Cover!$R$18&gt;0,SUMIF($N$1:$AQ$1,Cover!$R$18&amp;H$6,$N58:$AQ58),SUMIF($N$4:$AQ$4,H$6,$N58:$AQ58))</f>
        <v>0</v>
      </c>
      <c r="I58" s="70"/>
      <c r="J58" s="79">
        <f>IF(Cover!$R$18&gt;0,SUMIF($N$1:$AQ$1,Cover!$R$18&amp;J$6,$N58:$AQ58),SUMIF($N$4:$AQ$4,J$6,$N58:$AQ58))</f>
        <v>0</v>
      </c>
      <c r="K58" s="5"/>
      <c r="N58" s="4">
        <v>939.25</v>
      </c>
      <c r="P58" s="4">
        <v>1038.55</v>
      </c>
      <c r="R58" s="4">
        <v>7045.96</v>
      </c>
      <c r="T58" s="4">
        <v>5318.47</v>
      </c>
      <c r="V58" s="4">
        <v>3843.82</v>
      </c>
    </row>
    <row r="59" spans="1:43" x14ac:dyDescent="0.3">
      <c r="B59" s="93"/>
      <c r="C59" s="93" t="s">
        <v>256</v>
      </c>
      <c r="D59" s="92"/>
      <c r="E59" s="92"/>
      <c r="F59" s="79"/>
      <c r="G59" s="92"/>
      <c r="H59" s="79">
        <f>IF(Cover!$R$18&gt;0,SUMIF($N$1:$AQ$1,Cover!$R$18&amp;H$6,$N59:$AQ59),SUMIF($N$4:$AQ$4,H$6,$N59:$AQ59))</f>
        <v>0</v>
      </c>
      <c r="I59" s="70"/>
      <c r="J59" s="79">
        <f>IF(Cover!$R$18&gt;0,SUMIF($N$1:$AQ$1,Cover!$R$18&amp;J$6,$N59:$AQ59),SUMIF($N$4:$AQ$4,J$6,$N59:$AQ59))</f>
        <v>0</v>
      </c>
      <c r="K59" s="5"/>
      <c r="R59" s="4">
        <v>670</v>
      </c>
      <c r="T59" s="4">
        <v>1160</v>
      </c>
      <c r="V59" s="4">
        <v>670</v>
      </c>
    </row>
    <row r="60" spans="1:43" x14ac:dyDescent="0.3">
      <c r="B60" s="36"/>
      <c r="D60" s="64"/>
      <c r="E60" s="64"/>
      <c r="F60" s="80"/>
      <c r="G60" s="64"/>
      <c r="H60" s="86">
        <f>SUM(H44:H59)</f>
        <v>0</v>
      </c>
      <c r="I60" s="35"/>
      <c r="J60" s="86">
        <f>SUM(J44:J59)</f>
        <v>0</v>
      </c>
      <c r="K60" s="22"/>
      <c r="N60" s="4">
        <f>SUM(N44:N59)</f>
        <v>8747.68</v>
      </c>
      <c r="O60" s="4">
        <f t="shared" ref="O60:AQ60" si="143">SUM(O44:O59)</f>
        <v>1235.21</v>
      </c>
      <c r="P60" s="4">
        <f t="shared" si="143"/>
        <v>16852.670000000002</v>
      </c>
      <c r="Q60" s="4">
        <f t="shared" si="143"/>
        <v>0</v>
      </c>
      <c r="R60" s="4">
        <f t="shared" si="143"/>
        <v>29902</v>
      </c>
      <c r="S60" s="4">
        <f t="shared" si="143"/>
        <v>0</v>
      </c>
      <c r="T60" s="4">
        <f t="shared" si="143"/>
        <v>37046.76</v>
      </c>
      <c r="U60" s="4">
        <f t="shared" si="143"/>
        <v>587.07000000000005</v>
      </c>
      <c r="V60" s="4">
        <f t="shared" si="143"/>
        <v>36252.33</v>
      </c>
      <c r="W60" s="4">
        <f t="shared" si="143"/>
        <v>290.5</v>
      </c>
      <c r="X60" s="4">
        <f t="shared" si="143"/>
        <v>0</v>
      </c>
      <c r="Y60" s="4">
        <f t="shared" si="143"/>
        <v>0</v>
      </c>
      <c r="Z60" s="4">
        <f t="shared" si="143"/>
        <v>0</v>
      </c>
      <c r="AA60" s="4">
        <f t="shared" si="143"/>
        <v>0</v>
      </c>
      <c r="AB60" s="4">
        <f t="shared" si="143"/>
        <v>0</v>
      </c>
      <c r="AC60" s="4">
        <f t="shared" si="143"/>
        <v>0</v>
      </c>
      <c r="AD60" s="4">
        <f t="shared" si="143"/>
        <v>0</v>
      </c>
      <c r="AE60" s="4">
        <f t="shared" si="143"/>
        <v>0</v>
      </c>
      <c r="AF60" s="4">
        <f t="shared" si="143"/>
        <v>0</v>
      </c>
      <c r="AG60" s="4">
        <f t="shared" si="143"/>
        <v>0</v>
      </c>
      <c r="AH60" s="4">
        <f t="shared" si="143"/>
        <v>0</v>
      </c>
      <c r="AI60" s="4">
        <f t="shared" si="143"/>
        <v>0</v>
      </c>
      <c r="AJ60" s="4">
        <f t="shared" si="143"/>
        <v>0</v>
      </c>
      <c r="AK60" s="4">
        <f t="shared" si="143"/>
        <v>0</v>
      </c>
      <c r="AL60" s="4">
        <f t="shared" si="143"/>
        <v>0</v>
      </c>
      <c r="AM60" s="4">
        <f t="shared" si="143"/>
        <v>0</v>
      </c>
      <c r="AN60" s="4">
        <f t="shared" si="143"/>
        <v>0</v>
      </c>
      <c r="AO60" s="4">
        <f t="shared" si="143"/>
        <v>0</v>
      </c>
      <c r="AP60" s="4">
        <f t="shared" si="143"/>
        <v>0</v>
      </c>
      <c r="AQ60" s="4">
        <f t="shared" si="143"/>
        <v>0</v>
      </c>
    </row>
    <row r="61" spans="1:43" x14ac:dyDescent="0.3">
      <c r="B61" s="36" t="s">
        <v>32</v>
      </c>
      <c r="D61" s="35"/>
      <c r="E61" s="35"/>
      <c r="F61" s="79"/>
      <c r="G61" s="35"/>
      <c r="H61" s="80"/>
      <c r="I61" s="64"/>
      <c r="J61" s="80"/>
      <c r="K61" s="5"/>
    </row>
    <row r="62" spans="1:43" x14ac:dyDescent="0.3">
      <c r="A62" s="4" t="s">
        <v>179</v>
      </c>
      <c r="B62" s="4"/>
      <c r="C62" s="36" t="s">
        <v>103</v>
      </c>
      <c r="D62" s="35"/>
      <c r="E62" s="35"/>
      <c r="F62" s="79"/>
      <c r="G62" s="35"/>
      <c r="H62" s="79">
        <f>IF(Cover!$R$18&gt;0,SUMIF($N$1:$AQ$1,Cover!$R$18&amp;H$6,$N62:$AQ62),SUMIF($N$4:$AQ$4,H$6,$N62:$AQ62))</f>
        <v>0</v>
      </c>
      <c r="I62" s="70"/>
      <c r="J62" s="79">
        <f>IF(Cover!$R$18&gt;0,SUMIF($N$1:$AQ$1,Cover!$R$18&amp;J$6,$N62:$AQ62),SUMIF($N$4:$AQ$4,J$6,$N62:$AQ62))</f>
        <v>0</v>
      </c>
      <c r="K62" s="5"/>
      <c r="O62" s="4">
        <v>0.43</v>
      </c>
      <c r="Q62" s="4">
        <v>0.64</v>
      </c>
      <c r="S62" s="4">
        <v>0.91</v>
      </c>
      <c r="T62" s="4">
        <v>1697.29</v>
      </c>
      <c r="U62" s="4">
        <v>0.06</v>
      </c>
      <c r="W62" s="4">
        <v>2.14</v>
      </c>
      <c r="Y62" s="4">
        <v>1.68</v>
      </c>
    </row>
    <row r="63" spans="1:43" x14ac:dyDescent="0.3">
      <c r="A63" s="4" t="s">
        <v>177</v>
      </c>
      <c r="B63" s="4"/>
      <c r="C63" s="36" t="s">
        <v>104</v>
      </c>
      <c r="D63" s="35"/>
      <c r="E63" s="35"/>
      <c r="F63" s="79"/>
      <c r="G63" s="35"/>
      <c r="H63" s="79">
        <f>IF(Cover!$R$18&gt;0,SUMIF($N$1:$AQ$1,Cover!$R$18&amp;H$6,$N63:$AQ63),SUMIF($N$4:$AQ$4,H$6,$N63:$AQ63))</f>
        <v>0</v>
      </c>
      <c r="I63" s="70"/>
      <c r="J63" s="79">
        <f>IF(Cover!$R$18&gt;0,SUMIF($N$1:$AQ$1,Cover!$R$18&amp;J$6,$N63:$AQ63),SUMIF($N$4:$AQ$4,J$6,$N63:$AQ63))</f>
        <v>0</v>
      </c>
      <c r="K63" s="5"/>
      <c r="O63" s="4">
        <v>111.46</v>
      </c>
      <c r="Q63" s="4">
        <v>89.3</v>
      </c>
      <c r="S63" s="4">
        <v>25.96</v>
      </c>
      <c r="U63" s="4">
        <v>40.94</v>
      </c>
      <c r="W63" s="4">
        <v>306.79000000000002</v>
      </c>
      <c r="Y63" s="4">
        <v>116.7</v>
      </c>
    </row>
    <row r="64" spans="1:43" x14ac:dyDescent="0.3">
      <c r="A64" s="4" t="s">
        <v>178</v>
      </c>
      <c r="B64" s="4"/>
      <c r="C64" s="36" t="s">
        <v>169</v>
      </c>
      <c r="D64" s="35"/>
      <c r="E64" s="35"/>
      <c r="F64" s="79"/>
      <c r="G64" s="35"/>
      <c r="H64" s="79">
        <f>IF(Cover!$R$18&gt;0,SUMIF($N$1:$AQ$1,Cover!$R$18&amp;H$6,$N64:$AQ64),SUMIF($N$4:$AQ$4,H$6,$N64:$AQ64))</f>
        <v>0</v>
      </c>
      <c r="I64" s="70"/>
      <c r="J64" s="79">
        <f>IF(Cover!$R$18&gt;0,SUMIF($N$1:$AQ$1,Cover!$R$18&amp;J$6,$N64:$AQ64),SUMIF($N$4:$AQ$4,J$6,$N64:$AQ64))</f>
        <v>0</v>
      </c>
      <c r="K64" s="5"/>
      <c r="N64" s="4">
        <v>23.48</v>
      </c>
      <c r="P64" s="4">
        <v>18.97</v>
      </c>
      <c r="R64" s="4">
        <v>10559.76</v>
      </c>
      <c r="V64" s="4">
        <v>378.32</v>
      </c>
      <c r="X64" s="4">
        <v>39.21</v>
      </c>
    </row>
    <row r="65" spans="1:43" x14ac:dyDescent="0.3">
      <c r="B65" s="36"/>
      <c r="D65" s="64"/>
      <c r="E65" s="64"/>
      <c r="F65" s="80"/>
      <c r="G65" s="64"/>
      <c r="H65" s="89">
        <f>SUM(H62:H64)</f>
        <v>0</v>
      </c>
      <c r="I65" s="35"/>
      <c r="J65" s="89">
        <f>SUM(J62:J64)</f>
        <v>0</v>
      </c>
      <c r="K65" s="22"/>
      <c r="N65" s="4">
        <f>SUM(N62:N64)</f>
        <v>23.48</v>
      </c>
      <c r="O65" s="4">
        <f t="shared" ref="O65:U65" si="144">SUM(O62:O64)</f>
        <v>111.89</v>
      </c>
      <c r="P65" s="4">
        <f t="shared" si="144"/>
        <v>18.97</v>
      </c>
      <c r="Q65" s="4">
        <f t="shared" si="144"/>
        <v>89.94</v>
      </c>
      <c r="R65" s="4">
        <f t="shared" si="144"/>
        <v>10559.76</v>
      </c>
      <c r="S65" s="4">
        <f t="shared" si="144"/>
        <v>26.87</v>
      </c>
      <c r="T65" s="4">
        <f t="shared" si="144"/>
        <v>1697.29</v>
      </c>
      <c r="U65" s="4">
        <f t="shared" si="144"/>
        <v>41</v>
      </c>
      <c r="V65" s="4">
        <f t="shared" ref="V65" si="145">SUM(V62:V64)</f>
        <v>378.32</v>
      </c>
      <c r="W65" s="4">
        <f t="shared" ref="W65" si="146">SUM(W62:W64)</f>
        <v>308.93</v>
      </c>
      <c r="X65" s="4">
        <f t="shared" ref="X65" si="147">SUM(X62:X64)</f>
        <v>39.21</v>
      </c>
      <c r="Y65" s="4">
        <f t="shared" ref="Y65" si="148">SUM(Y62:Y64)</f>
        <v>118.38000000000001</v>
      </c>
      <c r="Z65" s="4">
        <f t="shared" ref="Z65" si="149">SUM(Z62:Z64)</f>
        <v>0</v>
      </c>
      <c r="AA65" s="4">
        <f t="shared" ref="AA65" si="150">SUM(AA62:AA64)</f>
        <v>0</v>
      </c>
      <c r="AB65" s="4">
        <f t="shared" ref="AB65" si="151">SUM(AB62:AB64)</f>
        <v>0</v>
      </c>
      <c r="AC65" s="4">
        <f t="shared" ref="AC65" si="152">SUM(AC62:AC64)</f>
        <v>0</v>
      </c>
      <c r="AD65" s="4">
        <f t="shared" ref="AD65" si="153">SUM(AD62:AD64)</f>
        <v>0</v>
      </c>
      <c r="AE65" s="4">
        <f t="shared" ref="AE65" si="154">SUM(AE62:AE64)</f>
        <v>0</v>
      </c>
      <c r="AF65" s="4">
        <f t="shared" ref="AF65" si="155">SUM(AF62:AF64)</f>
        <v>0</v>
      </c>
      <c r="AG65" s="4">
        <f t="shared" ref="AG65" si="156">SUM(AG62:AG64)</f>
        <v>0</v>
      </c>
      <c r="AH65" s="4">
        <f t="shared" ref="AH65" si="157">SUM(AH62:AH64)</f>
        <v>0</v>
      </c>
      <c r="AI65" s="4">
        <f t="shared" ref="AI65" si="158">SUM(AI62:AI64)</f>
        <v>0</v>
      </c>
      <c r="AJ65" s="4">
        <f t="shared" ref="AJ65" si="159">SUM(AJ62:AJ64)</f>
        <v>0</v>
      </c>
      <c r="AK65" s="4">
        <f t="shared" ref="AK65" si="160">SUM(AK62:AK64)</f>
        <v>0</v>
      </c>
      <c r="AL65" s="4">
        <f t="shared" ref="AL65" si="161">SUM(AL62:AL64)</f>
        <v>0</v>
      </c>
      <c r="AM65" s="4">
        <f t="shared" ref="AM65" si="162">SUM(AM62:AM64)</f>
        <v>0</v>
      </c>
      <c r="AN65" s="4">
        <f t="shared" ref="AN65" si="163">SUM(AN62:AN64)</f>
        <v>0</v>
      </c>
      <c r="AO65" s="4">
        <f t="shared" ref="AO65" si="164">SUM(AO62:AO64)</f>
        <v>0</v>
      </c>
      <c r="AP65" s="4">
        <f t="shared" ref="AP65" si="165">SUM(AP62:AP64)</f>
        <v>0</v>
      </c>
      <c r="AQ65" s="4">
        <f t="shared" ref="AQ65" si="166">SUM(AQ62:AQ64)</f>
        <v>0</v>
      </c>
    </row>
    <row r="66" spans="1:43" x14ac:dyDescent="0.3">
      <c r="B66" s="36" t="s">
        <v>33</v>
      </c>
      <c r="D66" s="35"/>
      <c r="E66" s="35"/>
      <c r="F66" s="79"/>
      <c r="G66" s="35"/>
      <c r="H66" s="80"/>
      <c r="I66" s="64"/>
      <c r="J66" s="80"/>
      <c r="K66" s="5"/>
    </row>
    <row r="67" spans="1:43" x14ac:dyDescent="0.3">
      <c r="A67" s="4" t="s">
        <v>189</v>
      </c>
      <c r="B67" s="4"/>
      <c r="C67" s="36" t="s">
        <v>186</v>
      </c>
      <c r="D67" s="35"/>
      <c r="E67" s="35"/>
      <c r="F67" s="79"/>
      <c r="G67" s="35"/>
      <c r="H67" s="79">
        <f>IF(Cover!$R$18&gt;0,SUMIF($N$1:$AQ$1,Cover!$R$18&amp;H$6,$N67:$AQ67),SUMIF($N$4:$AQ$4,H$6,$N67:$AQ67))</f>
        <v>0</v>
      </c>
      <c r="I67" s="70"/>
      <c r="J67" s="79">
        <f>IF(Cover!$R$18&gt;0,SUMIF($N$1:$AQ$1,Cover!$R$18&amp;J$6,$N67:$AQ67),SUMIF($N$4:$AQ$4,J$6,$N67:$AQ67))</f>
        <v>0</v>
      </c>
      <c r="K67" s="5"/>
      <c r="N67" s="4">
        <v>-283.22000000000003</v>
      </c>
      <c r="P67" s="4">
        <v>49.98</v>
      </c>
      <c r="R67" s="4">
        <v>-4319.07</v>
      </c>
      <c r="T67" s="4">
        <v>-2636.52</v>
      </c>
      <c r="V67" s="4">
        <v>0</v>
      </c>
    </row>
    <row r="68" spans="1:43" x14ac:dyDescent="0.3">
      <c r="B68" s="4"/>
      <c r="C68" s="97" t="s">
        <v>259</v>
      </c>
      <c r="D68" s="96"/>
      <c r="E68" s="96"/>
      <c r="F68" s="79"/>
      <c r="G68" s="96"/>
      <c r="H68" s="79">
        <f>IF(Cover!$R$18&gt;0,SUMIF($N$1:$AQ$1,Cover!$R$18&amp;H$6,$N68:$AQ68),SUMIF($N$4:$AQ$4,H$6,$N68:$AQ68))</f>
        <v>0</v>
      </c>
      <c r="I68" s="70"/>
      <c r="J68" s="79">
        <f>IF(Cover!$R$18&gt;0,SUMIF($N$1:$AQ$1,Cover!$R$18&amp;J$6,$N68:$AQ68),SUMIF($N$4:$AQ$4,J$6,$N68:$AQ68))</f>
        <v>0</v>
      </c>
      <c r="K68" s="5"/>
      <c r="T68" s="4">
        <v>-2602.4299999999998</v>
      </c>
      <c r="V68" s="4">
        <v>6210</v>
      </c>
    </row>
    <row r="69" spans="1:43" x14ac:dyDescent="0.3">
      <c r="B69" s="4"/>
      <c r="C69" s="105" t="s">
        <v>278</v>
      </c>
      <c r="D69" s="104"/>
      <c r="E69" s="104"/>
      <c r="F69" s="79"/>
      <c r="G69" s="104"/>
      <c r="H69" s="79">
        <f>IF(Cover!$R$18&gt;0,SUMIF($N$1:$AQ$1,Cover!$R$18&amp;H$6,$N69:$AQ69),SUMIF($N$4:$AQ$4,H$6,$N69:$AQ69))</f>
        <v>0</v>
      </c>
      <c r="I69" s="70"/>
      <c r="J69" s="79">
        <f>IF(Cover!$R$18&gt;0,SUMIF($N$1:$AQ$1,Cover!$R$18&amp;J$6,$N69:$AQ69),SUMIF($N$4:$AQ$4,J$6,$N69:$AQ69))</f>
        <v>0</v>
      </c>
      <c r="K69" s="5"/>
      <c r="V69" s="4">
        <v>508.75</v>
      </c>
    </row>
    <row r="70" spans="1:43" x14ac:dyDescent="0.3">
      <c r="A70" s="4" t="s">
        <v>185</v>
      </c>
      <c r="B70" s="4"/>
      <c r="C70" s="36" t="s">
        <v>172</v>
      </c>
      <c r="D70" s="35"/>
      <c r="E70" s="35"/>
      <c r="F70" s="79"/>
      <c r="G70" s="35"/>
      <c r="H70" s="79">
        <f>IF(Cover!$R$18&gt;0,SUMIF($N$1:$AQ$1,Cover!$R$18&amp;H$6,$N70:$AQ70),SUMIF($N$4:$AQ$4,H$6,$N70:$AQ70))</f>
        <v>0</v>
      </c>
      <c r="I70" s="70"/>
      <c r="J70" s="79">
        <f>IF(Cover!$R$18&gt;0,SUMIF($N$1:$AQ$1,Cover!$R$18&amp;J$6,$N70:$AQ70),SUMIF($N$4:$AQ$4,J$6,$N70:$AQ70))</f>
        <v>0</v>
      </c>
      <c r="K70" s="5"/>
      <c r="N70" s="4">
        <v>-23.2</v>
      </c>
      <c r="P70" s="4">
        <v>1313.7</v>
      </c>
      <c r="R70" s="4">
        <v>-17504.34</v>
      </c>
      <c r="T70" s="4">
        <v>-40236</v>
      </c>
      <c r="V70" s="4">
        <v>22177.7</v>
      </c>
    </row>
    <row r="71" spans="1:43" x14ac:dyDescent="0.3">
      <c r="A71" s="4" t="s">
        <v>157</v>
      </c>
      <c r="B71" s="4"/>
      <c r="C71" s="36" t="s">
        <v>98</v>
      </c>
      <c r="D71" s="35"/>
      <c r="E71" s="35"/>
      <c r="F71" s="79"/>
      <c r="G71" s="35"/>
      <c r="H71" s="79">
        <f>IF(Cover!$R$18&gt;0,SUMIF($N$1:$AQ$1,Cover!$R$18&amp;H$6,$N71:$AQ71),SUMIF($N$4:$AQ$4,H$6,$N71:$AQ71))</f>
        <v>0</v>
      </c>
      <c r="I71" s="70"/>
      <c r="J71" s="79">
        <f>IF(Cover!$R$18&gt;0,SUMIF($N$1:$AQ$1,Cover!$R$18&amp;J$6,$N71:$AQ71),SUMIF($N$4:$AQ$4,J$6,$N71:$AQ71))</f>
        <v>0</v>
      </c>
      <c r="K71" s="5"/>
      <c r="N71" s="4">
        <v>-6681.73</v>
      </c>
      <c r="O71" s="4">
        <v>-14858</v>
      </c>
      <c r="P71" s="4">
        <v>-1498.42</v>
      </c>
      <c r="Q71" s="4">
        <v>-3332</v>
      </c>
      <c r="R71" s="4">
        <v>-229.35</v>
      </c>
      <c r="S71" s="4">
        <v>-510</v>
      </c>
      <c r="T71" s="4">
        <v>8050.8</v>
      </c>
      <c r="U71" s="4">
        <v>-136</v>
      </c>
      <c r="V71" s="4">
        <v>0</v>
      </c>
      <c r="W71" s="4">
        <v>18327.849999999999</v>
      </c>
    </row>
    <row r="72" spans="1:43" x14ac:dyDescent="0.3">
      <c r="A72" s="4" t="s">
        <v>180</v>
      </c>
      <c r="B72" s="4"/>
      <c r="C72" s="36" t="s">
        <v>159</v>
      </c>
      <c r="D72" s="35"/>
      <c r="E72" s="35"/>
      <c r="F72" s="79"/>
      <c r="G72" s="35"/>
      <c r="H72" s="79">
        <f>IF(Cover!$R$18&gt;0,SUMIF($N$1:$AQ$1,Cover!$R$18&amp;H$6,$N72:$AQ72),SUMIF($N$4:$AQ$4,H$6,$N72:$AQ72))</f>
        <v>0</v>
      </c>
      <c r="I72" s="70"/>
      <c r="J72" s="79">
        <f>IF(Cover!$R$18&gt;0,SUMIF($N$1:$AQ$1,Cover!$R$18&amp;J$6,$N72:$AQ72),SUMIF($N$4:$AQ$4,J$6,$N72:$AQ72))</f>
        <v>0</v>
      </c>
      <c r="K72" s="5"/>
      <c r="N72" s="4">
        <v>-687.5</v>
      </c>
      <c r="O72" s="4">
        <v>-2750</v>
      </c>
      <c r="P72" s="4">
        <v>-562.5</v>
      </c>
      <c r="Q72" s="4">
        <v>-2250</v>
      </c>
      <c r="R72" s="4">
        <v>1280</v>
      </c>
      <c r="S72" s="4">
        <v>5120</v>
      </c>
      <c r="T72" s="4">
        <v>1680</v>
      </c>
      <c r="U72" s="4">
        <v>6720</v>
      </c>
      <c r="V72" s="4">
        <v>1995</v>
      </c>
      <c r="W72" s="4">
        <v>7980</v>
      </c>
    </row>
    <row r="73" spans="1:43" x14ac:dyDescent="0.3">
      <c r="A73" s="4" t="s">
        <v>181</v>
      </c>
      <c r="B73" s="4"/>
      <c r="C73" s="36" t="s">
        <v>99</v>
      </c>
      <c r="D73" s="35"/>
      <c r="E73" s="35"/>
      <c r="F73" s="79"/>
      <c r="G73" s="35"/>
      <c r="H73" s="79">
        <f>IF(Cover!$R$18&gt;0,SUMIF($N$1:$AQ$1,Cover!$R$18&amp;H$6,$N73:$AQ73),SUMIF($N$4:$AQ$4,H$6,$N73:$AQ73))</f>
        <v>0</v>
      </c>
      <c r="I73" s="70"/>
      <c r="J73" s="79">
        <f>IF(Cover!$R$18&gt;0,SUMIF($N$1:$AQ$1,Cover!$R$18&amp;J$6,$N73:$AQ73),SUMIF($N$4:$AQ$4,J$6,$N73:$AQ73))</f>
        <v>0</v>
      </c>
      <c r="K73" s="5"/>
      <c r="N73" s="4">
        <v>-2892</v>
      </c>
      <c r="O73" s="4">
        <v>-408.27</v>
      </c>
      <c r="P73" s="4">
        <v>-96.4</v>
      </c>
      <c r="Q73" s="4">
        <v>-13.64</v>
      </c>
      <c r="R73" s="4">
        <v>57.84</v>
      </c>
      <c r="S73" s="4">
        <v>8.16</v>
      </c>
      <c r="T73" s="4">
        <v>-110.86</v>
      </c>
      <c r="U73" s="4">
        <v>-15.64</v>
      </c>
      <c r="V73" s="4">
        <v>-221.72</v>
      </c>
      <c r="W73" s="4">
        <v>-31.28</v>
      </c>
    </row>
    <row r="74" spans="1:43" x14ac:dyDescent="0.3">
      <c r="B74" s="4"/>
      <c r="C74" s="97" t="s">
        <v>258</v>
      </c>
      <c r="D74" s="96"/>
      <c r="E74" s="96"/>
      <c r="F74" s="79"/>
      <c r="G74" s="96"/>
      <c r="H74" s="79">
        <f>IF(Cover!$R$18&gt;0,SUMIF($N$1:$AQ$1,Cover!$R$18&amp;H$6,$N74:$AQ74),SUMIF($N$4:$AQ$4,H$6,$N74:$AQ74))</f>
        <v>0</v>
      </c>
      <c r="I74" s="70"/>
      <c r="J74" s="79">
        <f>IF(Cover!$R$18&gt;0,SUMIF($N$1:$AQ$1,Cover!$R$18&amp;J$6,$N74:$AQ74),SUMIF($N$4:$AQ$4,J$6,$N74:$AQ74))</f>
        <v>0</v>
      </c>
      <c r="K74" s="5"/>
      <c r="U74" s="4">
        <v>-132.63</v>
      </c>
      <c r="W74" s="4">
        <v>832.68</v>
      </c>
    </row>
    <row r="75" spans="1:43" x14ac:dyDescent="0.3">
      <c r="A75" s="4" t="s">
        <v>182</v>
      </c>
      <c r="B75" s="4"/>
      <c r="C75" s="36" t="s">
        <v>100</v>
      </c>
      <c r="D75" s="35"/>
      <c r="E75" s="35"/>
      <c r="F75" s="79"/>
      <c r="G75" s="35"/>
      <c r="H75" s="79">
        <f>IF(Cover!$R$18&gt;0,SUMIF($N$1:$AQ$1,Cover!$R$18&amp;H$6,$N75:$AQ75),SUMIF($N$4:$AQ$4,H$6,$N75:$AQ75))</f>
        <v>0</v>
      </c>
      <c r="I75" s="70"/>
      <c r="J75" s="79">
        <f>IF(Cover!$R$18&gt;0,SUMIF($N$1:$AQ$1,Cover!$R$18&amp;J$6,$N75:$AQ75),SUMIF($N$4:$AQ$4,J$6,$N75:$AQ75))</f>
        <v>0</v>
      </c>
      <c r="K75" s="5"/>
      <c r="N75" s="4">
        <v>-1440</v>
      </c>
      <c r="O75" s="4">
        <v>-735</v>
      </c>
      <c r="P75" s="4">
        <v>360</v>
      </c>
      <c r="Q75" s="4">
        <v>183.75</v>
      </c>
      <c r="R75" s="4">
        <v>-1440</v>
      </c>
      <c r="S75" s="4">
        <v>-735</v>
      </c>
      <c r="T75" s="4">
        <v>-420</v>
      </c>
      <c r="U75" s="4">
        <v>-214.38</v>
      </c>
      <c r="V75" s="4">
        <v>-600</v>
      </c>
      <c r="W75" s="4">
        <v>-306.25</v>
      </c>
    </row>
    <row r="76" spans="1:43" x14ac:dyDescent="0.3">
      <c r="B76" s="4"/>
      <c r="C76" s="103" t="s">
        <v>273</v>
      </c>
      <c r="D76" s="102"/>
      <c r="E76" s="102"/>
      <c r="F76" s="79"/>
      <c r="G76" s="102"/>
      <c r="H76" s="79">
        <f>IF(Cover!$R$18&gt;0,SUMIF($N$1:$AQ$1,Cover!$R$18&amp;H$6,$N76:$AQ76),SUMIF($N$4:$AQ$4,H$6,$N76:$AQ76))</f>
        <v>0</v>
      </c>
      <c r="I76" s="70"/>
      <c r="J76" s="79">
        <f>IF(Cover!$R$18&gt;0,SUMIF($N$1:$AQ$1,Cover!$R$18&amp;J$6,$N76:$AQ76),SUMIF($N$4:$AQ$4,J$6,$N76:$AQ76))</f>
        <v>0</v>
      </c>
      <c r="K76" s="5"/>
      <c r="W76" s="4">
        <v>-2053.4499999999998</v>
      </c>
    </row>
    <row r="77" spans="1:43" x14ac:dyDescent="0.3">
      <c r="A77" s="4" t="s">
        <v>183</v>
      </c>
      <c r="B77" s="4"/>
      <c r="C77" s="36" t="s">
        <v>101</v>
      </c>
      <c r="D77" s="35"/>
      <c r="E77" s="35"/>
      <c r="F77" s="79"/>
      <c r="G77" s="35"/>
      <c r="H77" s="79">
        <f>IF(Cover!$R$18&gt;0,SUMIF($N$1:$AQ$1,Cover!$R$18&amp;H$6,$N77:$AQ77),SUMIF($N$4:$AQ$4,H$6,$N77:$AQ77))</f>
        <v>0</v>
      </c>
      <c r="I77" s="70"/>
      <c r="J77" s="79">
        <f>IF(Cover!$R$18&gt;0,SUMIF($N$1:$AQ$1,Cover!$R$18&amp;J$6,$N77:$AQ77),SUMIF($N$4:$AQ$4,J$6,$N77:$AQ77))</f>
        <v>0</v>
      </c>
      <c r="K77" s="5"/>
      <c r="N77" s="4">
        <v>28575.56</v>
      </c>
      <c r="O77" s="4">
        <v>444.69</v>
      </c>
      <c r="P77" s="4">
        <v>14427.4</v>
      </c>
      <c r="Q77" s="4">
        <v>-596.74</v>
      </c>
      <c r="R77" s="4">
        <v>7747.91</v>
      </c>
      <c r="S77" s="4">
        <v>564.78</v>
      </c>
      <c r="T77" s="4">
        <v>-56859.3</v>
      </c>
      <c r="U77" s="4">
        <v>-224.68</v>
      </c>
      <c r="V77" s="4">
        <v>5396.51</v>
      </c>
      <c r="W77" s="4">
        <v>-593</v>
      </c>
    </row>
    <row r="78" spans="1:43" x14ac:dyDescent="0.3">
      <c r="B78" s="4"/>
      <c r="C78" s="93" t="s">
        <v>254</v>
      </c>
      <c r="D78" s="92"/>
      <c r="E78" s="92"/>
      <c r="F78" s="79"/>
      <c r="G78" s="92"/>
      <c r="H78" s="79">
        <f>IF(Cover!$R$18&gt;0,SUMIF($N$1:$AQ$1,Cover!$R$18&amp;H$6,$N78:$AQ78),SUMIF($N$4:$AQ$4,H$6,$N78:$AQ78))</f>
        <v>0</v>
      </c>
      <c r="I78" s="70"/>
      <c r="J78" s="79">
        <f>IF(Cover!$R$18&gt;0,SUMIF($N$1:$AQ$1,Cover!$R$18&amp;J$6,$N78:$AQ78),SUMIF($N$4:$AQ$4,J$6,$N78:$AQ78))</f>
        <v>0</v>
      </c>
      <c r="K78" s="5"/>
      <c r="R78" s="4">
        <v>-416.27</v>
      </c>
      <c r="T78" s="4">
        <v>-8175.65</v>
      </c>
      <c r="V78" s="4">
        <v>-9811.6</v>
      </c>
    </row>
    <row r="79" spans="1:43" x14ac:dyDescent="0.3">
      <c r="B79" s="4"/>
      <c r="C79" s="93" t="s">
        <v>255</v>
      </c>
      <c r="D79" s="92"/>
      <c r="E79" s="92"/>
      <c r="F79" s="79"/>
      <c r="G79" s="92"/>
      <c r="H79" s="79">
        <f>IF(Cover!$R$18&gt;0,SUMIF($N$1:$AQ$1,Cover!$R$18&amp;H$6,$N79:$AQ79),SUMIF($N$4:$AQ$4,H$6,$N79:$AQ79))</f>
        <v>0</v>
      </c>
      <c r="I79" s="70"/>
      <c r="J79" s="79">
        <f>IF(Cover!$R$18&gt;0,SUMIF($N$1:$AQ$1,Cover!$R$18&amp;J$6,$N79:$AQ79),SUMIF($N$4:$AQ$4,J$6,$N79:$AQ79))</f>
        <v>0</v>
      </c>
      <c r="K79" s="5"/>
      <c r="R79" s="4">
        <v>-2559.27</v>
      </c>
      <c r="T79" s="4">
        <v>-1197.5</v>
      </c>
      <c r="V79" s="4">
        <v>3756.77</v>
      </c>
    </row>
    <row r="80" spans="1:43" x14ac:dyDescent="0.3">
      <c r="B80" s="4"/>
      <c r="C80" s="105" t="s">
        <v>276</v>
      </c>
      <c r="D80" s="104"/>
      <c r="E80" s="104"/>
      <c r="F80" s="79"/>
      <c r="G80" s="104"/>
      <c r="H80" s="79">
        <f>IF(Cover!$R$18&gt;0,SUMIF($N$1:$AQ$1,Cover!$R$18&amp;H$6,$N80:$AQ80),SUMIF($N$4:$AQ$4,H$6,$N80:$AQ80))</f>
        <v>0</v>
      </c>
      <c r="I80" s="70"/>
      <c r="J80" s="79">
        <f>IF(Cover!$R$18&gt;0,SUMIF($N$1:$AQ$1,Cover!$R$18&amp;J$6,$N80:$AQ80),SUMIF($N$4:$AQ$4,J$6,$N80:$AQ80))</f>
        <v>0</v>
      </c>
      <c r="K80" s="5"/>
      <c r="V80" s="4">
        <v>457.43</v>
      </c>
    </row>
    <row r="81" spans="1:43" x14ac:dyDescent="0.3">
      <c r="A81" s="4" t="s">
        <v>184</v>
      </c>
      <c r="B81" s="4"/>
      <c r="C81" s="36" t="s">
        <v>102</v>
      </c>
      <c r="D81" s="35"/>
      <c r="E81" s="35"/>
      <c r="F81" s="79"/>
      <c r="G81" s="35"/>
      <c r="H81" s="79">
        <f>IF(Cover!$R$18&gt;0,SUMIF($N$1:$AQ$1,Cover!$R$18&amp;H$6,$N81:$AQ81),SUMIF($N$4:$AQ$4,H$6,$N81:$AQ81))</f>
        <v>0</v>
      </c>
      <c r="I81" s="70"/>
      <c r="J81" s="79">
        <f>IF(Cover!$R$18&gt;0,SUMIF($N$1:$AQ$1,Cover!$R$18&amp;J$6,$N81:$AQ81),SUMIF($N$4:$AQ$4,J$6,$N81:$AQ81))</f>
        <v>0</v>
      </c>
      <c r="K81" s="5"/>
      <c r="N81" s="4">
        <v>0</v>
      </c>
      <c r="O81" s="4">
        <v>14.27</v>
      </c>
      <c r="P81" s="4">
        <v>0</v>
      </c>
      <c r="Q81" s="4">
        <v>106.72</v>
      </c>
      <c r="S81" s="4">
        <v>118.37</v>
      </c>
      <c r="U81" s="4">
        <v>-101.46</v>
      </c>
      <c r="W81" s="4">
        <v>6612.35</v>
      </c>
    </row>
    <row r="82" spans="1:43" x14ac:dyDescent="0.3">
      <c r="A82" s="4" t="s">
        <v>187</v>
      </c>
      <c r="B82" s="4"/>
      <c r="C82" s="36" t="s">
        <v>174</v>
      </c>
      <c r="D82" s="35"/>
      <c r="E82" s="35"/>
      <c r="F82" s="79"/>
      <c r="G82" s="35"/>
      <c r="H82" s="79">
        <f>IF(Cover!$R$18&gt;0,SUMIF($N$1:$AQ$1,Cover!$R$18&amp;H$6,$N82:$AQ82),SUMIF($N$4:$AQ$4,H$6,$N82:$AQ82))</f>
        <v>0</v>
      </c>
      <c r="I82" s="70"/>
      <c r="J82" s="79">
        <f>IF(Cover!$R$18&gt;0,SUMIF($N$1:$AQ$1,Cover!$R$18&amp;J$6,$N82:$AQ82),SUMIF($N$4:$AQ$4,J$6,$N82:$AQ82))</f>
        <v>0</v>
      </c>
      <c r="K82" s="5"/>
      <c r="N82" s="4">
        <v>25156.5</v>
      </c>
      <c r="P82" s="4">
        <v>16230</v>
      </c>
      <c r="Q82" s="4">
        <v>0</v>
      </c>
      <c r="R82" s="4">
        <v>-5801.11</v>
      </c>
      <c r="T82" s="4">
        <v>-10955</v>
      </c>
      <c r="V82" s="4">
        <v>6213.46</v>
      </c>
    </row>
    <row r="83" spans="1:43" x14ac:dyDescent="0.3">
      <c r="A83" s="4" t="s">
        <v>188</v>
      </c>
      <c r="B83" s="4"/>
      <c r="C83" s="36" t="s">
        <v>176</v>
      </c>
      <c r="D83" s="35"/>
      <c r="E83" s="35"/>
      <c r="F83" s="79"/>
      <c r="G83" s="35"/>
      <c r="H83" s="79">
        <f>IF(Cover!$R$18&gt;0,SUMIF($N$1:$AQ$1,Cover!$R$18&amp;H$6,$N83:$AQ83),SUMIF($N$4:$AQ$4,H$6,$N83:$AQ83))</f>
        <v>0</v>
      </c>
      <c r="I83" s="70"/>
      <c r="J83" s="79">
        <f>IF(Cover!$R$18&gt;0,SUMIF($N$1:$AQ$1,Cover!$R$18&amp;J$6,$N83:$AQ83),SUMIF($N$4:$AQ$4,J$6,$N83:$AQ83))</f>
        <v>0</v>
      </c>
      <c r="K83" s="5"/>
      <c r="N83" s="4">
        <v>1995</v>
      </c>
      <c r="P83" s="4">
        <v>3030</v>
      </c>
      <c r="Q83" s="4">
        <v>0</v>
      </c>
      <c r="R83" s="4">
        <v>-12714.33</v>
      </c>
      <c r="T83" s="4">
        <v>-25865</v>
      </c>
      <c r="V83" s="4">
        <v>10605</v>
      </c>
    </row>
    <row r="84" spans="1:43" x14ac:dyDescent="0.3">
      <c r="B84" s="4"/>
      <c r="C84" s="93" t="s">
        <v>256</v>
      </c>
      <c r="D84" s="92"/>
      <c r="E84" s="92"/>
      <c r="F84" s="79"/>
      <c r="G84" s="92"/>
      <c r="H84" s="79">
        <f>IF(Cover!$R$18&gt;0,SUMIF($N$1:$AQ$1,Cover!$R$18&amp;H$6,$N84:$AQ84),SUMIF($N$4:$AQ$4,H$6,$N84:$AQ84))</f>
        <v>0</v>
      </c>
      <c r="I84" s="70"/>
      <c r="J84" s="79">
        <f>IF(Cover!$R$18&gt;0,SUMIF($N$1:$AQ$1,Cover!$R$18&amp;J$6,$N84:$AQ84),SUMIF($N$4:$AQ$4,J$6,$N84:$AQ84))</f>
        <v>0</v>
      </c>
      <c r="K84" s="5"/>
      <c r="R84" s="4">
        <v>-2447.3200000000002</v>
      </c>
      <c r="T84" s="4">
        <v>-6070</v>
      </c>
      <c r="V84" s="4">
        <v>8517.32</v>
      </c>
    </row>
    <row r="85" spans="1:43" x14ac:dyDescent="0.3">
      <c r="B85" s="36"/>
      <c r="D85" s="64"/>
      <c r="E85" s="64"/>
      <c r="F85" s="80"/>
      <c r="G85" s="64"/>
      <c r="H85" s="89">
        <f>SUM(H67:H84)</f>
        <v>0</v>
      </c>
      <c r="I85" s="64"/>
      <c r="J85" s="89">
        <f>SUM(J67:J84)</f>
        <v>0</v>
      </c>
      <c r="K85" s="22"/>
      <c r="N85" s="4">
        <f t="shared" ref="N85:AQ85" si="167">SUM(N67:N84)</f>
        <v>43719.41</v>
      </c>
      <c r="O85" s="4">
        <f t="shared" si="167"/>
        <v>-18292.310000000001</v>
      </c>
      <c r="P85" s="4">
        <f t="shared" si="167"/>
        <v>33253.760000000002</v>
      </c>
      <c r="Q85" s="4">
        <f t="shared" si="167"/>
        <v>-5901.91</v>
      </c>
      <c r="R85" s="4">
        <f t="shared" si="167"/>
        <v>-38345.31</v>
      </c>
      <c r="S85" s="4">
        <f t="shared" si="167"/>
        <v>4566.3099999999995</v>
      </c>
      <c r="T85" s="4">
        <f t="shared" si="167"/>
        <v>-145397.46</v>
      </c>
      <c r="U85" s="4">
        <f t="shared" si="167"/>
        <v>5895.2099999999991</v>
      </c>
      <c r="V85" s="4">
        <f t="shared" si="167"/>
        <v>55204.62</v>
      </c>
      <c r="W85" s="4">
        <f t="shared" si="167"/>
        <v>30768.9</v>
      </c>
      <c r="X85" s="4">
        <f t="shared" si="167"/>
        <v>0</v>
      </c>
      <c r="Y85" s="4">
        <f t="shared" si="167"/>
        <v>0</v>
      </c>
      <c r="Z85" s="4">
        <f t="shared" si="167"/>
        <v>0</v>
      </c>
      <c r="AA85" s="4">
        <f t="shared" si="167"/>
        <v>0</v>
      </c>
      <c r="AB85" s="4">
        <f t="shared" si="167"/>
        <v>0</v>
      </c>
      <c r="AC85" s="4">
        <f t="shared" si="167"/>
        <v>0</v>
      </c>
      <c r="AD85" s="4">
        <f t="shared" si="167"/>
        <v>0</v>
      </c>
      <c r="AE85" s="4">
        <f t="shared" si="167"/>
        <v>0</v>
      </c>
      <c r="AF85" s="4">
        <f t="shared" si="167"/>
        <v>0</v>
      </c>
      <c r="AG85" s="4">
        <f t="shared" si="167"/>
        <v>0</v>
      </c>
      <c r="AH85" s="4">
        <f t="shared" si="167"/>
        <v>0</v>
      </c>
      <c r="AI85" s="4">
        <f t="shared" si="167"/>
        <v>0</v>
      </c>
      <c r="AJ85" s="4">
        <f t="shared" si="167"/>
        <v>0</v>
      </c>
      <c r="AK85" s="4">
        <f t="shared" si="167"/>
        <v>0</v>
      </c>
      <c r="AL85" s="4">
        <f t="shared" si="167"/>
        <v>0</v>
      </c>
      <c r="AM85" s="4">
        <f t="shared" si="167"/>
        <v>0</v>
      </c>
      <c r="AN85" s="4">
        <f t="shared" si="167"/>
        <v>0</v>
      </c>
      <c r="AO85" s="4">
        <f t="shared" si="167"/>
        <v>0</v>
      </c>
      <c r="AP85" s="4">
        <f t="shared" si="167"/>
        <v>0</v>
      </c>
      <c r="AQ85" s="4">
        <f t="shared" si="167"/>
        <v>0</v>
      </c>
    </row>
    <row r="86" spans="1:43" x14ac:dyDescent="0.3">
      <c r="B86" s="36" t="s">
        <v>151</v>
      </c>
      <c r="D86" s="35"/>
      <c r="E86" s="35"/>
      <c r="F86" s="79"/>
      <c r="G86" s="35"/>
      <c r="H86" s="79"/>
      <c r="I86" s="35"/>
      <c r="J86" s="79"/>
      <c r="K86" s="5"/>
    </row>
    <row r="87" spans="1:43" hidden="1" x14ac:dyDescent="0.3">
      <c r="A87" s="4" t="s">
        <v>202</v>
      </c>
      <c r="B87" s="4"/>
      <c r="C87" s="36" t="s">
        <v>186</v>
      </c>
      <c r="D87" s="35"/>
      <c r="E87" s="35"/>
      <c r="F87" s="79"/>
      <c r="G87" s="35"/>
      <c r="H87" s="79">
        <f>IF(Cover!$R$18&gt;0,SUMIF($N$1:$AQ$1,Cover!$R$18&amp;H$6,$N87:$AQ87),SUMIF($N$4:$AQ$4,H$6,$N87:$AQ87))</f>
        <v>0</v>
      </c>
      <c r="I87" s="70"/>
      <c r="J87" s="79">
        <f>IF(Cover!$R$18&gt;0,SUMIF($N$1:$AQ$1,Cover!$R$18&amp;J$6,$N87:$AQ87),SUMIF($N$4:$AQ$4,J$6,$N87:$AQ87))</f>
        <v>0</v>
      </c>
      <c r="K87" s="5"/>
    </row>
    <row r="88" spans="1:43" hidden="1" x14ac:dyDescent="0.3">
      <c r="A88" s="4" t="s">
        <v>203</v>
      </c>
      <c r="B88" s="4"/>
      <c r="C88" s="36" t="s">
        <v>172</v>
      </c>
      <c r="D88" s="35"/>
      <c r="E88" s="35"/>
      <c r="F88" s="79"/>
      <c r="G88" s="35"/>
      <c r="H88" s="79">
        <f>IF(Cover!$R$18&gt;0,SUMIF($N$1:$AQ$1,Cover!$R$18&amp;H$6,$N88:$AQ88),SUMIF($N$4:$AQ$4,H$6,$N88:$AQ88))</f>
        <v>0</v>
      </c>
      <c r="I88" s="70"/>
      <c r="J88" s="79">
        <f>IF(Cover!$R$18&gt;0,SUMIF($N$1:$AQ$1,Cover!$R$18&amp;J$6,$N88:$AQ88),SUMIF($N$4:$AQ$4,J$6,$N88:$AQ88))</f>
        <v>0</v>
      </c>
      <c r="K88" s="5"/>
    </row>
    <row r="89" spans="1:43" x14ac:dyDescent="0.3">
      <c r="A89" s="4" t="s">
        <v>204</v>
      </c>
      <c r="B89" s="4"/>
      <c r="C89" s="36" t="s">
        <v>98</v>
      </c>
      <c r="D89" s="35"/>
      <c r="E89" s="35"/>
      <c r="F89" s="79"/>
      <c r="G89" s="35"/>
      <c r="H89" s="79">
        <f>IF(Cover!$R$18&gt;0,SUMIF($N$1:$AQ$1,Cover!$R$18&amp;H$6,$N89:$AQ89),SUMIF($N$4:$AQ$4,H$6,$N89:$AQ89))</f>
        <v>0</v>
      </c>
      <c r="I89" s="70"/>
      <c r="J89" s="79">
        <f>IF(Cover!$R$18&gt;0,SUMIF($N$1:$AQ$1,Cover!$R$18&amp;J$6,$N89:$AQ89),SUMIF($N$4:$AQ$4,J$6,$N89:$AQ89))</f>
        <v>0</v>
      </c>
      <c r="K89" s="5"/>
      <c r="T89" s="4">
        <v>-8141.91</v>
      </c>
      <c r="W89" s="4">
        <v>-19649.75</v>
      </c>
    </row>
    <row r="90" spans="1:43" hidden="1" x14ac:dyDescent="0.3">
      <c r="A90" s="4" t="s">
        <v>205</v>
      </c>
      <c r="B90" s="4"/>
      <c r="C90" s="36" t="s">
        <v>159</v>
      </c>
      <c r="D90" s="35"/>
      <c r="E90" s="35"/>
      <c r="F90" s="79"/>
      <c r="G90" s="35"/>
      <c r="H90" s="79">
        <f>IF(Cover!$R$18&gt;0,SUMIF($N$1:$AQ$1,Cover!$R$18&amp;H$6,$N90:$AQ90),SUMIF($N$4:$AQ$4,H$6,$N90:$AQ90))</f>
        <v>0</v>
      </c>
      <c r="I90" s="70"/>
      <c r="J90" s="79">
        <f>IF(Cover!$R$18&gt;0,SUMIF($N$1:$AQ$1,Cover!$R$18&amp;J$6,$N90:$AQ90),SUMIF($N$4:$AQ$4,J$6,$N90:$AQ90))</f>
        <v>0</v>
      </c>
      <c r="K90" s="5"/>
    </row>
    <row r="91" spans="1:43" hidden="1" x14ac:dyDescent="0.3">
      <c r="A91" s="4" t="s">
        <v>206</v>
      </c>
      <c r="B91" s="4"/>
      <c r="C91" s="36" t="s">
        <v>99</v>
      </c>
      <c r="D91" s="35"/>
      <c r="E91" s="35"/>
      <c r="F91" s="79"/>
      <c r="G91" s="35"/>
      <c r="H91" s="79">
        <f>IF(Cover!$R$18&gt;0,SUMIF($N$1:$AQ$1,Cover!$R$18&amp;H$6,$N91:$AQ91),SUMIF($N$4:$AQ$4,H$6,$N91:$AQ91))</f>
        <v>0</v>
      </c>
      <c r="I91" s="70"/>
      <c r="J91" s="79">
        <f>IF(Cover!$R$18&gt;0,SUMIF($N$1:$AQ$1,Cover!$R$18&amp;J$6,$N91:$AQ91),SUMIF($N$4:$AQ$4,J$6,$N91:$AQ91))</f>
        <v>0</v>
      </c>
      <c r="K91" s="5"/>
    </row>
    <row r="92" spans="1:43" x14ac:dyDescent="0.3">
      <c r="B92" s="4"/>
      <c r="C92" s="97" t="s">
        <v>258</v>
      </c>
      <c r="D92" s="96"/>
      <c r="E92" s="96"/>
      <c r="F92" s="79"/>
      <c r="G92" s="96"/>
      <c r="H92" s="79">
        <f>IF(Cover!$R$18&gt;0,SUMIF($N$1:$AQ$1,Cover!$R$18&amp;H$6,$N92:$AQ92),SUMIF($N$4:$AQ$4,H$6,$N92:$AQ92))</f>
        <v>0</v>
      </c>
      <c r="I92" s="70"/>
      <c r="J92" s="79">
        <f>IF(Cover!$R$18&gt;0,SUMIF($N$1:$AQ$1,Cover!$R$18&amp;J$6,$N92:$AQ92),SUMIF($N$4:$AQ$4,J$6,$N92:$AQ92))</f>
        <v>0</v>
      </c>
      <c r="K92" s="5"/>
      <c r="T92" s="4">
        <v>-660.41</v>
      </c>
      <c r="W92" s="4">
        <v>3599.89</v>
      </c>
    </row>
    <row r="93" spans="1:43" hidden="1" x14ac:dyDescent="0.3">
      <c r="A93" s="4" t="s">
        <v>207</v>
      </c>
      <c r="B93" s="4"/>
      <c r="C93" s="36" t="s">
        <v>100</v>
      </c>
      <c r="D93" s="35"/>
      <c r="E93" s="35"/>
      <c r="F93" s="79"/>
      <c r="G93" s="35"/>
      <c r="H93" s="79">
        <f>IF(Cover!$R$18&gt;0,SUMIF($N$1:$AQ$1,Cover!$R$18&amp;H$6,$N93:$AQ93),SUMIF($N$4:$AQ$4,H$6,$N93:$AQ93))</f>
        <v>0</v>
      </c>
      <c r="I93" s="70"/>
      <c r="J93" s="79">
        <f>IF(Cover!$R$18&gt;0,SUMIF($N$1:$AQ$1,Cover!$R$18&amp;J$6,$N93:$AQ93),SUMIF($N$4:$AQ$4,J$6,$N93:$AQ93))</f>
        <v>0</v>
      </c>
      <c r="K93" s="5"/>
      <c r="N93" s="4">
        <v>0</v>
      </c>
    </row>
    <row r="94" spans="1:43" hidden="1" x14ac:dyDescent="0.3">
      <c r="A94" s="4" t="s">
        <v>207</v>
      </c>
      <c r="B94" s="4"/>
      <c r="C94" s="36" t="s">
        <v>238</v>
      </c>
      <c r="D94" s="35"/>
      <c r="E94" s="35"/>
      <c r="F94" s="79"/>
      <c r="G94" s="35"/>
      <c r="H94" s="79">
        <f>IF(Cover!$R$18&gt;0,SUMIF($N$1:$AQ$1,Cover!$R$18&amp;H$6,$N94:$AQ94),SUMIF($N$4:$AQ$4,H$6,$N94:$AQ94))</f>
        <v>0</v>
      </c>
      <c r="I94" s="70"/>
      <c r="J94" s="79">
        <f>IF(Cover!$R$18&gt;0,SUMIF($N$1:$AQ$1,Cover!$R$18&amp;J$6,$N94:$AQ94),SUMIF($N$4:$AQ$4,J$6,$N94:$AQ94))</f>
        <v>0</v>
      </c>
      <c r="K94" s="5"/>
      <c r="N94" s="4">
        <v>0</v>
      </c>
      <c r="P94" s="4">
        <v>98.69</v>
      </c>
    </row>
    <row r="95" spans="1:43" x14ac:dyDescent="0.3">
      <c r="B95" s="4"/>
      <c r="C95" s="103" t="s">
        <v>274</v>
      </c>
      <c r="D95" s="102"/>
      <c r="E95" s="102"/>
      <c r="F95" s="79"/>
      <c r="G95" s="102"/>
      <c r="H95" s="79">
        <f>IF(Cover!$R$18&gt;0,SUMIF($N$1:$AQ$1,Cover!$R$18&amp;H$6,$N95:$AQ95),SUMIF($N$4:$AQ$4,H$6,$N95:$AQ95))</f>
        <v>0</v>
      </c>
      <c r="I95" s="70"/>
      <c r="J95" s="79">
        <f>IF(Cover!$R$18&gt;0,SUMIF($N$1:$AQ$1,Cover!$R$18&amp;J$6,$N95:$AQ95),SUMIF($N$4:$AQ$4,J$6,$N95:$AQ95))</f>
        <v>0</v>
      </c>
      <c r="K95" s="5"/>
      <c r="W95" s="4">
        <v>1019.47</v>
      </c>
    </row>
    <row r="96" spans="1:43" x14ac:dyDescent="0.3">
      <c r="A96" s="4" t="s">
        <v>191</v>
      </c>
      <c r="B96" s="4"/>
      <c r="C96" s="36" t="s">
        <v>101</v>
      </c>
      <c r="D96" s="35"/>
      <c r="E96" s="35"/>
      <c r="F96" s="79"/>
      <c r="G96" s="35"/>
      <c r="H96" s="79">
        <f>IF(Cover!$R$18&gt;0,SUMIF($N$1:$AQ$1,Cover!$R$18&amp;H$6,$N96:$AQ96),SUMIF($N$4:$AQ$4,H$6,$N96:$AQ96))</f>
        <v>0</v>
      </c>
      <c r="I96" s="70"/>
      <c r="J96" s="79">
        <f>IF(Cover!$R$18&gt;0,SUMIF($N$1:$AQ$1,Cover!$R$18&amp;J$6,$N96:$AQ96),SUMIF($N$4:$AQ$4,J$6,$N96:$AQ96))</f>
        <v>0</v>
      </c>
      <c r="K96" s="5"/>
      <c r="O96" s="4">
        <v>2040.1</v>
      </c>
      <c r="Q96" s="4">
        <v>2618.86</v>
      </c>
      <c r="S96" s="4">
        <v>635.70000000000005</v>
      </c>
      <c r="U96" s="4">
        <v>-1100.25</v>
      </c>
      <c r="V96" s="4">
        <v>32411.58</v>
      </c>
      <c r="W96" s="4">
        <v>1252.0999999999999</v>
      </c>
    </row>
    <row r="97" spans="1:43" x14ac:dyDescent="0.3">
      <c r="A97" s="4" t="s">
        <v>208</v>
      </c>
      <c r="B97" s="4"/>
      <c r="C97" s="36" t="s">
        <v>102</v>
      </c>
      <c r="D97" s="35"/>
      <c r="E97" s="35"/>
      <c r="F97" s="79"/>
      <c r="G97" s="35"/>
      <c r="H97" s="79">
        <f>IF(Cover!$R$18&gt;0,SUMIF($N$1:$AQ$1,Cover!$R$18&amp;H$6,$N97:$AQ97),SUMIF($N$4:$AQ$4,H$6,$N97:$AQ97))</f>
        <v>0</v>
      </c>
      <c r="I97" s="70"/>
      <c r="J97" s="79">
        <f>IF(Cover!$R$18&gt;0,SUMIF($N$1:$AQ$1,Cover!$R$18&amp;J$6,$N97:$AQ97),SUMIF($N$4:$AQ$4,J$6,$N97:$AQ97))</f>
        <v>0</v>
      </c>
      <c r="K97" s="5"/>
      <c r="V97" s="4">
        <v>534.28</v>
      </c>
      <c r="W97" s="4">
        <v>-6727.53</v>
      </c>
    </row>
    <row r="98" spans="1:43" hidden="1" x14ac:dyDescent="0.3">
      <c r="B98" s="4"/>
      <c r="C98" s="105" t="s">
        <v>255</v>
      </c>
      <c r="D98" s="104"/>
      <c r="E98" s="104"/>
      <c r="F98" s="79"/>
      <c r="G98" s="104"/>
      <c r="H98" s="79">
        <f>IF(Cover!$R$18&gt;0,SUMIF($N$1:$AQ$1,Cover!$R$18&amp;H$6,$N98:$AQ98),SUMIF($N$4:$AQ$4,H$6,$N98:$AQ98))</f>
        <v>0</v>
      </c>
      <c r="I98" s="70"/>
      <c r="J98" s="79">
        <f>IF(Cover!$R$18&gt;0,SUMIF($N$1:$AQ$1,Cover!$R$18&amp;J$6,$N98:$AQ98),SUMIF($N$4:$AQ$4,J$6,$N98:$AQ98))</f>
        <v>0</v>
      </c>
      <c r="K98" s="5"/>
    </row>
    <row r="99" spans="1:43" hidden="1" x14ac:dyDescent="0.3">
      <c r="A99" s="4" t="s">
        <v>209</v>
      </c>
      <c r="B99" s="4"/>
      <c r="C99" s="36" t="s">
        <v>174</v>
      </c>
      <c r="D99" s="35"/>
      <c r="E99" s="35"/>
      <c r="F99" s="79"/>
      <c r="G99" s="35"/>
      <c r="H99" s="79">
        <f>IF(Cover!$R$18&gt;0,SUMIF($N$1:$AQ$1,Cover!$R$18&amp;H$6,$N99:$AQ99),SUMIF($N$4:$AQ$4,H$6,$N99:$AQ99))</f>
        <v>0</v>
      </c>
      <c r="I99" s="70"/>
      <c r="J99" s="79">
        <f>IF(Cover!$R$18&gt;0,SUMIF($N$1:$AQ$1,Cover!$R$18&amp;J$6,$N99:$AQ99),SUMIF($N$4:$AQ$4,J$6,$N99:$AQ99))</f>
        <v>0</v>
      </c>
      <c r="K99" s="5"/>
    </row>
    <row r="100" spans="1:43" hidden="1" x14ac:dyDescent="0.3">
      <c r="B100" s="4"/>
      <c r="C100" s="105" t="s">
        <v>176</v>
      </c>
      <c r="D100" s="104"/>
      <c r="E100" s="104"/>
      <c r="F100" s="79"/>
      <c r="G100" s="104"/>
      <c r="H100" s="79">
        <f>IF(Cover!$R$18&gt;0,SUMIF($N$1:$AQ$1,Cover!$R$18&amp;H$6,$N100:$AQ100),SUMIF($N$4:$AQ$4,H$6,$N100:$AQ100))</f>
        <v>0</v>
      </c>
      <c r="I100" s="70"/>
      <c r="J100" s="79">
        <f>IF(Cover!$R$18&gt;0,SUMIF($N$1:$AQ$1,Cover!$R$18&amp;J$6,$N100:$AQ100),SUMIF($N$4:$AQ$4,J$6,$N100:$AQ100))</f>
        <v>0</v>
      </c>
      <c r="K100" s="5"/>
    </row>
    <row r="101" spans="1:43" x14ac:dyDescent="0.3">
      <c r="A101" s="4" t="s">
        <v>210</v>
      </c>
      <c r="B101" s="4"/>
      <c r="C101" s="36" t="s">
        <v>256</v>
      </c>
      <c r="D101" s="66"/>
      <c r="E101" s="66"/>
      <c r="F101" s="79"/>
      <c r="G101" s="66"/>
      <c r="H101" s="79">
        <f>IF(Cover!$R$18&gt;0,SUMIF($N$1:$AQ$1,Cover!$R$18&amp;H$6,$N101:$AQ101),SUMIF($N$4:$AQ$4,H$6,$N101:$AQ101))</f>
        <v>0</v>
      </c>
      <c r="I101" s="70"/>
      <c r="J101" s="79">
        <f>IF(Cover!$R$18&gt;0,SUMIF($N$1:$AQ$1,Cover!$R$18&amp;J$6,$N101:$AQ101),SUMIF($N$4:$AQ$4,J$6,$N101:$AQ101))</f>
        <v>0</v>
      </c>
      <c r="K101" s="9"/>
      <c r="V101" s="4">
        <v>-2986.42</v>
      </c>
    </row>
    <row r="102" spans="1:43" x14ac:dyDescent="0.3">
      <c r="B102" s="36"/>
      <c r="D102" s="66"/>
      <c r="E102" s="66"/>
      <c r="F102" s="79"/>
      <c r="G102" s="66"/>
      <c r="H102" s="86">
        <f>SUM(H87:H101)</f>
        <v>0</v>
      </c>
      <c r="I102" s="35"/>
      <c r="J102" s="86">
        <f>SUM(J87:J101)</f>
        <v>0</v>
      </c>
      <c r="K102" s="9"/>
      <c r="N102" s="4">
        <f t="shared" ref="N102" si="168">SUM(N87:N101)</f>
        <v>0</v>
      </c>
      <c r="O102" s="4">
        <f t="shared" ref="O102" si="169">SUM(O87:O101)</f>
        <v>2040.1</v>
      </c>
      <c r="P102" s="4">
        <f>SUM(P87:P101)</f>
        <v>98.69</v>
      </c>
      <c r="Q102" s="4">
        <f t="shared" ref="Q102" si="170">SUM(Q87:Q101)</f>
        <v>2618.86</v>
      </c>
      <c r="R102" s="4">
        <f t="shared" ref="R102" si="171">SUM(R87:R101)</f>
        <v>0</v>
      </c>
      <c r="S102" s="4">
        <f t="shared" ref="S102" si="172">SUM(S87:S101)</f>
        <v>635.70000000000005</v>
      </c>
      <c r="T102" s="4">
        <f t="shared" ref="T102" si="173">SUM(T87:T101)</f>
        <v>-8802.32</v>
      </c>
      <c r="U102" s="4">
        <f t="shared" ref="U102" si="174">SUM(U87:U101)</f>
        <v>-1100.25</v>
      </c>
      <c r="V102" s="4">
        <f t="shared" ref="V102" si="175">SUM(V87:V101)</f>
        <v>29959.440000000002</v>
      </c>
      <c r="W102" s="4">
        <f t="shared" ref="W102" si="176">SUM(W87:W101)</f>
        <v>-20505.82</v>
      </c>
      <c r="X102" s="4">
        <f t="shared" ref="X102" si="177">SUM(X87:X101)</f>
        <v>0</v>
      </c>
      <c r="Y102" s="4">
        <f t="shared" ref="Y102" si="178">SUM(Y87:Y101)</f>
        <v>0</v>
      </c>
      <c r="Z102" s="4">
        <f t="shared" ref="Z102" si="179">SUM(Z87:Z101)</f>
        <v>0</v>
      </c>
      <c r="AA102" s="4">
        <f t="shared" ref="AA102" si="180">SUM(AA87:AA101)</f>
        <v>0</v>
      </c>
      <c r="AB102" s="4">
        <f t="shared" ref="AB102" si="181">SUM(AB87:AB101)</f>
        <v>0</v>
      </c>
      <c r="AC102" s="4">
        <f t="shared" ref="AC102" si="182">SUM(AC87:AC101)</f>
        <v>0</v>
      </c>
      <c r="AD102" s="4">
        <f t="shared" ref="AD102" si="183">SUM(AD87:AD101)</f>
        <v>0</v>
      </c>
      <c r="AE102" s="4">
        <f t="shared" ref="AE102" si="184">SUM(AE87:AE101)</f>
        <v>0</v>
      </c>
      <c r="AF102" s="4">
        <f t="shared" ref="AF102" si="185">SUM(AF87:AF101)</f>
        <v>0</v>
      </c>
      <c r="AG102" s="4">
        <f t="shared" ref="AG102" si="186">SUM(AG87:AG101)</f>
        <v>0</v>
      </c>
      <c r="AH102" s="4">
        <f t="shared" ref="AH102" si="187">SUM(AH87:AH101)</f>
        <v>0</v>
      </c>
      <c r="AI102" s="4">
        <f t="shared" ref="AI102" si="188">SUM(AI87:AI101)</f>
        <v>0</v>
      </c>
      <c r="AJ102" s="4">
        <f t="shared" ref="AJ102" si="189">SUM(AJ87:AJ101)</f>
        <v>0</v>
      </c>
      <c r="AK102" s="4">
        <f t="shared" ref="AK102" si="190">SUM(AK87:AK101)</f>
        <v>0</v>
      </c>
      <c r="AL102" s="4">
        <f t="shared" ref="AL102" si="191">SUM(AL87:AL101)</f>
        <v>0</v>
      </c>
      <c r="AM102" s="4">
        <f t="shared" ref="AM102" si="192">SUM(AM87:AM101)</f>
        <v>0</v>
      </c>
      <c r="AN102" s="4">
        <f t="shared" ref="AN102" si="193">SUM(AN87:AN101)</f>
        <v>0</v>
      </c>
      <c r="AO102" s="4">
        <f t="shared" ref="AO102" si="194">SUM(AO87:AO101)</f>
        <v>0</v>
      </c>
      <c r="AP102" s="4">
        <f t="shared" ref="AP102" si="195">SUM(AP87:AP101)</f>
        <v>0</v>
      </c>
      <c r="AQ102" s="4">
        <f t="shared" ref="AQ102" si="196">SUM(AQ87:AQ101)</f>
        <v>0</v>
      </c>
    </row>
    <row r="103" spans="1:43" x14ac:dyDescent="0.3">
      <c r="B103" s="29" t="s">
        <v>152</v>
      </c>
      <c r="D103" s="64"/>
      <c r="E103" s="64"/>
      <c r="F103" s="80"/>
      <c r="G103" s="64"/>
      <c r="H103" s="86">
        <f>H102+H85+H65+H60</f>
        <v>0</v>
      </c>
      <c r="I103" s="35"/>
      <c r="J103" s="86">
        <f>J102+J85+J65+J60</f>
        <v>0</v>
      </c>
      <c r="K103" s="22"/>
      <c r="N103" s="4">
        <f t="shared" ref="N103:AQ103" si="197">SUM(N102,N85,N65,N60)</f>
        <v>52490.570000000007</v>
      </c>
      <c r="O103" s="4">
        <f t="shared" si="197"/>
        <v>-14905.11</v>
      </c>
      <c r="P103" s="4">
        <f t="shared" si="197"/>
        <v>50224.090000000011</v>
      </c>
      <c r="Q103" s="4">
        <f t="shared" si="197"/>
        <v>-3193.1099999999997</v>
      </c>
      <c r="R103" s="4">
        <f t="shared" si="197"/>
        <v>2116.4500000000044</v>
      </c>
      <c r="S103" s="4">
        <f t="shared" si="197"/>
        <v>5228.8799999999992</v>
      </c>
      <c r="T103" s="4">
        <f t="shared" si="197"/>
        <v>-115455.72999999998</v>
      </c>
      <c r="U103" s="4">
        <f t="shared" si="197"/>
        <v>5423.0299999999988</v>
      </c>
      <c r="V103" s="4">
        <f t="shared" si="197"/>
        <v>121794.71</v>
      </c>
      <c r="W103" s="4">
        <f t="shared" si="197"/>
        <v>10862.510000000002</v>
      </c>
      <c r="X103" s="4">
        <f t="shared" si="197"/>
        <v>39.21</v>
      </c>
      <c r="Y103" s="4">
        <f t="shared" si="197"/>
        <v>118.38000000000001</v>
      </c>
      <c r="Z103" s="4">
        <f t="shared" si="197"/>
        <v>0</v>
      </c>
      <c r="AA103" s="4">
        <f t="shared" si="197"/>
        <v>0</v>
      </c>
      <c r="AB103" s="4">
        <f t="shared" si="197"/>
        <v>0</v>
      </c>
      <c r="AC103" s="4">
        <f t="shared" si="197"/>
        <v>0</v>
      </c>
      <c r="AD103" s="4">
        <f t="shared" si="197"/>
        <v>0</v>
      </c>
      <c r="AE103" s="4">
        <f t="shared" si="197"/>
        <v>0</v>
      </c>
      <c r="AF103" s="4">
        <f t="shared" si="197"/>
        <v>0</v>
      </c>
      <c r="AG103" s="4">
        <f t="shared" si="197"/>
        <v>0</v>
      </c>
      <c r="AH103" s="4">
        <f t="shared" si="197"/>
        <v>0</v>
      </c>
      <c r="AI103" s="4">
        <f t="shared" si="197"/>
        <v>0</v>
      </c>
      <c r="AJ103" s="4">
        <f t="shared" si="197"/>
        <v>0</v>
      </c>
      <c r="AK103" s="4">
        <f t="shared" si="197"/>
        <v>0</v>
      </c>
      <c r="AL103" s="4">
        <f t="shared" si="197"/>
        <v>0</v>
      </c>
      <c r="AM103" s="4">
        <f t="shared" si="197"/>
        <v>0</v>
      </c>
      <c r="AN103" s="4">
        <f t="shared" si="197"/>
        <v>0</v>
      </c>
      <c r="AO103" s="4">
        <f t="shared" si="197"/>
        <v>0</v>
      </c>
      <c r="AP103" s="4">
        <f t="shared" si="197"/>
        <v>0</v>
      </c>
      <c r="AQ103" s="4">
        <f t="shared" si="197"/>
        <v>0</v>
      </c>
    </row>
    <row r="104" spans="1:43" x14ac:dyDescent="0.3">
      <c r="B104" s="29" t="s">
        <v>37</v>
      </c>
      <c r="D104" s="64"/>
      <c r="E104" s="64"/>
      <c r="F104" s="80"/>
      <c r="G104" s="64"/>
      <c r="H104" s="89">
        <f>H103+H40</f>
        <v>0</v>
      </c>
      <c r="I104" s="35"/>
      <c r="J104" s="89">
        <f>J103+J40</f>
        <v>0</v>
      </c>
      <c r="K104" s="22"/>
      <c r="N104" s="4">
        <f t="shared" ref="N104:AQ104" si="198">N103+N40</f>
        <v>59754.150000000009</v>
      </c>
      <c r="O104" s="4">
        <f t="shared" si="198"/>
        <v>-7430.1100000000006</v>
      </c>
      <c r="P104" s="4">
        <f t="shared" si="198"/>
        <v>50224.090000000011</v>
      </c>
      <c r="Q104" s="4">
        <f t="shared" si="198"/>
        <v>-2174.4799999999996</v>
      </c>
      <c r="R104" s="4">
        <f t="shared" si="198"/>
        <v>861116.45</v>
      </c>
      <c r="S104" s="4">
        <f t="shared" si="198"/>
        <v>6381.6799999999994</v>
      </c>
      <c r="T104" s="4">
        <f t="shared" si="198"/>
        <v>-115455.72999999998</v>
      </c>
      <c r="U104" s="4">
        <f t="shared" si="198"/>
        <v>25423.03</v>
      </c>
      <c r="V104" s="4">
        <f t="shared" si="198"/>
        <v>121794.71</v>
      </c>
      <c r="W104" s="4">
        <f t="shared" si="198"/>
        <v>30862.510000000002</v>
      </c>
      <c r="X104" s="4">
        <f t="shared" si="198"/>
        <v>39.21</v>
      </c>
      <c r="Y104" s="4">
        <f t="shared" si="198"/>
        <v>118.38000000000001</v>
      </c>
      <c r="Z104" s="4">
        <f t="shared" si="198"/>
        <v>0</v>
      </c>
      <c r="AA104" s="4">
        <f t="shared" si="198"/>
        <v>0</v>
      </c>
      <c r="AB104" s="4">
        <f t="shared" si="198"/>
        <v>0</v>
      </c>
      <c r="AC104" s="4">
        <f t="shared" si="198"/>
        <v>0</v>
      </c>
      <c r="AD104" s="4">
        <f t="shared" si="198"/>
        <v>0</v>
      </c>
      <c r="AE104" s="4">
        <f t="shared" si="198"/>
        <v>0</v>
      </c>
      <c r="AF104" s="4">
        <f t="shared" si="198"/>
        <v>0</v>
      </c>
      <c r="AG104" s="4">
        <f t="shared" si="198"/>
        <v>0</v>
      </c>
      <c r="AH104" s="4">
        <f t="shared" si="198"/>
        <v>0</v>
      </c>
      <c r="AI104" s="4">
        <f t="shared" si="198"/>
        <v>0</v>
      </c>
      <c r="AJ104" s="4">
        <f t="shared" si="198"/>
        <v>0</v>
      </c>
      <c r="AK104" s="4">
        <f t="shared" si="198"/>
        <v>0</v>
      </c>
      <c r="AL104" s="4">
        <f t="shared" si="198"/>
        <v>0</v>
      </c>
      <c r="AM104" s="4">
        <f t="shared" si="198"/>
        <v>0</v>
      </c>
      <c r="AN104" s="4">
        <f t="shared" si="198"/>
        <v>0</v>
      </c>
      <c r="AO104" s="4">
        <f t="shared" si="198"/>
        <v>0</v>
      </c>
      <c r="AP104" s="4">
        <f t="shared" si="198"/>
        <v>0</v>
      </c>
      <c r="AQ104" s="4">
        <f t="shared" si="198"/>
        <v>0</v>
      </c>
    </row>
    <row r="105" spans="1:43" x14ac:dyDescent="0.3">
      <c r="B105" s="29"/>
      <c r="D105" s="35"/>
      <c r="E105" s="35"/>
      <c r="F105" s="79"/>
      <c r="G105" s="35"/>
      <c r="H105" s="79"/>
      <c r="I105" s="35"/>
      <c r="J105" s="79"/>
      <c r="K105" s="5"/>
    </row>
    <row r="106" spans="1:43" x14ac:dyDescent="0.3">
      <c r="B106" s="29" t="s">
        <v>153</v>
      </c>
      <c r="D106" s="35"/>
      <c r="E106" s="35"/>
      <c r="F106" s="79"/>
      <c r="G106" s="35"/>
      <c r="H106" s="79"/>
      <c r="I106" s="35"/>
      <c r="J106" s="79"/>
      <c r="K106" s="5"/>
    </row>
    <row r="107" spans="1:43" x14ac:dyDescent="0.3">
      <c r="A107" s="4">
        <v>314</v>
      </c>
      <c r="B107" s="36" t="s">
        <v>154</v>
      </c>
      <c r="D107" s="35"/>
      <c r="E107" s="35"/>
      <c r="F107" s="79"/>
      <c r="G107" s="35"/>
      <c r="H107" s="79">
        <f>IF(Cover!$R$18&gt;0,SUMIF($N$1:$AQ$1,Cover!$R$18&amp;H$6,$N107:$AQ107),SUMIF($N$4:$AQ$4,H$6,$N107:$AQ107))</f>
        <v>0</v>
      </c>
      <c r="I107" s="70"/>
      <c r="J107" s="79">
        <f>IF(Cover!$R$18&gt;0,SUMIF($N$1:$AQ$1,Cover!$R$18&amp;J$6,$N107:$AQ107),SUMIF($N$4:$AQ$4,J$6,$N107:$AQ107))</f>
        <v>0</v>
      </c>
      <c r="K107" s="5"/>
      <c r="N107" s="4">
        <v>0</v>
      </c>
      <c r="O107" s="4">
        <v>231</v>
      </c>
      <c r="P107" s="4">
        <v>165</v>
      </c>
      <c r="Q107" s="4">
        <v>165</v>
      </c>
      <c r="R107" s="4">
        <v>165</v>
      </c>
      <c r="S107" s="4">
        <v>165</v>
      </c>
      <c r="T107" s="4">
        <v>176</v>
      </c>
      <c r="U107" s="4">
        <v>176</v>
      </c>
      <c r="V107" s="4">
        <v>165</v>
      </c>
      <c r="W107" s="4">
        <v>165</v>
      </c>
    </row>
    <row r="108" spans="1:43" hidden="1" x14ac:dyDescent="0.3">
      <c r="B108" s="93" t="s">
        <v>253</v>
      </c>
      <c r="D108" s="92"/>
      <c r="E108" s="92"/>
      <c r="F108" s="79"/>
      <c r="G108" s="92"/>
      <c r="H108" s="79">
        <f>IF(Cover!$R$18&gt;0,SUMIF($N$1:$AQ$1,Cover!$R$18&amp;H$6,$N108:$AQ108),SUMIF($N$4:$AQ$4,H$6,$N108:$AQ108))</f>
        <v>0</v>
      </c>
      <c r="I108" s="70"/>
      <c r="J108" s="79">
        <f>IF(Cover!$R$18&gt;0,SUMIF($N$1:$AQ$1,Cover!$R$18&amp;J$6,$N108:$AQ108),SUMIF($N$4:$AQ$4,J$6,$N108:$AQ108))</f>
        <v>0</v>
      </c>
      <c r="K108" s="5"/>
      <c r="R108" s="4">
        <v>1.5</v>
      </c>
    </row>
    <row r="109" spans="1:43" x14ac:dyDescent="0.3">
      <c r="B109" s="36" t="s">
        <v>155</v>
      </c>
      <c r="D109" s="35"/>
      <c r="E109" s="35"/>
      <c r="F109" s="79"/>
      <c r="G109" s="35"/>
      <c r="H109" s="79"/>
      <c r="I109" s="70"/>
      <c r="J109" s="79"/>
      <c r="K109" s="5"/>
    </row>
    <row r="110" spans="1:43" x14ac:dyDescent="0.3">
      <c r="A110" s="4">
        <v>367</v>
      </c>
      <c r="B110" s="36"/>
      <c r="C110" s="36" t="s">
        <v>190</v>
      </c>
      <c r="D110" s="35"/>
      <c r="E110" s="35"/>
      <c r="F110" s="79"/>
      <c r="G110" s="35"/>
      <c r="H110" s="79">
        <f>IF(Cover!$R$18&gt;0,SUMIF($N$1:$AQ$1,Cover!$R$18&amp;H$6,$N110:$AQ110),SUMIF($N$4:$AQ$4,H$6,$N110:$AQ110))</f>
        <v>0</v>
      </c>
      <c r="I110" s="70"/>
      <c r="J110" s="79">
        <f>IF(Cover!$R$18&gt;0,SUMIF($N$1:$AQ$1,Cover!$R$18&amp;J$6,$N110:$AQ110),SUMIF($N$4:$AQ$4,J$6,$N110:$AQ110))</f>
        <v>0</v>
      </c>
      <c r="K110" s="5"/>
      <c r="O110" s="4">
        <v>383.77</v>
      </c>
      <c r="Q110" s="4">
        <v>401.64</v>
      </c>
      <c r="S110" s="4">
        <v>427.26</v>
      </c>
      <c r="U110" s="4">
        <v>447.72</v>
      </c>
      <c r="W110" s="4">
        <v>473.08</v>
      </c>
    </row>
    <row r="111" spans="1:43" x14ac:dyDescent="0.3">
      <c r="A111" s="4">
        <v>335</v>
      </c>
      <c r="B111" s="36" t="s">
        <v>6</v>
      </c>
      <c r="D111" s="35"/>
      <c r="E111" s="35"/>
      <c r="F111" s="79"/>
      <c r="G111" s="35"/>
      <c r="H111" s="79">
        <f>IF(Cover!$R$18&gt;0,SUMIF($N$1:$AQ$1,Cover!$R$18&amp;H$6,$N111:$AQ111),SUMIF($N$4:$AQ$4,H$6,$N111:$AQ111))</f>
        <v>0</v>
      </c>
      <c r="I111" s="70"/>
      <c r="J111" s="79">
        <f>IF(Cover!$R$18&gt;0,SUMIF($N$1:$AQ$1,Cover!$R$18&amp;J$6,$N111:$AQ111),SUMIF($N$4:$AQ$4,J$6,$N111:$AQ111))</f>
        <v>0</v>
      </c>
      <c r="K111" s="5"/>
      <c r="O111" s="4">
        <v>200</v>
      </c>
      <c r="Q111" s="4">
        <v>321</v>
      </c>
      <c r="S111" s="4">
        <v>388</v>
      </c>
      <c r="U111" s="4">
        <v>259</v>
      </c>
      <c r="W111" s="4">
        <v>259</v>
      </c>
    </row>
    <row r="112" spans="1:43" x14ac:dyDescent="0.3">
      <c r="A112" s="4">
        <v>464</v>
      </c>
      <c r="B112" s="36" t="s">
        <v>5</v>
      </c>
      <c r="D112" s="35"/>
      <c r="E112" s="35"/>
      <c r="F112" s="79"/>
      <c r="G112" s="35"/>
      <c r="H112" s="79">
        <f>IF(Cover!$R$18&gt;0,SUMIF($N$1:$AQ$1,Cover!$R$18&amp;H$6,$N112:$AQ112),SUMIF($N$4:$AQ$4,H$6,$N112:$AQ112))</f>
        <v>0</v>
      </c>
      <c r="I112" s="70"/>
      <c r="J112" s="79">
        <f>IF(Cover!$R$18&gt;0,SUMIF($N$1:$AQ$1,Cover!$R$18&amp;J$6,$N112:$AQ112),SUMIF($N$4:$AQ$4,J$6,$N112:$AQ112))</f>
        <v>0</v>
      </c>
      <c r="K112" s="5"/>
      <c r="O112" s="4">
        <v>127.15</v>
      </c>
      <c r="Q112" s="4">
        <v>44</v>
      </c>
      <c r="S112" s="4">
        <v>45</v>
      </c>
      <c r="U112" s="4">
        <v>46</v>
      </c>
      <c r="W112" s="4">
        <v>47</v>
      </c>
    </row>
    <row r="113" spans="2:43" x14ac:dyDescent="0.3">
      <c r="B113" s="29" t="s">
        <v>156</v>
      </c>
      <c r="D113" s="64"/>
      <c r="E113" s="64"/>
      <c r="F113" s="80"/>
      <c r="G113" s="64"/>
      <c r="H113" s="89">
        <f>SUM(H107:H112)</f>
        <v>0</v>
      </c>
      <c r="I113" s="70"/>
      <c r="J113" s="89">
        <f>SUM(J107:J112)</f>
        <v>0</v>
      </c>
      <c r="K113" s="22"/>
      <c r="N113" s="4">
        <f>SUM(N107:N112)</f>
        <v>0</v>
      </c>
      <c r="O113" s="4">
        <f t="shared" ref="O113:U113" si="199">SUM(O107:O112)</f>
        <v>941.92</v>
      </c>
      <c r="P113" s="4">
        <f t="shared" si="199"/>
        <v>165</v>
      </c>
      <c r="Q113" s="4">
        <f t="shared" si="199"/>
        <v>931.64</v>
      </c>
      <c r="R113" s="4">
        <f t="shared" si="199"/>
        <v>166.5</v>
      </c>
      <c r="S113" s="4">
        <f t="shared" si="199"/>
        <v>1025.26</v>
      </c>
      <c r="T113" s="4">
        <f t="shared" si="199"/>
        <v>176</v>
      </c>
      <c r="U113" s="4">
        <f t="shared" si="199"/>
        <v>928.72</v>
      </c>
      <c r="V113" s="4">
        <f t="shared" ref="V113" si="200">SUM(V107:V112)</f>
        <v>165</v>
      </c>
      <c r="W113" s="4">
        <f t="shared" ref="W113" si="201">SUM(W107:W112)</f>
        <v>944.07999999999993</v>
      </c>
      <c r="X113" s="4">
        <f t="shared" ref="X113" si="202">SUM(X107:X112)</f>
        <v>0</v>
      </c>
      <c r="Y113" s="4">
        <f t="shared" ref="Y113" si="203">SUM(Y107:Y112)</f>
        <v>0</v>
      </c>
      <c r="Z113" s="4">
        <f t="shared" ref="Z113" si="204">SUM(Z107:Z112)</f>
        <v>0</v>
      </c>
      <c r="AA113" s="4">
        <f t="shared" ref="AA113" si="205">SUM(AA107:AA112)</f>
        <v>0</v>
      </c>
      <c r="AB113" s="4">
        <f t="shared" ref="AB113" si="206">SUM(AB107:AB112)</f>
        <v>0</v>
      </c>
      <c r="AC113" s="4">
        <f t="shared" ref="AC113" si="207">SUM(AC107:AC112)</f>
        <v>0</v>
      </c>
      <c r="AD113" s="4">
        <f t="shared" ref="AD113" si="208">SUM(AD107:AD112)</f>
        <v>0</v>
      </c>
      <c r="AE113" s="4">
        <f t="shared" ref="AE113" si="209">SUM(AE107:AE112)</f>
        <v>0</v>
      </c>
      <c r="AF113" s="4">
        <f t="shared" ref="AF113" si="210">SUM(AF107:AF112)</f>
        <v>0</v>
      </c>
      <c r="AG113" s="4">
        <f t="shared" ref="AG113" si="211">SUM(AG107:AG112)</f>
        <v>0</v>
      </c>
      <c r="AH113" s="4">
        <f t="shared" ref="AH113" si="212">SUM(AH107:AH112)</f>
        <v>0</v>
      </c>
      <c r="AI113" s="4">
        <f t="shared" ref="AI113" si="213">SUM(AI107:AI112)</f>
        <v>0</v>
      </c>
      <c r="AJ113" s="4">
        <f t="shared" ref="AJ113" si="214">SUM(AJ107:AJ112)</f>
        <v>0</v>
      </c>
      <c r="AK113" s="4">
        <f t="shared" ref="AK113" si="215">SUM(AK107:AK112)</f>
        <v>0</v>
      </c>
      <c r="AL113" s="4">
        <f t="shared" ref="AL113" si="216">SUM(AL107:AL112)</f>
        <v>0</v>
      </c>
      <c r="AM113" s="4">
        <f t="shared" ref="AM113" si="217">SUM(AM107:AM112)</f>
        <v>0</v>
      </c>
      <c r="AN113" s="4">
        <f t="shared" ref="AN113" si="218">SUM(AN107:AN112)</f>
        <v>0</v>
      </c>
      <c r="AO113" s="4">
        <f t="shared" ref="AO113" si="219">SUM(AO107:AO112)</f>
        <v>0</v>
      </c>
      <c r="AP113" s="4">
        <f t="shared" ref="AP113" si="220">SUM(AP107:AP112)</f>
        <v>0</v>
      </c>
      <c r="AQ113" s="4">
        <f t="shared" ref="AQ113" si="221">SUM(AQ107:AQ112)</f>
        <v>0</v>
      </c>
    </row>
    <row r="114" spans="2:43" ht="15" thickBot="1" x14ac:dyDescent="0.35">
      <c r="B114" s="29" t="s">
        <v>41</v>
      </c>
      <c r="D114" s="64"/>
      <c r="E114" s="64"/>
      <c r="F114" s="80"/>
      <c r="G114" s="64"/>
      <c r="H114" s="90">
        <f>H104-H113</f>
        <v>0</v>
      </c>
      <c r="I114" s="35"/>
      <c r="J114" s="90">
        <f>J104-J113</f>
        <v>0</v>
      </c>
      <c r="K114" s="22"/>
      <c r="N114" s="4">
        <f>N104-N113</f>
        <v>59754.150000000009</v>
      </c>
      <c r="O114" s="4">
        <f t="shared" ref="O114:U114" si="222">O104-O113</f>
        <v>-8372.0300000000007</v>
      </c>
      <c r="P114" s="4">
        <f t="shared" si="222"/>
        <v>50059.090000000011</v>
      </c>
      <c r="Q114" s="4">
        <f t="shared" si="222"/>
        <v>-3106.1199999999994</v>
      </c>
      <c r="R114" s="4">
        <f t="shared" si="222"/>
        <v>860949.95</v>
      </c>
      <c r="S114" s="4">
        <f t="shared" si="222"/>
        <v>5356.4199999999992</v>
      </c>
      <c r="T114" s="4">
        <f t="shared" si="222"/>
        <v>-115631.72999999998</v>
      </c>
      <c r="U114" s="4">
        <f t="shared" si="222"/>
        <v>24494.309999999998</v>
      </c>
      <c r="V114" s="4">
        <f t="shared" ref="V114" si="223">V104-V113</f>
        <v>121629.71</v>
      </c>
      <c r="W114" s="4">
        <f t="shared" ref="W114" si="224">W104-W113</f>
        <v>29918.43</v>
      </c>
      <c r="X114" s="4">
        <f t="shared" ref="X114" si="225">X104-X113</f>
        <v>39.21</v>
      </c>
      <c r="Y114" s="4">
        <f t="shared" ref="Y114" si="226">Y104-Y113</f>
        <v>118.38000000000001</v>
      </c>
      <c r="Z114" s="4">
        <f t="shared" ref="Z114" si="227">Z104-Z113</f>
        <v>0</v>
      </c>
      <c r="AA114" s="4">
        <f t="shared" ref="AA114" si="228">AA104-AA113</f>
        <v>0</v>
      </c>
      <c r="AB114" s="4">
        <f t="shared" ref="AB114" si="229">AB104-AB113</f>
        <v>0</v>
      </c>
      <c r="AC114" s="4">
        <f t="shared" ref="AC114" si="230">AC104-AC113</f>
        <v>0</v>
      </c>
      <c r="AD114" s="4">
        <f t="shared" ref="AD114" si="231">AD104-AD113</f>
        <v>0</v>
      </c>
      <c r="AE114" s="4">
        <f t="shared" ref="AE114" si="232">AE104-AE113</f>
        <v>0</v>
      </c>
      <c r="AF114" s="4">
        <f t="shared" ref="AF114" si="233">AF104-AF113</f>
        <v>0</v>
      </c>
      <c r="AG114" s="4">
        <f t="shared" ref="AG114" si="234">AG104-AG113</f>
        <v>0</v>
      </c>
      <c r="AH114" s="4">
        <f t="shared" ref="AH114" si="235">AH104-AH113</f>
        <v>0</v>
      </c>
      <c r="AI114" s="4">
        <f t="shared" ref="AI114" si="236">AI104-AI113</f>
        <v>0</v>
      </c>
      <c r="AJ114" s="4">
        <f t="shared" ref="AJ114" si="237">AJ104-AJ113</f>
        <v>0</v>
      </c>
      <c r="AK114" s="4">
        <f t="shared" ref="AK114" si="238">AK104-AK113</f>
        <v>0</v>
      </c>
      <c r="AL114" s="4">
        <f t="shared" ref="AL114" si="239">AL104-AL113</f>
        <v>0</v>
      </c>
      <c r="AM114" s="4">
        <f t="shared" ref="AM114" si="240">AM104-AM113</f>
        <v>0</v>
      </c>
      <c r="AN114" s="4">
        <f t="shared" ref="AN114" si="241">AN104-AN113</f>
        <v>0</v>
      </c>
      <c r="AO114" s="4">
        <f t="shared" ref="AO114" si="242">AO104-AO113</f>
        <v>0</v>
      </c>
      <c r="AP114" s="4">
        <f t="shared" ref="AP114" si="243">AP104-AP113</f>
        <v>0</v>
      </c>
      <c r="AQ114" s="4">
        <f t="shared" ref="AQ114" si="244">AQ104-AQ113</f>
        <v>0</v>
      </c>
    </row>
    <row r="115" spans="2:43" ht="15" thickTop="1" x14ac:dyDescent="0.3">
      <c r="B115" s="28"/>
      <c r="D115" s="65"/>
      <c r="E115" s="65"/>
      <c r="F115" s="81"/>
      <c r="G115" s="65"/>
      <c r="H115" s="80"/>
      <c r="I115" s="35"/>
      <c r="J115" s="80"/>
      <c r="K115" s="23"/>
    </row>
    <row r="116" spans="2:43" x14ac:dyDescent="0.3">
      <c r="B116" s="28"/>
      <c r="H116" s="53"/>
      <c r="I116" s="68"/>
      <c r="J116" s="53"/>
      <c r="K116" s="1"/>
    </row>
    <row r="117" spans="2:43" x14ac:dyDescent="0.3">
      <c r="K117" s="1"/>
    </row>
    <row r="118" spans="2:43" x14ac:dyDescent="0.3">
      <c r="K118" s="1"/>
    </row>
  </sheetData>
  <mergeCells count="3">
    <mergeCell ref="B1:J1"/>
    <mergeCell ref="B3:J3"/>
    <mergeCell ref="B4:J4"/>
  </mergeCells>
  <pageMargins left="0.70866141732283472" right="0.70866141732283472" top="0.74803149606299213" bottom="0.74803149606299213" header="0.31496062992125984" footer="0.31496062992125984"/>
  <pageSetup paperSize="9" orientation="portrait" r:id="rId1"/>
  <headerFooter>
    <oddHeader>&amp;RPage &amp;P</oddHeader>
    <oddFooter>&amp;C&amp;8The accompanying notes form part of these financial statements
This report should be read in conjunction with the following compilation report of Best Tax Strategies</oddFooter>
  </headerFooter>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Contents</vt:lpstr>
      <vt:lpstr>Balance</vt:lpstr>
      <vt:lpstr>Profit &amp; Loss</vt:lpstr>
      <vt:lpstr>Notes</vt:lpstr>
      <vt:lpstr>Trustee Declaration</vt:lpstr>
      <vt:lpstr>Compilation Report</vt:lpstr>
      <vt:lpstr>Sheet1</vt:lpstr>
      <vt:lpstr>Detailed P &amp; L</vt:lpstr>
      <vt:lpstr>Income Tax Return Adds</vt:lpstr>
      <vt:lpstr>Balance!Print_Area</vt:lpstr>
      <vt:lpstr>'Compilation Report'!Print_Area</vt:lpstr>
      <vt:lpstr>Contents!Print_Area</vt:lpstr>
      <vt:lpstr>Cover!Print_Area</vt:lpstr>
      <vt:lpstr>'Detailed P &amp; L'!Print_Area</vt:lpstr>
      <vt:lpstr>'Income Tax Return Adds'!Print_Area</vt:lpstr>
      <vt:lpstr>Notes!Print_Area</vt:lpstr>
      <vt:lpstr>'Profit &amp; Loss'!Print_Area</vt:lpstr>
      <vt:lpstr>'Trustee Declaration'!Print_Area</vt:lpstr>
      <vt:lpstr>'Detailed P &amp; L'!Print_Titles</vt:lpstr>
      <vt:lpstr>Notes!Print_Titles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cp:lastPrinted>2023-08-03T09:12:56Z</cp:lastPrinted>
  <dcterms:created xsi:type="dcterms:W3CDTF">2014-08-09T01:37:48Z</dcterms:created>
  <dcterms:modified xsi:type="dcterms:W3CDTF">2023-08-03T09:18:18Z</dcterms:modified>
</cp:coreProperties>
</file>