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D/DREA/2023/Workpapers/"/>
    </mc:Choice>
  </mc:AlternateContent>
  <xr:revisionPtr revIDLastSave="1396" documentId="8_{7DABB9F9-DAC7-48AF-95BF-A766060AAE59}" xr6:coauthVersionLast="47" xr6:coauthVersionMax="47" xr10:uidLastSave="{D721DB30-799A-4FAD-9104-FC794F30669B}"/>
  <bookViews>
    <workbookView xWindow="-28920" yWindow="-2070" windowWidth="29040" windowHeight="15720" tabRatio="781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7" l="1"/>
  <c r="H53" i="7"/>
  <c r="H51" i="7"/>
  <c r="H50" i="7"/>
  <c r="G61" i="7" s="1"/>
  <c r="G62" i="7" s="1"/>
  <c r="F52" i="7"/>
  <c r="H52" i="7" s="1"/>
  <c r="H67" i="7"/>
  <c r="I67" i="7"/>
  <c r="G67" i="7"/>
  <c r="G72" i="7" s="1"/>
  <c r="G74" i="7" s="1"/>
  <c r="F22" i="7"/>
  <c r="F43" i="7" s="1"/>
  <c r="E40" i="7"/>
  <c r="H14" i="7"/>
  <c r="D20" i="7"/>
  <c r="D29" i="7" s="1"/>
  <c r="F18" i="16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36" i="13"/>
  <c r="F42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8" i="13" l="1"/>
  <c r="G13" i="17"/>
  <c r="G12" i="17"/>
  <c r="I3" i="17"/>
  <c r="H3" i="17"/>
  <c r="C3" i="17"/>
  <c r="I2" i="17"/>
  <c r="H2" i="17"/>
  <c r="C2" i="17"/>
  <c r="C1" i="17"/>
  <c r="F21" i="16"/>
  <c r="F15" i="16"/>
  <c r="F32" i="16"/>
  <c r="E32" i="16"/>
  <c r="G31" i="16"/>
  <c r="G30" i="16"/>
  <c r="G29" i="16"/>
  <c r="G28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3" i="16"/>
  <c r="I23" i="16" s="1"/>
  <c r="G32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55" i="13"/>
  <c r="F29" i="13"/>
  <c r="F30" i="13" s="1"/>
  <c r="E13" i="13" s="1"/>
  <c r="F13" i="13" s="1"/>
  <c r="F25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G40" i="7"/>
  <c r="F40" i="7"/>
  <c r="D40" i="7"/>
  <c r="H38" i="7"/>
  <c r="H37" i="7"/>
  <c r="E36" i="7"/>
  <c r="H35" i="7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K22" i="7" s="1"/>
  <c r="H21" i="7"/>
  <c r="H20" i="7"/>
  <c r="H19" i="7"/>
  <c r="H18" i="7"/>
  <c r="H17" i="7"/>
  <c r="H16" i="7"/>
  <c r="H15" i="7"/>
  <c r="H36" i="7" l="1"/>
  <c r="K19" i="7" s="1"/>
  <c r="M19" i="7" s="1"/>
  <c r="E43" i="7"/>
  <c r="E44" i="7" s="1"/>
  <c r="K26" i="7"/>
  <c r="M26" i="7"/>
  <c r="H40" i="7"/>
  <c r="K21" i="7"/>
  <c r="M21" i="7" s="1"/>
  <c r="G44" i="7"/>
  <c r="K17" i="7"/>
  <c r="M17" i="7" s="1"/>
  <c r="F44" i="7"/>
  <c r="K23" i="7"/>
  <c r="M23" i="7" s="1"/>
  <c r="M22" i="7"/>
  <c r="H32" i="7"/>
  <c r="K16" i="7"/>
  <c r="M16" i="7" s="1"/>
  <c r="K20" i="7"/>
  <c r="M20" i="7" s="1"/>
  <c r="D44" i="7"/>
  <c r="K14" i="7" l="1"/>
  <c r="K29" i="7" s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M14" i="7" l="1"/>
  <c r="G21" i="5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<sst xmlns="http://schemas.openxmlformats.org/spreadsheetml/2006/main" count="831" uniqueCount="495">
  <si>
    <t>Client</t>
  </si>
  <si>
    <t>THE DREHER FAMILY SUPERANNUATION FUND</t>
  </si>
  <si>
    <t>Initials</t>
  </si>
  <si>
    <t>Date</t>
  </si>
  <si>
    <t>Client Code</t>
  </si>
  <si>
    <t>DREA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</si>
  <si>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</si>
  <si>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</si>
  <si>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</si>
  <si>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</si>
  <si>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</si>
  <si>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</si>
  <si>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</si>
  <si>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</si>
  <si>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</si>
  <si>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</si>
  <si>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</si>
  <si>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</si>
  <si>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</si>
  <si>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</si>
  <si>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</si>
  <si>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</si>
  <si>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</si>
  <si>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</si>
  <si>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</si>
  <si>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</si>
  <si>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</si>
  <si>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</si>
  <si>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</si>
  <si>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</si>
  <si>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</si>
  <si>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</si>
  <si>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</si>
  <si>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</si>
  <si>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</si>
  <si>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</si>
  <si>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</si>
  <si>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</si>
  <si>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</si>
  <si>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</si>
  <si>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</si>
  <si>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</si>
  <si>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</si>
  <si>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</si>
  <si>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</si>
  <si>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</si>
  <si>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</si>
  <si>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</si>
  <si>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</si>
  <si>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</si>
  <si>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</si>
  <si>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</si>
  <si>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</si>
  <si>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</si>
  <si>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</si>
  <si>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</si>
  <si>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</si>
  <si>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</si>
  <si>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</si>
  <si>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</si>
  <si>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</si>
  <si>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</si>
  <si>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</si>
  <si>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</si>
  <si>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</si>
  <si>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</si>
  <si>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</si>
  <si>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</si>
  <si>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</si>
  <si>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</si>
  <si>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</si>
  <si>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</si>
  <si>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</si>
  <si>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</si>
  <si>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</si>
  <si>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</si>
  <si>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</si>
  <si>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</si>
  <si>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</si>
  <si>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</si>
  <si>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</si>
  <si>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</si>
  <si>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</si>
  <si>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</si>
  <si>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 xml:space="preserve">CBA Account as at 30 June </t>
  </si>
  <si>
    <t>Nothing received for 23FY</t>
  </si>
  <si>
    <t>Check VTS July distribution</t>
  </si>
  <si>
    <t>Should this have been taken up last yr?</t>
  </si>
  <si>
    <t>Check HCW July distribution</t>
  </si>
  <si>
    <t>Same as above, should this have been taken up last year?</t>
  </si>
  <si>
    <t>Check 2 x contributions</t>
  </si>
  <si>
    <t xml:space="preserve">Invoicing </t>
  </si>
  <si>
    <t>Audit</t>
  </si>
  <si>
    <t>Actuarial</t>
  </si>
  <si>
    <t>Yes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</si>
  <si>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</si>
  <si>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</si>
  <si>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</si>
  <si>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</si>
  <si>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</si>
  <si>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</si>
  <si>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</si>
  <si>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</si>
  <si>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</si>
  <si>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</si>
  <si>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</si>
  <si>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</si>
  <si>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</si>
  <si>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</si>
  <si>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</si>
  <si>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</si>
  <si>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</si>
  <si>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</si>
  <si>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</si>
  <si>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</si>
  <si>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</si>
  <si>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</si>
  <si>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</si>
  <si>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</si>
  <si>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</si>
  <si>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</si>
  <si>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</si>
  <si>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</si>
  <si>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</si>
  <si>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</si>
  <si>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</si>
  <si>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Alison Dreher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</si>
  <si>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</si>
  <si>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</si>
  <si>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</si>
  <si>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</si>
  <si>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</si>
  <si>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</si>
  <si>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</si>
  <si>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</si>
  <si>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</si>
  <si>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</si>
  <si>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</si>
  <si>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</si>
  <si>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</si>
  <si>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</si>
  <si>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</si>
  <si>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</si>
  <si>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</si>
  <si>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</si>
  <si>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</si>
  <si>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</si>
  <si>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</si>
  <si>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</si>
  <si>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</si>
  <si>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</si>
  <si>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</si>
  <si>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</si>
  <si>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</si>
  <si>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</si>
  <si>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</si>
  <si>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</si>
  <si>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</si>
  <si>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</si>
  <si>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</si>
  <si>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</si>
  <si>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</si>
  <si>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</si>
  <si>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</si>
  <si>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</si>
  <si>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</si>
  <si>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</si>
  <si>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</si>
  <si>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</si>
  <si>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</si>
  <si>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</si>
  <si>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</si>
  <si>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</si>
  <si>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</si>
  <si>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</si>
  <si>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</si>
  <si>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</si>
  <si>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</si>
  <si>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</si>
  <si>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</si>
  <si>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</si>
  <si>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</si>
  <si>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</si>
  <si>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</si>
  <si>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</si>
  <si>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</si>
  <si>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</si>
  <si>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</si>
  <si>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</si>
  <si>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</si>
  <si>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</si>
  <si>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</si>
  <si>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</si>
  <si>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</si>
  <si>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</si>
  <si>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</si>
  <si>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</si>
  <si>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</si>
  <si>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</si>
  <si>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</si>
  <si>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</si>
  <si>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</si>
  <si>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</si>
  <si>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</si>
  <si>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</si>
  <si>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</si>
  <si>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</si>
  <si>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</si>
  <si>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</si>
  <si>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</si>
  <si>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</si>
  <si>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</si>
  <si>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</si>
  <si>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</si>
  <si>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</si>
  <si>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</si>
  <si>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</si>
  <si>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</si>
  <si>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</si>
  <si>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</si>
  <si>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</si>
  <si>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</si>
  <si>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</si>
  <si>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</si>
  <si>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</si>
  <si>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</si>
  <si>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</si>
  <si>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</si>
  <si>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</si>
  <si>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</si>
  <si>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</si>
  <si>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</si>
  <si>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</si>
  <si>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</si>
  <si>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</si>
  <si>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</si>
  <si>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</si>
  <si>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</si>
  <si>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</si>
  <si>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</si>
  <si>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</si>
  <si>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</si>
  <si>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</si>
  <si>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</si>
  <si>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</si>
  <si>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</si>
  <si>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Investments</t>
  </si>
  <si>
    <t>Shares in Listed Companies</t>
  </si>
  <si>
    <t>Units in Listed Unit Trusts</t>
  </si>
  <si>
    <t>Market Value per Supporting Docs</t>
  </si>
  <si>
    <t>Wilsons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</si>
  <si>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</si>
  <si>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</si>
  <si>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</si>
  <si>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</si>
  <si>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</si>
  <si>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</si>
  <si>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</si>
  <si>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</si>
  <si>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</si>
  <si>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</si>
  <si>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</si>
  <si>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</si>
  <si>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</si>
  <si>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</si>
  <si>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</si>
  <si>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</si>
  <si>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</si>
  <si>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</si>
  <si>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</si>
  <si>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</si>
  <si>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</si>
  <si>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</si>
  <si>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</si>
  <si>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</si>
  <si>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</si>
  <si>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</si>
  <si>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</si>
  <si>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</si>
  <si>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</si>
  <si>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</si>
  <si>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</si>
  <si>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</si>
  <si>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</si>
  <si>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</si>
  <si>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GMG</t>
  </si>
  <si>
    <t>HCW</t>
  </si>
  <si>
    <t>APA</t>
  </si>
  <si>
    <t>ETL0484</t>
  </si>
  <si>
    <t>MXT</t>
  </si>
  <si>
    <t>MAQ0464</t>
  </si>
  <si>
    <t>NBI</t>
  </si>
  <si>
    <t>FEMX</t>
  </si>
  <si>
    <t>PGG</t>
  </si>
  <si>
    <t>PIM0058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</si>
  <si>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</si>
  <si>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</si>
  <si>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</si>
  <si>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</si>
  <si>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</si>
  <si>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</si>
  <si>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</si>
  <si>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</si>
  <si>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VTS</t>
  </si>
  <si>
    <t>22FY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</si>
  <si>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</si>
  <si>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</si>
  <si>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</si>
  <si>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</si>
  <si>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</si>
  <si>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</si>
  <si>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</si>
  <si>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</si>
  <si>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</si>
  <si>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</si>
  <si>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</si>
  <si>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</si>
  <si>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</si>
  <si>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</si>
  <si>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</si>
  <si>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</si>
  <si>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</si>
  <si>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</si>
  <si>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</si>
  <si>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</si>
  <si>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</si>
  <si>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</si>
  <si>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</si>
  <si>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</si>
  <si>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</si>
  <si>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</si>
  <si>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</si>
  <si>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</si>
  <si>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</si>
  <si>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</si>
  <si>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</si>
  <si>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</si>
  <si>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</si>
  <si>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</si>
  <si>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</si>
  <si>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</si>
  <si>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This amount was not included on the 2022FY annual reports or on the 2023 annual reports</t>
  </si>
  <si>
    <t>After querying the advisor, the 2022FY reports were amended to include this amount as assessable in 2022</t>
  </si>
  <si>
    <t>Per 2022 original reports</t>
  </si>
  <si>
    <t>Per 2022 amended report</t>
  </si>
  <si>
    <t>Amt included in 2023 as income</t>
  </si>
  <si>
    <t>Total income</t>
  </si>
  <si>
    <t>Other income</t>
  </si>
  <si>
    <t>Gross disc CG - 50%</t>
  </si>
  <si>
    <t>Reported on Wilsons report as non-trust income</t>
  </si>
  <si>
    <t>All income reconcilation - DB</t>
  </si>
  <si>
    <t>IC</t>
  </si>
  <si>
    <t>Wilsons - total income per 2023 Income &amp; Expenses Summary Report</t>
  </si>
  <si>
    <t>Plus:  2022FY HCW adj</t>
  </si>
  <si>
    <t>Accounts:</t>
  </si>
  <si>
    <t>Trust distributions</t>
  </si>
  <si>
    <t>Dividends</t>
  </si>
  <si>
    <t>Gross up for FTC on JHX div</t>
  </si>
  <si>
    <t>Gross up for FTC on RMD div</t>
  </si>
  <si>
    <t>Gross up for FTC on VTS div</t>
  </si>
  <si>
    <t>Less: ATO interest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</si>
  <si>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</si>
  <si>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</si>
  <si>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</si>
  <si>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</si>
  <si>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</si>
  <si>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</si>
  <si>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</si>
  <si>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</si>
  <si>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</si>
  <si>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</si>
  <si>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</si>
  <si>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</si>
  <si>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</si>
  <si>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</si>
  <si>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</si>
  <si>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</si>
  <si>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JHX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</si>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</sst>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8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3" fillId="0" borderId="26" xfId="0" applyFont="1" applyBorder="1"/>
    <xf numFmtId="166" fontId="0" fillId="0" borderId="0" xfId="1" quotePrefix="1" applyFont="1" applyFill="1"/>
    <xf numFmtId="43" fontId="0" fillId="0" borderId="31" xfId="0" applyNumberFormat="1" applyBorder="1"/>
    <xf numFmtId="0" fontId="0" fillId="0" borderId="31" xfId="0" applyBorder="1"/>
    <xf numFmtId="0" fontId="3" fillId="11" borderId="0" xfId="0" applyFont="1" applyFill="1"/>
    <xf numFmtId="0" fontId="3" fillId="11" borderId="0" xfId="0" applyFont="1" applyFill="1" applyAlignment="1">
      <alignment horizontal="center"/>
    </xf>
    <xf numFmtId="0" fontId="0" fillId="11" borderId="0" xfId="0" applyFill="1"/>
    <xf numFmtId="43" fontId="0" fillId="0" borderId="0" xfId="2" applyNumberFormat="1" applyFont="1"/>
    <xf numFmtId="0" fontId="3" fillId="12" borderId="0" xfId="0" applyFont="1" applyFill="1" applyAlignment="1">
      <alignment horizontal="center"/>
    </xf>
    <xf numFmtId="0" fontId="0" fillId="12" borderId="0" xfId="0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25" sqref="F25:H25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45195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45202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5" t="s">
        <v>15</v>
      </c>
      <c r="G7" s="346"/>
      <c r="H7" s="347"/>
    </row>
    <row r="8" spans="1:9" ht="20.100000000000001" customHeight="1">
      <c r="A8" s="348" t="s">
        <v>16</v>
      </c>
      <c r="B8" s="349"/>
      <c r="C8" s="350"/>
      <c r="D8" s="221"/>
      <c r="E8" s="10" t="s">
        <v>17</v>
      </c>
      <c r="F8" s="333"/>
      <c r="G8" s="334"/>
      <c r="H8" s="335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33"/>
      <c r="G9" s="334"/>
      <c r="H9" s="335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33"/>
      <c r="G10" s="334"/>
      <c r="H10" s="335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33"/>
      <c r="G11" s="334"/>
      <c r="H11" s="335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33"/>
      <c r="G12" s="334"/>
      <c r="H12" s="335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33"/>
      <c r="G13" s="334"/>
      <c r="H13" s="335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33"/>
      <c r="G14" s="334"/>
      <c r="H14" s="335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33"/>
      <c r="G15" s="334"/>
      <c r="H15" s="335"/>
    </row>
    <row r="16" spans="1:9" ht="20.100000000000001" customHeight="1">
      <c r="A16" s="15"/>
      <c r="B16" s="316">
        <v>8</v>
      </c>
      <c r="C16" s="12" t="s">
        <v>25</v>
      </c>
      <c r="D16" s="221"/>
      <c r="E16" s="10"/>
      <c r="F16" s="333" t="s">
        <v>26</v>
      </c>
      <c r="G16" s="334"/>
      <c r="H16" s="335"/>
    </row>
    <row r="17" spans="1:10" ht="20.100000000000001" customHeight="1">
      <c r="A17" s="15"/>
      <c r="B17" s="315">
        <v>9</v>
      </c>
      <c r="C17" s="12" t="s">
        <v>27</v>
      </c>
      <c r="D17" s="221"/>
      <c r="E17" s="10"/>
      <c r="F17" s="333"/>
      <c r="G17" s="334"/>
      <c r="H17" s="335"/>
    </row>
    <row r="18" spans="1:10" ht="20.100000000000001" customHeight="1">
      <c r="A18" s="342" t="s">
        <v>28</v>
      </c>
      <c r="B18" s="343"/>
      <c r="C18" s="344"/>
      <c r="D18" s="221"/>
      <c r="E18" s="17"/>
      <c r="F18" s="333"/>
      <c r="G18" s="334"/>
      <c r="H18" s="335"/>
      <c r="J18" s="18"/>
    </row>
    <row r="19" spans="1:10" ht="20.100000000000001" customHeight="1">
      <c r="A19" s="19">
        <v>2</v>
      </c>
      <c r="B19" s="20" t="s">
        <v>29</v>
      </c>
      <c r="C19" s="21"/>
      <c r="D19" s="221"/>
      <c r="E19" s="17"/>
      <c r="F19" s="333"/>
      <c r="G19" s="334"/>
      <c r="H19" s="335"/>
    </row>
    <row r="20" spans="1:10" ht="20.100000000000001" customHeight="1">
      <c r="A20" s="22"/>
      <c r="B20" s="23"/>
      <c r="C20" s="24" t="s">
        <v>30</v>
      </c>
      <c r="D20" s="221"/>
      <c r="E20" s="17"/>
      <c r="F20" s="333"/>
      <c r="G20" s="334"/>
      <c r="H20" s="335"/>
    </row>
    <row r="21" spans="1:10" ht="20.100000000000001" customHeight="1">
      <c r="A21" s="22"/>
      <c r="B21" s="23"/>
      <c r="C21" s="24" t="s">
        <v>31</v>
      </c>
      <c r="D21" s="221"/>
      <c r="E21" s="17"/>
      <c r="F21" s="333"/>
      <c r="G21" s="334"/>
      <c r="H21" s="335"/>
    </row>
    <row r="22" spans="1:10" ht="20.100000000000001" customHeight="1">
      <c r="A22" s="11"/>
      <c r="B22" s="25"/>
      <c r="C22" s="14" t="s">
        <v>32</v>
      </c>
      <c r="D22" s="221"/>
      <c r="E22" s="10" t="s">
        <v>17</v>
      </c>
      <c r="F22" s="333"/>
      <c r="G22" s="334"/>
      <c r="H22" s="335"/>
    </row>
    <row r="23" spans="1:10" ht="20.100000000000001" customHeight="1">
      <c r="A23" s="11"/>
      <c r="B23" s="26"/>
      <c r="C23" s="14" t="s">
        <v>33</v>
      </c>
      <c r="D23" s="222" t="s">
        <v>34</v>
      </c>
      <c r="E23" s="10"/>
      <c r="F23" s="333"/>
      <c r="G23" s="334"/>
      <c r="H23" s="335"/>
    </row>
    <row r="24" spans="1:10" ht="20.100000000000001" customHeight="1">
      <c r="A24" s="19">
        <v>3</v>
      </c>
      <c r="B24" s="27" t="s">
        <v>35</v>
      </c>
      <c r="C24" s="21"/>
      <c r="D24" s="221"/>
      <c r="E24" s="17"/>
      <c r="F24" s="333"/>
      <c r="G24" s="334"/>
      <c r="H24" s="335"/>
    </row>
    <row r="25" spans="1:10" ht="20.100000000000001" customHeight="1">
      <c r="A25" s="11"/>
      <c r="B25" s="28"/>
      <c r="C25" s="14" t="s">
        <v>36</v>
      </c>
      <c r="D25" s="270" t="s">
        <v>34</v>
      </c>
      <c r="E25" s="10" t="s">
        <v>17</v>
      </c>
      <c r="F25" s="339"/>
      <c r="G25" s="340"/>
      <c r="H25" s="341"/>
    </row>
    <row r="26" spans="1:10" ht="20.100000000000001" customHeight="1">
      <c r="A26" s="19">
        <v>4</v>
      </c>
      <c r="B26" s="27" t="s">
        <v>37</v>
      </c>
      <c r="C26" s="27"/>
      <c r="D26" s="221"/>
      <c r="E26" s="10"/>
      <c r="F26" s="333"/>
      <c r="G26" s="334"/>
      <c r="H26" s="335"/>
    </row>
    <row r="27" spans="1:10" ht="20.100000000000001" customHeight="1">
      <c r="A27" s="22"/>
      <c r="B27" s="23"/>
      <c r="C27" s="24" t="s">
        <v>38</v>
      </c>
      <c r="D27" s="222" t="s">
        <v>34</v>
      </c>
      <c r="E27" s="10"/>
      <c r="F27" s="333"/>
      <c r="G27" s="334"/>
      <c r="H27" s="335"/>
    </row>
    <row r="28" spans="1:10" ht="20.100000000000001" customHeight="1">
      <c r="A28" s="11"/>
      <c r="B28" s="25"/>
      <c r="C28" s="14" t="s">
        <v>39</v>
      </c>
      <c r="D28" s="222" t="s">
        <v>34</v>
      </c>
      <c r="E28" s="10" t="s">
        <v>17</v>
      </c>
      <c r="F28" s="333"/>
      <c r="G28" s="334"/>
      <c r="H28" s="335"/>
    </row>
    <row r="29" spans="1:10" ht="20.100000000000001" customHeight="1">
      <c r="A29" s="11"/>
      <c r="B29" s="26"/>
      <c r="C29" s="14" t="s">
        <v>40</v>
      </c>
      <c r="D29" s="222" t="s">
        <v>34</v>
      </c>
      <c r="E29" s="10"/>
      <c r="F29" s="333"/>
      <c r="G29" s="334"/>
      <c r="H29" s="335"/>
    </row>
    <row r="30" spans="1:10" ht="20.100000000000001" customHeight="1">
      <c r="A30" s="11"/>
      <c r="B30" s="26"/>
      <c r="C30" s="14" t="s">
        <v>41</v>
      </c>
      <c r="D30" s="222" t="s">
        <v>34</v>
      </c>
      <c r="E30" s="10"/>
      <c r="F30" s="333"/>
      <c r="G30" s="334"/>
      <c r="H30" s="335"/>
    </row>
    <row r="31" spans="1:10" ht="20.100000000000001" customHeight="1">
      <c r="A31" s="11"/>
      <c r="B31" s="26"/>
      <c r="C31" s="14" t="s">
        <v>42</v>
      </c>
      <c r="D31" s="222" t="s">
        <v>34</v>
      </c>
      <c r="E31" s="10"/>
      <c r="F31" s="333"/>
      <c r="G31" s="334"/>
      <c r="H31" s="335"/>
    </row>
    <row r="32" spans="1:10" ht="20.100000000000001" customHeight="1">
      <c r="A32" s="19">
        <v>5</v>
      </c>
      <c r="B32" s="27" t="s">
        <v>43</v>
      </c>
      <c r="C32" s="27"/>
      <c r="D32" s="221"/>
      <c r="E32" s="10"/>
      <c r="F32" s="333"/>
      <c r="G32" s="334"/>
      <c r="H32" s="335"/>
    </row>
    <row r="33" spans="1:8" ht="20.100000000000001" customHeight="1">
      <c r="A33" s="22"/>
      <c r="B33" s="28"/>
      <c r="C33" s="14" t="s">
        <v>44</v>
      </c>
      <c r="D33" s="221"/>
      <c r="E33" s="10" t="s">
        <v>17</v>
      </c>
      <c r="F33" s="333"/>
      <c r="G33" s="334"/>
      <c r="H33" s="335"/>
    </row>
    <row r="34" spans="1:8" ht="20.100000000000001" customHeight="1">
      <c r="A34" s="11"/>
      <c r="B34" s="28"/>
      <c r="C34" s="14" t="s">
        <v>45</v>
      </c>
      <c r="D34" s="222" t="s">
        <v>34</v>
      </c>
      <c r="E34" s="10" t="s">
        <v>17</v>
      </c>
      <c r="F34" s="333"/>
      <c r="G34" s="334"/>
      <c r="H34" s="335"/>
    </row>
    <row r="35" spans="1:8" ht="20.100000000000001" customHeight="1">
      <c r="A35" s="11"/>
      <c r="B35" s="28"/>
      <c r="C35" s="14" t="s">
        <v>46</v>
      </c>
      <c r="D35" s="221"/>
      <c r="E35" s="17"/>
      <c r="F35" s="333"/>
      <c r="G35" s="334"/>
      <c r="H35" s="335"/>
    </row>
    <row r="36" spans="1:8" ht="20.100000000000001" customHeight="1">
      <c r="A36" s="11"/>
      <c r="B36" s="28"/>
      <c r="C36" s="14" t="s">
        <v>47</v>
      </c>
      <c r="D36" s="222" t="s">
        <v>34</v>
      </c>
      <c r="E36" s="10" t="s">
        <v>17</v>
      </c>
      <c r="F36" s="333"/>
      <c r="G36" s="334"/>
      <c r="H36" s="335"/>
    </row>
    <row r="37" spans="1:8" ht="20.100000000000001" customHeight="1">
      <c r="A37" s="11"/>
      <c r="B37" s="28"/>
      <c r="C37" s="14" t="s">
        <v>48</v>
      </c>
      <c r="D37" s="221"/>
      <c r="E37" s="10"/>
      <c r="F37" s="333"/>
      <c r="G37" s="334"/>
      <c r="H37" s="335"/>
    </row>
    <row r="38" spans="1:8" ht="20.100000000000001" customHeight="1">
      <c r="A38" s="11"/>
      <c r="B38" s="28"/>
      <c r="C38" s="14" t="s">
        <v>49</v>
      </c>
      <c r="D38" s="221"/>
      <c r="E38" s="17"/>
      <c r="F38" s="333"/>
      <c r="G38" s="334"/>
      <c r="H38" s="335"/>
    </row>
    <row r="39" spans="1:8" ht="20.100000000000001" customHeight="1">
      <c r="A39" s="11"/>
      <c r="B39" s="28"/>
      <c r="C39" s="14" t="s">
        <v>50</v>
      </c>
      <c r="D39" s="222" t="s">
        <v>34</v>
      </c>
      <c r="E39" s="10"/>
      <c r="F39" s="333"/>
      <c r="G39" s="334"/>
      <c r="H39" s="335"/>
    </row>
    <row r="40" spans="1:8" ht="20.100000000000001" customHeight="1">
      <c r="A40" s="19">
        <v>6</v>
      </c>
      <c r="B40" s="27" t="s">
        <v>51</v>
      </c>
      <c r="C40" s="27"/>
      <c r="D40" s="221"/>
      <c r="E40" s="10"/>
      <c r="F40" s="333"/>
      <c r="G40" s="334"/>
      <c r="H40" s="335"/>
    </row>
    <row r="41" spans="1:8" ht="20.100000000000001" customHeight="1">
      <c r="A41" s="11"/>
      <c r="B41" s="28"/>
      <c r="C41" s="14" t="s">
        <v>52</v>
      </c>
      <c r="D41" s="221"/>
      <c r="E41" s="10" t="s">
        <v>17</v>
      </c>
      <c r="F41" s="333"/>
      <c r="G41" s="334"/>
      <c r="H41" s="335"/>
    </row>
    <row r="42" spans="1:8" ht="20.100000000000001" customHeight="1">
      <c r="A42" s="11"/>
      <c r="B42" s="28"/>
      <c r="C42" s="14" t="s">
        <v>53</v>
      </c>
      <c r="D42" s="221"/>
      <c r="E42" s="17"/>
      <c r="F42" s="333"/>
      <c r="G42" s="334"/>
      <c r="H42" s="335"/>
    </row>
    <row r="43" spans="1:8" ht="20.100000000000001" customHeight="1">
      <c r="A43" s="11"/>
      <c r="B43" s="28"/>
      <c r="C43" s="14" t="s">
        <v>54</v>
      </c>
      <c r="D43" s="221"/>
      <c r="E43" s="17"/>
      <c r="F43" s="333"/>
      <c r="G43" s="334"/>
      <c r="H43" s="335"/>
    </row>
    <row r="44" spans="1:8" ht="20.100000000000001" customHeight="1">
      <c r="A44" s="11"/>
      <c r="B44" s="28"/>
      <c r="C44" s="14" t="s">
        <v>55</v>
      </c>
      <c r="D44" s="221"/>
      <c r="E44" s="17"/>
      <c r="F44" s="333"/>
      <c r="G44" s="334"/>
      <c r="H44" s="335"/>
    </row>
    <row r="45" spans="1:8" ht="20.100000000000001" customHeight="1">
      <c r="A45" s="11"/>
      <c r="B45" s="28"/>
      <c r="C45" s="14" t="s">
        <v>56</v>
      </c>
      <c r="D45" s="221"/>
      <c r="E45" s="17"/>
      <c r="F45" s="333"/>
      <c r="G45" s="334"/>
      <c r="H45" s="335"/>
    </row>
    <row r="46" spans="1:8" ht="20.100000000000001" customHeight="1">
      <c r="A46" s="11"/>
      <c r="B46" s="28"/>
      <c r="C46" s="14" t="s">
        <v>57</v>
      </c>
      <c r="D46" s="221"/>
      <c r="E46" s="10" t="s">
        <v>17</v>
      </c>
      <c r="F46" s="333"/>
      <c r="G46" s="334"/>
      <c r="H46" s="335"/>
    </row>
    <row r="47" spans="1:8" ht="20.100000000000001" customHeight="1">
      <c r="A47" s="19">
        <v>7</v>
      </c>
      <c r="B47" s="27" t="s">
        <v>58</v>
      </c>
      <c r="C47" s="27"/>
      <c r="D47" s="221"/>
      <c r="E47" s="17"/>
      <c r="F47" s="333"/>
      <c r="G47" s="334"/>
      <c r="H47" s="335"/>
    </row>
    <row r="48" spans="1:8" ht="20.100000000000001" customHeight="1">
      <c r="A48" s="11"/>
      <c r="B48" s="28"/>
      <c r="C48" s="14" t="s">
        <v>59</v>
      </c>
      <c r="D48" s="222" t="s">
        <v>34</v>
      </c>
      <c r="E48" s="29"/>
      <c r="F48" s="333"/>
      <c r="G48" s="334"/>
      <c r="H48" s="335"/>
    </row>
    <row r="49" spans="1:8" ht="20.100000000000001" customHeight="1">
      <c r="A49" s="11"/>
      <c r="B49" s="30"/>
      <c r="C49" s="14" t="s">
        <v>60</v>
      </c>
      <c r="D49" s="221"/>
      <c r="E49" s="17"/>
      <c r="F49" s="333"/>
      <c r="G49" s="334"/>
      <c r="H49" s="335"/>
    </row>
    <row r="50" spans="1:8" ht="20.100000000000001" customHeight="1">
      <c r="A50" s="19">
        <v>8</v>
      </c>
      <c r="B50" s="27" t="s">
        <v>61</v>
      </c>
      <c r="C50" s="27"/>
      <c r="D50" s="221"/>
      <c r="E50" s="17"/>
      <c r="F50" s="333"/>
      <c r="G50" s="334"/>
      <c r="H50" s="335"/>
    </row>
    <row r="51" spans="1:8" ht="20.100000000000001" customHeight="1">
      <c r="A51" s="11"/>
      <c r="B51" s="28"/>
      <c r="C51" s="24" t="s">
        <v>62</v>
      </c>
      <c r="D51" s="221"/>
      <c r="E51" s="10" t="s">
        <v>17</v>
      </c>
      <c r="F51" s="333"/>
      <c r="G51" s="334"/>
      <c r="H51" s="335"/>
    </row>
    <row r="52" spans="1:8" ht="20.100000000000001" customHeight="1">
      <c r="A52" s="11"/>
      <c r="B52" s="31"/>
      <c r="C52" s="14" t="s">
        <v>63</v>
      </c>
      <c r="D52" s="222" t="s">
        <v>34</v>
      </c>
      <c r="E52" s="10" t="s">
        <v>17</v>
      </c>
      <c r="F52" s="333"/>
      <c r="G52" s="334"/>
      <c r="H52" s="335"/>
    </row>
    <row r="53" spans="1:8" ht="20.100000000000001" customHeight="1">
      <c r="A53" s="11"/>
      <c r="B53" s="31"/>
      <c r="C53" s="24" t="s">
        <v>64</v>
      </c>
      <c r="D53" s="221"/>
      <c r="E53" s="10" t="s">
        <v>17</v>
      </c>
      <c r="F53" s="333"/>
      <c r="G53" s="334"/>
      <c r="H53" s="335"/>
    </row>
    <row r="54" spans="1:8" ht="20.100000000000001" customHeight="1">
      <c r="A54" s="11"/>
      <c r="B54" s="31"/>
      <c r="C54" s="24" t="s">
        <v>65</v>
      </c>
      <c r="D54" s="222" t="s">
        <v>34</v>
      </c>
      <c r="E54" s="10" t="s">
        <v>17</v>
      </c>
      <c r="F54" s="333"/>
      <c r="G54" s="334"/>
      <c r="H54" s="335"/>
    </row>
    <row r="55" spans="1:8" ht="20.100000000000001" customHeight="1">
      <c r="A55" s="11"/>
      <c r="B55" s="31"/>
      <c r="C55" s="24" t="s">
        <v>66</v>
      </c>
      <c r="D55" s="222" t="s">
        <v>34</v>
      </c>
      <c r="E55" s="10"/>
      <c r="F55" s="333"/>
      <c r="G55" s="334"/>
      <c r="H55" s="335"/>
    </row>
    <row r="56" spans="1:8" ht="20.100000000000001" customHeight="1">
      <c r="A56" s="11"/>
      <c r="B56" s="31"/>
      <c r="C56" s="24" t="s">
        <v>67</v>
      </c>
      <c r="D56" s="221"/>
      <c r="E56" s="10" t="s">
        <v>17</v>
      </c>
      <c r="F56" s="333"/>
      <c r="G56" s="334"/>
      <c r="H56" s="335"/>
    </row>
    <row r="57" spans="1:8" ht="20.100000000000001" customHeight="1">
      <c r="A57" s="11"/>
      <c r="B57" s="31"/>
      <c r="C57" s="24" t="s">
        <v>68</v>
      </c>
      <c r="D57" s="221"/>
      <c r="E57" s="10"/>
      <c r="F57" s="333"/>
      <c r="G57" s="334"/>
      <c r="H57" s="335"/>
    </row>
    <row r="58" spans="1:8" ht="20.100000000000001" customHeight="1">
      <c r="A58" s="11"/>
      <c r="B58" s="31"/>
      <c r="C58" s="24" t="s">
        <v>69</v>
      </c>
      <c r="D58" s="221"/>
      <c r="E58" s="10" t="s">
        <v>17</v>
      </c>
      <c r="F58" s="333"/>
      <c r="G58" s="334"/>
      <c r="H58" s="335"/>
    </row>
    <row r="59" spans="1:8" ht="20.100000000000001" customHeight="1">
      <c r="A59" s="19">
        <v>9</v>
      </c>
      <c r="B59" s="27" t="s">
        <v>70</v>
      </c>
      <c r="C59" s="27"/>
      <c r="D59" s="221"/>
      <c r="E59" s="17"/>
      <c r="F59" s="333"/>
      <c r="G59" s="334"/>
      <c r="H59" s="335"/>
    </row>
    <row r="60" spans="1:8" ht="20.100000000000001" customHeight="1">
      <c r="A60" s="32"/>
      <c r="B60" s="26"/>
      <c r="C60" s="14" t="s">
        <v>71</v>
      </c>
      <c r="D60" s="222" t="s">
        <v>34</v>
      </c>
      <c r="E60" s="10" t="s">
        <v>17</v>
      </c>
      <c r="F60" s="333"/>
      <c r="G60" s="334"/>
      <c r="H60" s="335"/>
    </row>
    <row r="61" spans="1:8" ht="20.100000000000001" customHeight="1">
      <c r="A61" s="11"/>
      <c r="B61" s="26"/>
      <c r="C61" s="14" t="s">
        <v>72</v>
      </c>
      <c r="D61" s="221"/>
      <c r="E61" s="10"/>
      <c r="F61" s="333"/>
      <c r="G61" s="334"/>
      <c r="H61" s="335"/>
    </row>
    <row r="62" spans="1:8" ht="20.100000000000001" customHeight="1">
      <c r="A62" s="11"/>
      <c r="B62" s="26"/>
      <c r="C62" s="14" t="s">
        <v>73</v>
      </c>
      <c r="D62" s="222" t="s">
        <v>34</v>
      </c>
      <c r="E62" s="10" t="s">
        <v>17</v>
      </c>
      <c r="F62" s="333"/>
      <c r="G62" s="334"/>
      <c r="H62" s="335"/>
    </row>
    <row r="63" spans="1:8" ht="20.100000000000001" customHeight="1">
      <c r="A63" s="11"/>
      <c r="B63" s="31"/>
      <c r="C63" s="24" t="s">
        <v>50</v>
      </c>
      <c r="D63" s="221"/>
      <c r="E63" s="10"/>
      <c r="F63" s="333"/>
      <c r="G63" s="334"/>
      <c r="H63" s="335"/>
    </row>
    <row r="64" spans="1:8" ht="20.100000000000001" customHeight="1">
      <c r="A64" s="19">
        <v>10</v>
      </c>
      <c r="B64" s="27" t="s">
        <v>74</v>
      </c>
      <c r="C64" s="27"/>
      <c r="D64" s="221"/>
      <c r="E64" s="17"/>
      <c r="F64" s="336"/>
      <c r="G64" s="337"/>
      <c r="H64" s="338"/>
    </row>
    <row r="65" spans="1:8" ht="20.100000000000001" customHeight="1">
      <c r="A65" s="11"/>
      <c r="B65" s="31"/>
      <c r="C65" s="24" t="s">
        <v>75</v>
      </c>
      <c r="D65" s="221"/>
      <c r="E65" s="10" t="s">
        <v>17</v>
      </c>
      <c r="F65" s="333" t="s">
        <v>76</v>
      </c>
      <c r="G65" s="334"/>
      <c r="H65" s="335"/>
    </row>
    <row r="66" spans="1:8" ht="20.100000000000001" customHeight="1">
      <c r="A66" s="19">
        <v>11</v>
      </c>
      <c r="B66" s="27" t="s">
        <v>77</v>
      </c>
      <c r="C66" s="27"/>
      <c r="D66" s="221"/>
      <c r="E66" s="17"/>
      <c r="F66" s="333"/>
      <c r="G66" s="334"/>
      <c r="H66" s="335"/>
    </row>
    <row r="67" spans="1:8" ht="20.100000000000001" customHeight="1">
      <c r="A67" s="32"/>
      <c r="B67" s="26"/>
      <c r="C67" s="14" t="s">
        <v>78</v>
      </c>
      <c r="D67" s="222" t="s">
        <v>34</v>
      </c>
      <c r="E67" s="10" t="s">
        <v>17</v>
      </c>
      <c r="F67" s="333"/>
      <c r="G67" s="334"/>
      <c r="H67" s="335"/>
    </row>
    <row r="68" spans="1:8" ht="20.100000000000001" customHeight="1">
      <c r="A68" s="251"/>
      <c r="B68" s="252"/>
      <c r="C68" s="253" t="s">
        <v>79</v>
      </c>
      <c r="D68" s="254" t="s">
        <v>34</v>
      </c>
      <c r="E68" s="255"/>
      <c r="F68" s="330"/>
      <c r="G68" s="331"/>
      <c r="H68" s="332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2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244</v>
      </c>
      <c r="C5" s="57"/>
      <c r="F5" s="58"/>
      <c r="G5" s="58"/>
      <c r="H5" s="65"/>
      <c r="J5" s="66"/>
    </row>
    <row r="6" spans="1:12" s="107" customFormat="1" ht="18">
      <c r="A6" s="314" t="s">
        <v>259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83"/>
      <c r="I7" s="383"/>
      <c r="J7" s="383"/>
      <c r="K7" s="383"/>
      <c r="L7" s="383"/>
    </row>
    <row r="8" spans="1:12" ht="42.75" customHeight="1" thickBot="1">
      <c r="A8" s="183" t="s">
        <v>145</v>
      </c>
      <c r="B8" s="384" t="s">
        <v>260</v>
      </c>
      <c r="C8" s="385"/>
      <c r="D8" s="386"/>
      <c r="E8" s="185" t="s">
        <v>261</v>
      </c>
      <c r="F8" s="185" t="s">
        <v>262</v>
      </c>
      <c r="G8" s="186" t="s">
        <v>263</v>
      </c>
      <c r="H8" s="187"/>
      <c r="I8" s="187"/>
      <c r="J8" s="187"/>
      <c r="K8" s="188"/>
      <c r="L8" s="188"/>
    </row>
    <row r="9" spans="1:12" ht="15.95" customHeight="1">
      <c r="A9" s="189"/>
      <c r="B9" s="373"/>
      <c r="C9" s="373"/>
      <c r="D9" s="373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87" t="s">
        <v>264</v>
      </c>
      <c r="C10" s="387"/>
      <c r="D10" s="387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80"/>
      <c r="C11" s="381"/>
      <c r="D11" s="382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80"/>
      <c r="C12" s="381"/>
      <c r="D12" s="382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80"/>
      <c r="C13" s="381"/>
      <c r="D13" s="382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88" t="s">
        <v>265</v>
      </c>
      <c r="C14" s="389"/>
      <c r="D14" s="390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70"/>
      <c r="C15" s="371"/>
      <c r="D15" s="372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87" t="s">
        <v>58</v>
      </c>
      <c r="C16" s="387"/>
      <c r="D16" s="387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91"/>
      <c r="C17" s="391"/>
      <c r="D17" s="391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80"/>
      <c r="C18" s="381"/>
      <c r="D18" s="382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4" t="s">
        <v>266</v>
      </c>
      <c r="C19" s="374"/>
      <c r="D19" s="37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70"/>
      <c r="C20" s="371"/>
      <c r="D20" s="372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5" t="s">
        <v>267</v>
      </c>
      <c r="C21" s="376"/>
      <c r="D21" s="37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8"/>
      <c r="C22" s="378"/>
      <c r="D22" s="37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67" t="s">
        <v>268</v>
      </c>
      <c r="C23" s="368"/>
      <c r="D23" s="369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269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270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9"/>
      <c r="C26" s="379"/>
      <c r="D26" s="37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67" t="s">
        <v>271</v>
      </c>
      <c r="C27" s="368"/>
      <c r="D27" s="369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35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50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70"/>
      <c r="C30" s="371"/>
      <c r="D30" s="372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70"/>
      <c r="C31" s="371"/>
      <c r="D31" s="372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73"/>
      <c r="C32" s="373"/>
      <c r="D32" s="373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73"/>
      <c r="C33" s="373"/>
      <c r="D33" s="373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73"/>
      <c r="C34" s="373"/>
      <c r="D34" s="373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66"/>
      <c r="C35" s="366"/>
      <c r="D35" s="366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2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272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145</v>
      </c>
      <c r="B8" s="355" t="s">
        <v>146</v>
      </c>
      <c r="C8" s="356"/>
      <c r="D8" s="357"/>
      <c r="E8" s="138" t="s">
        <v>147</v>
      </c>
      <c r="F8" s="355" t="s">
        <v>195</v>
      </c>
      <c r="G8" s="364"/>
      <c r="H8" s="365"/>
    </row>
    <row r="10" spans="1:12">
      <c r="D10" s="392" t="s">
        <v>185</v>
      </c>
      <c r="E10" s="392"/>
      <c r="F10" s="392"/>
    </row>
    <row r="11" spans="1:12" ht="30">
      <c r="D11" s="113" t="s">
        <v>273</v>
      </c>
      <c r="E11" s="181" t="s">
        <v>274</v>
      </c>
      <c r="F11" s="181" t="s">
        <v>130</v>
      </c>
      <c r="H11" t="s">
        <v>275</v>
      </c>
      <c r="J11" s="181" t="s">
        <v>276</v>
      </c>
      <c r="K11" s="181" t="s">
        <v>277</v>
      </c>
      <c r="L11" s="181" t="s">
        <v>278</v>
      </c>
    </row>
    <row r="12" spans="1:12">
      <c r="A12" s="71"/>
      <c r="B12" s="71"/>
      <c r="E12" s="70"/>
    </row>
    <row r="13" spans="1:12">
      <c r="B13" s="71"/>
      <c r="C13" t="s">
        <v>279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280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281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4C9FF"/>
  </sheetPr>
  <dimension ref="A1:J60"/>
  <sheetViews>
    <sheetView topLeftCell="A8" workbookViewId="0">
      <selection activeCell="J23" sqref="J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282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355" t="s">
        <v>195</v>
      </c>
      <c r="H8" s="364"/>
      <c r="I8" s="365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 hidden="1">
      <c r="A12" s="71"/>
      <c r="B12" s="71"/>
      <c r="C12" s="115" t="s">
        <v>283</v>
      </c>
      <c r="E12" s="262"/>
    </row>
    <row r="13" spans="1:10" hidden="1">
      <c r="A13" s="71"/>
      <c r="B13" s="71"/>
      <c r="C13" s="115" t="s">
        <v>284</v>
      </c>
      <c r="E13" s="116">
        <f>F30</f>
        <v>0</v>
      </c>
      <c r="F13" s="58">
        <f>+E12-E13</f>
        <v>0</v>
      </c>
    </row>
    <row r="14" spans="1:10">
      <c r="A14" s="71"/>
      <c r="B14" s="71"/>
      <c r="C14" s="115" t="s">
        <v>285</v>
      </c>
      <c r="F14" s="58">
        <v>100</v>
      </c>
    </row>
    <row r="15" spans="1:10">
      <c r="A15" s="71"/>
      <c r="B15" s="71"/>
      <c r="C15" s="115" t="s">
        <v>286</v>
      </c>
      <c r="F15" s="58">
        <v>137.36000000000001</v>
      </c>
    </row>
    <row r="16" spans="1:10">
      <c r="A16" s="71"/>
      <c r="B16" s="71"/>
      <c r="C16" s="115" t="s">
        <v>287</v>
      </c>
      <c r="F16" s="58">
        <v>15.43</v>
      </c>
    </row>
    <row r="17" spans="1:7">
      <c r="A17" s="71"/>
      <c r="B17" s="71"/>
      <c r="C17" s="115" t="s">
        <v>288</v>
      </c>
      <c r="F17" s="58">
        <v>2452.98</v>
      </c>
    </row>
    <row r="18" spans="1:7">
      <c r="A18" s="71"/>
      <c r="B18" s="71"/>
      <c r="C18" s="115" t="s">
        <v>289</v>
      </c>
      <c r="F18" s="58">
        <v>300</v>
      </c>
    </row>
    <row r="19" spans="1:7">
      <c r="A19" s="71"/>
      <c r="B19" s="71"/>
      <c r="C19" s="115" t="s">
        <v>290</v>
      </c>
      <c r="F19" s="58">
        <v>3160.39</v>
      </c>
    </row>
    <row r="20" spans="1:7">
      <c r="A20" s="71"/>
      <c r="B20" s="71"/>
      <c r="C20" s="115" t="s">
        <v>291</v>
      </c>
      <c r="F20" s="58">
        <v>243.57</v>
      </c>
    </row>
    <row r="21" spans="1:7">
      <c r="C21" s="115" t="s">
        <v>292</v>
      </c>
      <c r="F21" s="58">
        <v>327.7</v>
      </c>
    </row>
    <row r="22" spans="1:7">
      <c r="C22" s="115" t="s">
        <v>293</v>
      </c>
      <c r="F22" s="58">
        <v>188.68</v>
      </c>
    </row>
    <row r="23" spans="1:7">
      <c r="C23" s="115" t="s">
        <v>294</v>
      </c>
      <c r="F23" s="58">
        <v>103.53</v>
      </c>
    </row>
    <row r="24" spans="1:7">
      <c r="C24" s="115"/>
    </row>
    <row r="25" spans="1:7" ht="15.75" thickBot="1">
      <c r="F25" s="112">
        <f>SUM(F12:F23)</f>
        <v>7029.6399999999994</v>
      </c>
      <c r="G25" t="s">
        <v>295</v>
      </c>
    </row>
    <row r="27" spans="1:7" hidden="1">
      <c r="A27" s="71"/>
      <c r="B27" s="71"/>
      <c r="C27" s="77" t="s">
        <v>296</v>
      </c>
    </row>
    <row r="28" spans="1:7" hidden="1">
      <c r="A28" s="71"/>
      <c r="B28" s="71"/>
      <c r="C28" s="77"/>
      <c r="D28" s="47" t="s">
        <v>297</v>
      </c>
      <c r="E28" s="47" t="s">
        <v>298</v>
      </c>
      <c r="F28" s="85" t="s">
        <v>221</v>
      </c>
    </row>
    <row r="29" spans="1:7" hidden="1">
      <c r="A29" s="71"/>
      <c r="B29" s="71"/>
      <c r="C29" t="s">
        <v>299</v>
      </c>
      <c r="D29" s="262"/>
      <c r="E29" s="262"/>
      <c r="F29" s="70">
        <f>+D29-E29</f>
        <v>0</v>
      </c>
    </row>
    <row r="30" spans="1:7" ht="15.75" hidden="1" thickBot="1">
      <c r="A30" s="71"/>
      <c r="B30" s="71"/>
      <c r="F30" s="117">
        <f>+SUM(F29:F29)</f>
        <v>0</v>
      </c>
    </row>
    <row r="31" spans="1:7" hidden="1">
      <c r="A31" s="71"/>
      <c r="B31" s="71"/>
      <c r="F31" s="70"/>
    </row>
    <row r="32" spans="1:7">
      <c r="A32" s="77">
        <v>62000</v>
      </c>
      <c r="B32" s="77"/>
      <c r="C32" s="71" t="s">
        <v>40</v>
      </c>
    </row>
    <row r="33" spans="1:6">
      <c r="F33" s="58">
        <v>0</v>
      </c>
    </row>
    <row r="34" spans="1:6">
      <c r="F34" s="58">
        <v>0</v>
      </c>
    </row>
    <row r="36" spans="1:6">
      <c r="F36" s="112">
        <f>SUM(F33:F35)</f>
        <v>0</v>
      </c>
    </row>
    <row r="37" spans="1:6">
      <c r="A37" s="71"/>
      <c r="B37" s="71"/>
      <c r="F37" s="70"/>
    </row>
    <row r="38" spans="1:6">
      <c r="A38" s="77">
        <v>62550</v>
      </c>
      <c r="B38" s="77"/>
      <c r="C38" s="71" t="s">
        <v>300</v>
      </c>
    </row>
    <row r="39" spans="1:6">
      <c r="F39" s="58">
        <v>0</v>
      </c>
    </row>
    <row r="40" spans="1:6">
      <c r="F40" s="58">
        <v>0</v>
      </c>
    </row>
    <row r="42" spans="1:6">
      <c r="F42" s="112">
        <f>SUM(F39:F41)</f>
        <v>0</v>
      </c>
    </row>
    <row r="43" spans="1:6">
      <c r="A43" s="71"/>
      <c r="B43" s="71"/>
      <c r="F43" s="70"/>
    </row>
    <row r="44" spans="1:6">
      <c r="A44" s="77">
        <v>64500</v>
      </c>
      <c r="B44" s="77"/>
      <c r="C44" s="71" t="s">
        <v>41</v>
      </c>
    </row>
    <row r="45" spans="1:6">
      <c r="F45" s="58">
        <v>0</v>
      </c>
    </row>
    <row r="46" spans="1:6">
      <c r="F46" s="58">
        <v>0</v>
      </c>
    </row>
    <row r="48" spans="1:6" ht="15.75" thickBot="1">
      <c r="F48" s="112">
        <f>SUM(F45:F47)</f>
        <v>0</v>
      </c>
    </row>
    <row r="49" spans="1:6">
      <c r="F49" s="70"/>
    </row>
    <row r="50" spans="1:6">
      <c r="A50" s="71"/>
      <c r="B50" s="71"/>
      <c r="F50" s="70"/>
    </row>
    <row r="51" spans="1:6">
      <c r="A51" s="77">
        <v>68000</v>
      </c>
      <c r="B51" s="77"/>
      <c r="C51" s="71" t="s">
        <v>42</v>
      </c>
    </row>
    <row r="52" spans="1:6">
      <c r="F52" s="58">
        <v>0</v>
      </c>
    </row>
    <row r="53" spans="1:6">
      <c r="F53" s="58">
        <v>0</v>
      </c>
    </row>
    <row r="55" spans="1:6" ht="15.75" thickBot="1">
      <c r="F55" s="112">
        <f>SUM(F52:F54)</f>
        <v>0</v>
      </c>
    </row>
    <row r="58" spans="1:6">
      <c r="F58" s="80"/>
    </row>
    <row r="60" spans="1:6">
      <c r="C60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301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355" t="s">
        <v>195</v>
      </c>
      <c r="H8" s="364"/>
      <c r="I8" s="365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4C9FF"/>
  </sheetPr>
  <dimension ref="A1:P74"/>
  <sheetViews>
    <sheetView topLeftCell="A13" workbookViewId="0">
      <selection activeCell="D29" sqref="D29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0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6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6" ht="18">
      <c r="D4" s="53"/>
      <c r="E4" s="53"/>
      <c r="F4" s="64"/>
      <c r="G4" s="65"/>
      <c r="I4" s="66"/>
    </row>
    <row r="5" spans="1:16" ht="18">
      <c r="A5" s="125" t="s">
        <v>302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145</v>
      </c>
      <c r="B8" s="355" t="s">
        <v>146</v>
      </c>
      <c r="C8" s="357"/>
      <c r="D8" s="138" t="s">
        <v>147</v>
      </c>
      <c r="E8" s="138"/>
      <c r="F8" s="138"/>
      <c r="G8" s="138"/>
      <c r="H8" s="138" t="s">
        <v>147</v>
      </c>
      <c r="I8" s="355" t="s">
        <v>195</v>
      </c>
      <c r="J8" s="364"/>
      <c r="K8" s="365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250</v>
      </c>
      <c r="E11" s="325" t="s">
        <v>286</v>
      </c>
      <c r="F11" s="328" t="s">
        <v>303</v>
      </c>
      <c r="G11" s="47"/>
      <c r="H11" s="72" t="s">
        <v>130</v>
      </c>
      <c r="J11" s="77"/>
    </row>
    <row r="12" spans="1:16">
      <c r="D12" s="47" t="s">
        <v>179</v>
      </c>
      <c r="E12" s="324" t="s">
        <v>304</v>
      </c>
      <c r="F12" s="47"/>
      <c r="G12" s="47"/>
      <c r="H12" s="58"/>
    </row>
    <row r="13" spans="1:16">
      <c r="H13" s="58"/>
      <c r="K13" s="47" t="s">
        <v>305</v>
      </c>
      <c r="L13" s="47" t="s">
        <v>306</v>
      </c>
      <c r="M13" s="47" t="s">
        <v>307</v>
      </c>
    </row>
    <row r="14" spans="1:16">
      <c r="C14" s="77" t="s">
        <v>308</v>
      </c>
      <c r="D14" s="93">
        <v>14768.98</v>
      </c>
      <c r="E14" s="321">
        <v>101.25</v>
      </c>
      <c r="F14" s="93">
        <v>153.75</v>
      </c>
      <c r="G14" s="93"/>
      <c r="H14" s="93">
        <f>SUM(D14:G14)</f>
        <v>15023.98</v>
      </c>
      <c r="J14" t="s">
        <v>309</v>
      </c>
      <c r="K14" s="93">
        <f>+H40</f>
        <v>15023.98</v>
      </c>
      <c r="L14" s="93">
        <v>15023.96</v>
      </c>
      <c r="M14" s="93">
        <f>+K14-L14</f>
        <v>2.0000000000436557E-2</v>
      </c>
    </row>
    <row r="15" spans="1:16">
      <c r="C15" t="s">
        <v>310</v>
      </c>
      <c r="D15" s="93">
        <v>2467.42</v>
      </c>
      <c r="E15" s="105"/>
      <c r="F15" s="93"/>
      <c r="G15" s="93"/>
      <c r="H15" s="93">
        <f t="shared" ref="H15:H27" si="0">SUM(D15:G15)</f>
        <v>2467.42</v>
      </c>
      <c r="J15" t="s">
        <v>311</v>
      </c>
      <c r="K15" s="93">
        <f>+H26</f>
        <v>17.98</v>
      </c>
      <c r="L15" s="93">
        <v>17.98</v>
      </c>
      <c r="M15" s="93">
        <f t="shared" ref="M15:M27" si="1">+K15-L15</f>
        <v>0</v>
      </c>
    </row>
    <row r="16" spans="1:16">
      <c r="C16" t="s">
        <v>312</v>
      </c>
      <c r="D16" s="93"/>
      <c r="E16" s="105"/>
      <c r="F16" s="93"/>
      <c r="G16" s="93"/>
      <c r="H16" s="93">
        <f t="shared" si="0"/>
        <v>0</v>
      </c>
      <c r="J16" t="s">
        <v>313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314</v>
      </c>
      <c r="D17" s="93"/>
      <c r="E17" s="105"/>
      <c r="F17" s="93"/>
      <c r="G17" s="93"/>
      <c r="H17" s="93">
        <f t="shared" si="0"/>
        <v>0</v>
      </c>
      <c r="J17" t="s">
        <v>315</v>
      </c>
      <c r="K17" s="93">
        <f>+H15+H28</f>
        <v>4432.1900000000005</v>
      </c>
      <c r="L17" s="93">
        <v>4533.4399999999996</v>
      </c>
      <c r="M17" s="93">
        <f t="shared" si="1"/>
        <v>-101.24999999999909</v>
      </c>
    </row>
    <row r="18" spans="3:13">
      <c r="C18" s="139" t="s">
        <v>316</v>
      </c>
      <c r="D18" s="93"/>
      <c r="E18" s="105"/>
      <c r="F18" s="93"/>
      <c r="G18" s="93"/>
      <c r="H18" s="93">
        <f t="shared" si="0"/>
        <v>0</v>
      </c>
      <c r="J18" t="s">
        <v>317</v>
      </c>
      <c r="K18" s="93">
        <f>+H27</f>
        <v>7.7</v>
      </c>
      <c r="L18" s="93">
        <v>7.7</v>
      </c>
      <c r="M18" s="93">
        <f t="shared" si="1"/>
        <v>0</v>
      </c>
    </row>
    <row r="19" spans="3:13">
      <c r="C19" t="s">
        <v>318</v>
      </c>
      <c r="D19" s="93"/>
      <c r="E19" s="105"/>
      <c r="F19" s="93"/>
      <c r="G19" s="93"/>
      <c r="H19" s="93">
        <f t="shared" si="0"/>
        <v>0</v>
      </c>
      <c r="J19" t="s">
        <v>319</v>
      </c>
      <c r="K19" s="93">
        <f>+H20+H21-H36</f>
        <v>1270.92</v>
      </c>
      <c r="L19" s="93">
        <v>1103.18</v>
      </c>
      <c r="M19" s="93">
        <f t="shared" si="1"/>
        <v>167.74</v>
      </c>
    </row>
    <row r="20" spans="3:13">
      <c r="C20" s="139" t="s">
        <v>314</v>
      </c>
      <c r="D20" s="93">
        <f>1103.18</f>
        <v>1103.18</v>
      </c>
      <c r="E20" s="105">
        <v>167.74</v>
      </c>
      <c r="F20" s="93"/>
      <c r="G20" s="93"/>
      <c r="H20" s="93">
        <f t="shared" si="0"/>
        <v>1270.92</v>
      </c>
      <c r="J20" t="s">
        <v>320</v>
      </c>
      <c r="K20" s="93">
        <f>+H20+H21</f>
        <v>1270.92</v>
      </c>
      <c r="L20" s="93">
        <v>1103.18</v>
      </c>
      <c r="M20" s="93">
        <f t="shared" si="1"/>
        <v>167.74</v>
      </c>
    </row>
    <row r="21" spans="3:13">
      <c r="C21" s="139" t="s">
        <v>316</v>
      </c>
      <c r="D21" s="93"/>
      <c r="E21" s="105"/>
      <c r="F21" s="93"/>
      <c r="G21" s="93"/>
      <c r="H21" s="93">
        <f t="shared" si="0"/>
        <v>0</v>
      </c>
      <c r="J21" t="s">
        <v>321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322</v>
      </c>
      <c r="D22" s="93">
        <v>4979.43</v>
      </c>
      <c r="E22" s="105"/>
      <c r="F22" s="93">
        <f>219.64-65.89</f>
        <v>153.75</v>
      </c>
      <c r="G22" s="93"/>
      <c r="H22" s="93">
        <f t="shared" si="0"/>
        <v>5133.18</v>
      </c>
      <c r="J22" t="s">
        <v>323</v>
      </c>
      <c r="K22" s="93">
        <f>+H22</f>
        <v>5133.18</v>
      </c>
      <c r="L22" s="93">
        <v>5133.18</v>
      </c>
      <c r="M22" s="93">
        <f t="shared" si="1"/>
        <v>0</v>
      </c>
    </row>
    <row r="23" spans="3:13">
      <c r="C23" t="s">
        <v>324</v>
      </c>
      <c r="D23" s="93"/>
      <c r="E23" s="105"/>
      <c r="F23" s="93"/>
      <c r="G23" s="93"/>
      <c r="H23" s="93">
        <f t="shared" si="0"/>
        <v>0</v>
      </c>
      <c r="J23" t="s">
        <v>325</v>
      </c>
      <c r="K23" s="93">
        <f>+H35+H36</f>
        <v>762.56</v>
      </c>
      <c r="L23" s="93">
        <v>762.56</v>
      </c>
      <c r="M23" s="93">
        <f t="shared" si="1"/>
        <v>0</v>
      </c>
    </row>
    <row r="24" spans="3:13">
      <c r="C24" s="139" t="s">
        <v>326</v>
      </c>
      <c r="D24" s="93"/>
      <c r="E24" s="105"/>
      <c r="F24" s="93"/>
      <c r="G24" s="93"/>
      <c r="H24" s="93">
        <f t="shared" si="0"/>
        <v>0</v>
      </c>
      <c r="J24" t="s">
        <v>327</v>
      </c>
      <c r="K24" s="93">
        <v>0</v>
      </c>
      <c r="L24" s="93"/>
      <c r="M24" s="93">
        <f t="shared" si="1"/>
        <v>0</v>
      </c>
    </row>
    <row r="25" spans="3:13">
      <c r="C25" s="139" t="s">
        <v>328</v>
      </c>
      <c r="D25" s="93"/>
      <c r="E25" s="105"/>
      <c r="F25" s="93"/>
      <c r="G25" s="93"/>
      <c r="H25" s="93">
        <f t="shared" si="0"/>
        <v>0</v>
      </c>
      <c r="J25" t="s">
        <v>329</v>
      </c>
      <c r="K25" s="93">
        <v>0</v>
      </c>
      <c r="L25" s="93"/>
      <c r="M25" s="93">
        <f t="shared" si="1"/>
        <v>0</v>
      </c>
    </row>
    <row r="26" spans="3:13">
      <c r="C26" s="139" t="s">
        <v>330</v>
      </c>
      <c r="D26" s="93">
        <v>17.98</v>
      </c>
      <c r="E26" s="321"/>
      <c r="F26" s="93"/>
      <c r="G26" s="93"/>
      <c r="H26" s="93">
        <f t="shared" si="0"/>
        <v>17.98</v>
      </c>
      <c r="J26" t="s">
        <v>331</v>
      </c>
      <c r="K26" s="93">
        <f>H31+H38</f>
        <v>3133.03</v>
      </c>
      <c r="L26" s="93">
        <v>3133.03</v>
      </c>
      <c r="M26" s="93">
        <f t="shared" si="1"/>
        <v>0</v>
      </c>
    </row>
    <row r="27" spans="3:13">
      <c r="C27" s="139" t="s">
        <v>332</v>
      </c>
      <c r="D27" s="93">
        <v>7.7</v>
      </c>
      <c r="E27" s="105"/>
      <c r="F27" s="93"/>
      <c r="G27" s="93"/>
      <c r="H27" s="93">
        <f t="shared" si="0"/>
        <v>7.7</v>
      </c>
      <c r="J27" t="s">
        <v>70</v>
      </c>
      <c r="K27" s="93">
        <f>+H33</f>
        <v>-236.25</v>
      </c>
      <c r="L27" s="93"/>
      <c r="M27" s="93">
        <f t="shared" si="1"/>
        <v>-236.25</v>
      </c>
    </row>
    <row r="28" spans="3:13">
      <c r="C28" t="s">
        <v>333</v>
      </c>
      <c r="D28" s="93">
        <v>1964.77</v>
      </c>
      <c r="E28" s="105"/>
      <c r="F28" s="93"/>
      <c r="G28" s="93"/>
      <c r="H28" s="93">
        <f t="shared" ref="H28:H33" si="2">SUM(D28:G28)</f>
        <v>1964.77</v>
      </c>
    </row>
    <row r="29" spans="3:13">
      <c r="C29" t="s">
        <v>320</v>
      </c>
      <c r="D29" s="93">
        <f>D20</f>
        <v>1103.18</v>
      </c>
      <c r="E29" s="105">
        <v>169.75</v>
      </c>
      <c r="F29" s="93"/>
      <c r="G29" s="93"/>
      <c r="H29" s="93">
        <f t="shared" si="2"/>
        <v>1272.93</v>
      </c>
      <c r="J29" t="s">
        <v>334</v>
      </c>
      <c r="K29" s="79">
        <f>+K15+K16+K17+K19+K20+K21+K22+K26-K14+K27</f>
        <v>-2.0099999999983993</v>
      </c>
      <c r="L29" s="93">
        <f>+L15+L16+L17+L19+L20+L21+L22+L26-L14+L27</f>
        <v>3.0000000000654836E-2</v>
      </c>
      <c r="M29" s="93">
        <f>+K29-L29</f>
        <v>-2.0399999999990541</v>
      </c>
    </row>
    <row r="30" spans="3:13">
      <c r="C30" t="s">
        <v>329</v>
      </c>
      <c r="D30" s="93"/>
      <c r="E30" s="105"/>
      <c r="F30" s="93"/>
      <c r="G30" s="93"/>
      <c r="H30" s="93">
        <f t="shared" si="2"/>
        <v>0</v>
      </c>
    </row>
    <row r="31" spans="3:13">
      <c r="C31" t="s">
        <v>335</v>
      </c>
      <c r="D31" s="93">
        <v>11.88</v>
      </c>
      <c r="E31" s="105"/>
      <c r="F31" s="93"/>
      <c r="G31" s="93"/>
      <c r="H31" s="93">
        <f t="shared" si="2"/>
        <v>11.88</v>
      </c>
    </row>
    <row r="32" spans="3:13">
      <c r="C32" t="s">
        <v>327</v>
      </c>
      <c r="D32" s="93">
        <f>0+D38</f>
        <v>3121.15</v>
      </c>
      <c r="E32" s="105"/>
      <c r="F32" s="93"/>
      <c r="G32" s="93"/>
      <c r="H32" s="93">
        <f t="shared" si="2"/>
        <v>3121.15</v>
      </c>
      <c r="J32" s="140"/>
    </row>
    <row r="33" spans="2:10">
      <c r="C33" t="s">
        <v>70</v>
      </c>
      <c r="D33" s="93"/>
      <c r="E33" s="105">
        <v>-236.25</v>
      </c>
      <c r="F33" s="93"/>
      <c r="G33" s="93"/>
      <c r="H33" s="93">
        <f t="shared" si="2"/>
        <v>-236.25</v>
      </c>
    </row>
    <row r="34" spans="2:10">
      <c r="D34" s="93"/>
      <c r="E34" s="105"/>
      <c r="F34" s="93"/>
      <c r="G34" s="93"/>
      <c r="H34" s="93"/>
    </row>
    <row r="35" spans="2:10">
      <c r="C35" t="s">
        <v>325</v>
      </c>
      <c r="D35" s="93">
        <v>696.67</v>
      </c>
      <c r="E35" s="321"/>
      <c r="F35" s="93">
        <v>65.89</v>
      </c>
      <c r="G35" s="93"/>
      <c r="H35" s="93">
        <f>SUM(D35:G35)</f>
        <v>762.56</v>
      </c>
      <c r="J35" s="140"/>
    </row>
    <row r="36" spans="2:10">
      <c r="C36" t="s">
        <v>336</v>
      </c>
      <c r="D36" s="93"/>
      <c r="E36" s="105">
        <f>-E35</f>
        <v>0</v>
      </c>
      <c r="F36" s="93"/>
      <c r="G36" s="93"/>
      <c r="H36" s="93">
        <f>SUM(D36:G36)</f>
        <v>0</v>
      </c>
    </row>
    <row r="37" spans="2:10">
      <c r="C37" t="s">
        <v>337</v>
      </c>
      <c r="D37" s="93"/>
      <c r="E37" s="93"/>
      <c r="F37" s="93"/>
      <c r="G37" s="93"/>
      <c r="H37" s="93">
        <f>SUM(D37:G37)</f>
        <v>0</v>
      </c>
    </row>
    <row r="38" spans="2:10">
      <c r="C38" t="s">
        <v>338</v>
      </c>
      <c r="D38" s="93">
        <v>3121.15</v>
      </c>
      <c r="E38" s="93"/>
      <c r="F38" s="93"/>
      <c r="G38" s="93"/>
      <c r="H38" s="93">
        <f>SUM(D38:G38)</f>
        <v>3121.15</v>
      </c>
    </row>
    <row r="39" spans="2:10">
      <c r="D39" s="93"/>
      <c r="E39" s="93"/>
      <c r="F39" s="93"/>
      <c r="G39" s="93"/>
      <c r="H39" s="93"/>
    </row>
    <row r="40" spans="2:10">
      <c r="C40" s="77" t="s">
        <v>339</v>
      </c>
      <c r="D40" s="79">
        <f>+D14-D37</f>
        <v>14768.98</v>
      </c>
      <c r="E40" s="79">
        <f>+E14-E37</f>
        <v>101.25</v>
      </c>
      <c r="F40" s="79">
        <f>+F14-F37</f>
        <v>153.75</v>
      </c>
      <c r="G40" s="79">
        <f>+G14-G37</f>
        <v>0</v>
      </c>
      <c r="H40" s="93">
        <f>SUM(D40:G40)</f>
        <v>15023.98</v>
      </c>
    </row>
    <row r="41" spans="2:10">
      <c r="D41" s="79"/>
      <c r="E41" s="79"/>
      <c r="F41" s="79"/>
      <c r="G41" s="79"/>
      <c r="H41" s="93"/>
    </row>
    <row r="42" spans="2:10">
      <c r="D42" s="79"/>
      <c r="E42" s="79"/>
      <c r="F42" s="79"/>
      <c r="G42" s="79"/>
      <c r="H42" s="93"/>
    </row>
    <row r="43" spans="2:10">
      <c r="C43" s="77" t="s">
        <v>340</v>
      </c>
      <c r="D43" s="79">
        <f>SUM(D15:D33)-D27-D37-D36</f>
        <v>14768.99</v>
      </c>
      <c r="E43" s="79">
        <f>SUM(E15:E33)-E27-E35-E37+E38-E36</f>
        <v>101.24000000000001</v>
      </c>
      <c r="F43" s="79">
        <f>SUM(F15:F32)-F27-F37-F38</f>
        <v>153.75</v>
      </c>
      <c r="G43" s="79">
        <f>SUM(G15:G32)-G27-G35-G37-G38</f>
        <v>0</v>
      </c>
      <c r="H43" s="58"/>
    </row>
    <row r="44" spans="2:10">
      <c r="C44" s="43" t="s">
        <v>221</v>
      </c>
      <c r="D44" s="94">
        <f>+D43-D40</f>
        <v>1.0000000000218279E-2</v>
      </c>
      <c r="E44" s="94">
        <f>+E43-E40</f>
        <v>-9.9999999999909051E-3</v>
      </c>
      <c r="F44" s="94">
        <f>+F43-F40</f>
        <v>0</v>
      </c>
      <c r="G44" s="94">
        <f>+G43-G40</f>
        <v>0</v>
      </c>
      <c r="H44" s="95"/>
    </row>
    <row r="45" spans="2:10">
      <c r="D45" s="79"/>
      <c r="E45" s="79"/>
      <c r="H45" s="58"/>
    </row>
    <row r="46" spans="2:10">
      <c r="B46" s="326"/>
      <c r="C46" t="s">
        <v>341</v>
      </c>
      <c r="D46" s="79"/>
      <c r="E46" s="79"/>
      <c r="H46" s="58"/>
    </row>
    <row r="47" spans="2:10">
      <c r="C47" t="s">
        <v>342</v>
      </c>
      <c r="H47" s="58"/>
    </row>
    <row r="48" spans="2:10">
      <c r="H48" s="58"/>
    </row>
    <row r="49" spans="2:9">
      <c r="D49" t="s">
        <v>343</v>
      </c>
      <c r="F49" t="s">
        <v>344</v>
      </c>
      <c r="H49" s="58" t="s">
        <v>345</v>
      </c>
    </row>
    <row r="50" spans="2:9">
      <c r="C50" t="s">
        <v>346</v>
      </c>
      <c r="D50" s="140">
        <v>236.25</v>
      </c>
      <c r="E50" s="140"/>
      <c r="F50" s="140">
        <v>337.5</v>
      </c>
      <c r="G50" s="140"/>
      <c r="H50" s="327">
        <f>+F50-D50</f>
        <v>101.25</v>
      </c>
      <c r="I50" s="140"/>
    </row>
    <row r="51" spans="2:9">
      <c r="C51" t="s">
        <v>347</v>
      </c>
      <c r="D51" s="140">
        <v>236.25</v>
      </c>
      <c r="E51" s="140"/>
      <c r="F51" s="140"/>
      <c r="G51" s="140"/>
      <c r="H51" s="327">
        <f>+F51-D51</f>
        <v>-236.25</v>
      </c>
      <c r="I51" s="140"/>
    </row>
    <row r="52" spans="2:9">
      <c r="C52" t="s">
        <v>348</v>
      </c>
      <c r="D52" s="140"/>
      <c r="E52" s="140"/>
      <c r="F52" s="140">
        <f>167.74</f>
        <v>167.74</v>
      </c>
      <c r="G52" s="140"/>
      <c r="H52" s="327">
        <f>+F52-D52</f>
        <v>167.74</v>
      </c>
      <c r="I52" s="140"/>
    </row>
    <row r="53" spans="2:9">
      <c r="C53" t="s">
        <v>320</v>
      </c>
      <c r="D53" s="140"/>
      <c r="E53" s="140"/>
      <c r="F53" s="140">
        <v>169.75</v>
      </c>
      <c r="G53" s="140"/>
      <c r="H53" s="327">
        <f>+F53-D53</f>
        <v>169.75</v>
      </c>
      <c r="I53" s="140"/>
    </row>
    <row r="54" spans="2:9">
      <c r="D54" s="140"/>
      <c r="E54" s="140"/>
      <c r="F54" s="140"/>
      <c r="G54" s="140"/>
      <c r="H54" s="327"/>
      <c r="I54" s="140"/>
    </row>
    <row r="55" spans="2:9">
      <c r="B55" s="329"/>
      <c r="C55" t="s">
        <v>349</v>
      </c>
      <c r="D55" s="140"/>
      <c r="E55" s="140"/>
      <c r="F55" s="140"/>
      <c r="G55" s="140"/>
      <c r="H55" s="327"/>
      <c r="I55" s="140"/>
    </row>
    <row r="56" spans="2:9">
      <c r="H56" s="58"/>
    </row>
    <row r="57" spans="2:9">
      <c r="H57" s="58"/>
    </row>
    <row r="58" spans="2:9">
      <c r="C58" t="s">
        <v>350</v>
      </c>
    </row>
    <row r="59" spans="2:9">
      <c r="G59" s="263" t="s">
        <v>130</v>
      </c>
      <c r="H59" s="263" t="s">
        <v>351</v>
      </c>
      <c r="I59" s="263" t="s">
        <v>325</v>
      </c>
    </row>
    <row r="60" spans="2:9">
      <c r="C60" t="s">
        <v>352</v>
      </c>
      <c r="G60" s="140">
        <v>37297.440000000002</v>
      </c>
      <c r="H60" s="140">
        <v>8133.6</v>
      </c>
      <c r="I60" s="140">
        <v>153.53</v>
      </c>
    </row>
    <row r="61" spans="2:9">
      <c r="C61" t="s">
        <v>353</v>
      </c>
      <c r="G61" s="322">
        <f>+H50</f>
        <v>101.25</v>
      </c>
      <c r="H61" s="140"/>
      <c r="I61" s="140"/>
    </row>
    <row r="62" spans="2:9">
      <c r="G62" s="140">
        <f>SUM(G60:G61)</f>
        <v>37398.69</v>
      </c>
      <c r="H62" s="140"/>
      <c r="I62" s="140"/>
    </row>
    <row r="64" spans="2:9">
      <c r="C64" t="s">
        <v>354</v>
      </c>
      <c r="D64" t="s">
        <v>355</v>
      </c>
      <c r="G64" s="140">
        <v>15023.96</v>
      </c>
      <c r="H64" s="140">
        <v>7.7</v>
      </c>
      <c r="I64" s="140">
        <v>67.430000000000007</v>
      </c>
    </row>
    <row r="65" spans="4:9">
      <c r="D65" t="s">
        <v>356</v>
      </c>
      <c r="G65" s="140">
        <v>20936.97</v>
      </c>
      <c r="H65" s="140">
        <v>8125.94</v>
      </c>
      <c r="I65" s="140">
        <v>46.87</v>
      </c>
    </row>
    <row r="66" spans="4:9">
      <c r="D66" t="s">
        <v>67</v>
      </c>
      <c r="G66" s="322">
        <v>1285.33</v>
      </c>
      <c r="H66" s="322"/>
      <c r="I66" s="322"/>
    </row>
    <row r="67" spans="4:9">
      <c r="G67" s="140">
        <f>SUM(G64:G66)</f>
        <v>37246.26</v>
      </c>
      <c r="H67" s="140">
        <f>SUM(H64:H66)</f>
        <v>8133.6399999999994</v>
      </c>
      <c r="I67" s="140">
        <f>SUM(I64:I66)</f>
        <v>114.30000000000001</v>
      </c>
    </row>
    <row r="68" spans="4:9">
      <c r="D68" t="s">
        <v>357</v>
      </c>
      <c r="G68" s="140">
        <v>35.700000000000003</v>
      </c>
    </row>
    <row r="69" spans="4:9">
      <c r="D69" t="s">
        <v>358</v>
      </c>
      <c r="G69" s="140">
        <v>51.94</v>
      </c>
    </row>
    <row r="70" spans="4:9">
      <c r="D70" t="s">
        <v>359</v>
      </c>
      <c r="G70" s="140">
        <f>+F35</f>
        <v>65.89</v>
      </c>
    </row>
    <row r="71" spans="4:9">
      <c r="D71" t="s">
        <v>360</v>
      </c>
      <c r="G71" s="323">
        <v>-1.1299999999999999</v>
      </c>
    </row>
    <row r="72" spans="4:9">
      <c r="G72" s="140">
        <f>+G67+SUM(G68:G71)</f>
        <v>37398.660000000003</v>
      </c>
    </row>
    <row r="74" spans="4:9">
      <c r="G74" s="140">
        <f>+G72-G62</f>
        <v>-2.9999999998835847E-2</v>
      </c>
    </row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9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9" ht="18">
      <c r="D4" s="53"/>
      <c r="E4" s="53"/>
      <c r="F4" s="64"/>
      <c r="G4" s="65"/>
      <c r="I4" s="66"/>
    </row>
    <row r="5" spans="1:9" ht="18">
      <c r="A5" s="125" t="s">
        <v>361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145</v>
      </c>
      <c r="B8" s="393" t="s">
        <v>146</v>
      </c>
      <c r="C8" s="394"/>
      <c r="D8" s="278" t="s">
        <v>147</v>
      </c>
      <c r="E8" s="278" t="s">
        <v>147</v>
      </c>
      <c r="F8" s="278" t="s">
        <v>147</v>
      </c>
      <c r="G8" s="393" t="s">
        <v>195</v>
      </c>
      <c r="H8" s="364"/>
      <c r="I8" s="365"/>
    </row>
    <row r="10" spans="1:9">
      <c r="D10" s="279" t="s">
        <v>311</v>
      </c>
      <c r="E10" s="279" t="s">
        <v>362</v>
      </c>
      <c r="F10" s="279" t="s">
        <v>313</v>
      </c>
      <c r="G10" s="279" t="s">
        <v>363</v>
      </c>
      <c r="H10" s="279" t="s">
        <v>364</v>
      </c>
    </row>
    <row r="11" spans="1:9">
      <c r="B11" t="s">
        <v>365</v>
      </c>
      <c r="G11" s="93"/>
      <c r="H11" s="93"/>
    </row>
    <row r="12" spans="1:9">
      <c r="B12" t="s">
        <v>366</v>
      </c>
      <c r="G12" s="93"/>
      <c r="H12" s="93"/>
    </row>
    <row r="13" spans="1:9" s="43" customFormat="1">
      <c r="B13" s="43" t="s">
        <v>221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367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F23" sqref="F2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368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142"/>
      <c r="H8" s="355" t="s">
        <v>195</v>
      </c>
      <c r="I8" s="364"/>
      <c r="J8" s="365"/>
    </row>
    <row r="10" spans="1:10">
      <c r="A10" s="77" t="s">
        <v>369</v>
      </c>
      <c r="C10" s="47" t="s">
        <v>370</v>
      </c>
      <c r="D10" s="395" t="s">
        <v>371</v>
      </c>
      <c r="E10" s="395"/>
      <c r="F10" s="395"/>
      <c r="G10" s="101" t="s">
        <v>372</v>
      </c>
      <c r="H10" s="396" t="s">
        <v>373</v>
      </c>
      <c r="I10" s="396"/>
      <c r="J10" s="396"/>
    </row>
    <row r="11" spans="1:10">
      <c r="A11" s="71"/>
      <c r="B11" s="71"/>
      <c r="D11" s="47" t="s">
        <v>374</v>
      </c>
      <c r="E11" s="85" t="s">
        <v>375</v>
      </c>
      <c r="F11" s="72" t="s">
        <v>376</v>
      </c>
      <c r="G11" s="72"/>
      <c r="H11" s="47" t="s">
        <v>374</v>
      </c>
      <c r="I11" s="102" t="s">
        <v>375</v>
      </c>
      <c r="J11" s="103" t="s">
        <v>376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 t="s">
        <v>377</v>
      </c>
      <c r="C13" s="141">
        <v>44771</v>
      </c>
      <c r="D13" s="80">
        <v>142.80000000000001</v>
      </c>
      <c r="E13" s="80">
        <v>35.700000000000003</v>
      </c>
      <c r="F13" s="80">
        <f>D13-E13</f>
        <v>107.10000000000001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378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379</v>
      </c>
    </row>
    <row r="8" spans="1:14" ht="30.75" thickBot="1">
      <c r="A8" s="183" t="s">
        <v>145</v>
      </c>
      <c r="B8" s="384" t="s">
        <v>146</v>
      </c>
      <c r="C8" s="386"/>
      <c r="D8" s="184" t="s">
        <v>380</v>
      </c>
      <c r="E8" s="185" t="s">
        <v>149</v>
      </c>
      <c r="F8" s="185" t="s">
        <v>174</v>
      </c>
      <c r="G8" s="384" t="s">
        <v>195</v>
      </c>
      <c r="H8" s="401"/>
      <c r="I8" s="402"/>
    </row>
    <row r="9" spans="1:14">
      <c r="A9" s="223"/>
      <c r="B9" s="408"/>
      <c r="C9" s="409"/>
      <c r="D9" s="224"/>
      <c r="E9" s="225"/>
      <c r="F9" s="225"/>
      <c r="G9" s="408"/>
      <c r="H9" s="410"/>
      <c r="I9" s="409"/>
    </row>
    <row r="10" spans="1:14">
      <c r="A10" s="189"/>
      <c r="B10" s="411" t="s">
        <v>381</v>
      </c>
      <c r="C10" s="412"/>
      <c r="D10" s="412"/>
      <c r="E10" s="412"/>
      <c r="F10" s="412"/>
      <c r="G10" s="412"/>
      <c r="H10" s="412"/>
      <c r="I10" s="413"/>
    </row>
    <row r="11" spans="1:14">
      <c r="A11" s="189"/>
      <c r="B11" s="414" t="s">
        <v>382</v>
      </c>
      <c r="C11" s="415"/>
      <c r="D11" s="397" t="s">
        <v>383</v>
      </c>
      <c r="E11" s="398"/>
      <c r="F11" s="399"/>
      <c r="G11" s="414"/>
      <c r="H11" s="416"/>
      <c r="I11" s="417"/>
      <c r="K11" t="s">
        <v>384</v>
      </c>
    </row>
    <row r="12" spans="1:14">
      <c r="A12" s="189"/>
      <c r="B12" s="414" t="s">
        <v>385</v>
      </c>
      <c r="C12" s="415"/>
      <c r="D12" s="397"/>
      <c r="E12" s="398"/>
      <c r="F12" s="399"/>
      <c r="G12" s="414"/>
      <c r="H12" s="416"/>
      <c r="I12" s="417"/>
      <c r="L12" s="77" t="s">
        <v>386</v>
      </c>
      <c r="M12" s="77" t="s">
        <v>387</v>
      </c>
      <c r="N12" s="77" t="s">
        <v>388</v>
      </c>
    </row>
    <row r="13" spans="1:14">
      <c r="A13" s="189"/>
      <c r="B13" s="414" t="s">
        <v>389</v>
      </c>
      <c r="C13" s="415"/>
      <c r="D13" s="397"/>
      <c r="E13" s="398"/>
      <c r="F13" s="399"/>
      <c r="G13" s="414"/>
      <c r="H13" s="416"/>
      <c r="I13" s="417"/>
      <c r="K13" t="s">
        <v>390</v>
      </c>
      <c r="L13" s="58"/>
      <c r="M13" s="58">
        <f>+L13/12</f>
        <v>0</v>
      </c>
    </row>
    <row r="14" spans="1:14">
      <c r="A14" s="189"/>
      <c r="B14" s="414" t="s">
        <v>391</v>
      </c>
      <c r="C14" s="415"/>
      <c r="D14" s="397"/>
      <c r="E14" s="398"/>
      <c r="F14" s="399"/>
      <c r="G14" s="414"/>
      <c r="H14" s="416"/>
      <c r="I14" s="417"/>
      <c r="K14" t="s">
        <v>392</v>
      </c>
      <c r="L14" s="58"/>
      <c r="M14" s="58">
        <f>+L14/12</f>
        <v>0</v>
      </c>
    </row>
    <row r="15" spans="1:14">
      <c r="A15" s="189"/>
      <c r="B15" s="414" t="s">
        <v>393</v>
      </c>
      <c r="C15" s="415"/>
      <c r="D15" s="397" t="s">
        <v>394</v>
      </c>
      <c r="E15" s="398"/>
      <c r="F15" s="399"/>
      <c r="G15" s="414"/>
      <c r="H15" s="416"/>
      <c r="I15" s="417"/>
      <c r="K15" t="s">
        <v>395</v>
      </c>
      <c r="L15" s="58"/>
      <c r="M15" s="58">
        <f>+L15/12</f>
        <v>0</v>
      </c>
    </row>
    <row r="16" spans="1:14">
      <c r="A16" s="189"/>
      <c r="B16" s="414" t="s">
        <v>396</v>
      </c>
      <c r="C16" s="415"/>
      <c r="D16" s="397"/>
      <c r="E16" s="398"/>
      <c r="F16" s="399"/>
      <c r="G16" s="414"/>
      <c r="H16" s="416"/>
      <c r="I16" s="417"/>
      <c r="K16" s="90" t="s">
        <v>397</v>
      </c>
      <c r="L16" s="319"/>
      <c r="M16" s="319"/>
      <c r="N16" s="319">
        <f>+M16*1.1</f>
        <v>0</v>
      </c>
    </row>
    <row r="17" spans="1:16">
      <c r="A17" s="189"/>
      <c r="B17" s="414" t="s">
        <v>398</v>
      </c>
      <c r="C17" s="415"/>
      <c r="D17" s="397"/>
      <c r="E17" s="398"/>
      <c r="F17" s="399"/>
      <c r="G17" s="414"/>
      <c r="H17" s="416"/>
      <c r="I17" s="417"/>
    </row>
    <row r="18" spans="1:16">
      <c r="A18" s="189"/>
      <c r="B18" s="414"/>
      <c r="C18" s="415"/>
      <c r="D18" s="227"/>
      <c r="E18" s="228"/>
      <c r="F18" s="228"/>
      <c r="G18" s="414"/>
      <c r="H18" s="416"/>
      <c r="I18" s="417"/>
    </row>
    <row r="19" spans="1:16">
      <c r="A19" s="189"/>
      <c r="B19" s="418" t="s">
        <v>399</v>
      </c>
      <c r="C19" s="419"/>
      <c r="D19" s="227"/>
      <c r="E19" s="228"/>
      <c r="F19" s="228"/>
      <c r="G19" s="414"/>
      <c r="H19" s="416"/>
      <c r="I19" s="417"/>
      <c r="K19" s="77" t="s">
        <v>400</v>
      </c>
      <c r="L19" s="77"/>
      <c r="M19" s="77"/>
      <c r="N19" s="77"/>
      <c r="O19" s="77"/>
      <c r="P19" s="77"/>
    </row>
    <row r="20" spans="1:16">
      <c r="A20" s="189"/>
      <c r="B20" s="414" t="s">
        <v>401</v>
      </c>
      <c r="C20" s="415"/>
      <c r="D20" s="227">
        <f>+SUM(E20:F20)</f>
        <v>0</v>
      </c>
      <c r="E20" s="228">
        <f>+F20*0.1</f>
        <v>0</v>
      </c>
      <c r="F20" s="228"/>
      <c r="G20" s="414" t="s">
        <v>402</v>
      </c>
      <c r="H20" s="416"/>
      <c r="I20" s="417"/>
      <c r="K20" s="77" t="s">
        <v>3</v>
      </c>
      <c r="L20" s="77" t="s">
        <v>403</v>
      </c>
      <c r="M20" s="77" t="s">
        <v>404</v>
      </c>
      <c r="N20" s="77" t="s">
        <v>386</v>
      </c>
      <c r="O20" s="77" t="s">
        <v>388</v>
      </c>
      <c r="P20" s="77" t="s">
        <v>387</v>
      </c>
    </row>
    <row r="21" spans="1:16">
      <c r="A21" s="189"/>
      <c r="B21" s="420" t="s">
        <v>405</v>
      </c>
      <c r="C21" s="415"/>
      <c r="D21" s="227">
        <f>+SUM(E21:F21)</f>
        <v>0</v>
      </c>
      <c r="E21" s="228">
        <f>+F21*0.1</f>
        <v>0</v>
      </c>
      <c r="F21" s="228"/>
      <c r="G21" s="414" t="s">
        <v>402</v>
      </c>
      <c r="H21" s="416"/>
      <c r="I21" s="417"/>
      <c r="L21" t="s">
        <v>406</v>
      </c>
    </row>
    <row r="22" spans="1:16">
      <c r="A22" s="189"/>
      <c r="B22" s="414"/>
      <c r="C22" s="415"/>
      <c r="D22" s="227"/>
      <c r="E22" s="228"/>
      <c r="F22" s="227"/>
      <c r="G22" s="414"/>
      <c r="H22" s="416"/>
      <c r="I22" s="417"/>
      <c r="L22" t="s">
        <v>407</v>
      </c>
    </row>
    <row r="23" spans="1:16">
      <c r="A23" s="189"/>
      <c r="B23" s="414"/>
      <c r="C23" s="415"/>
      <c r="D23" s="227"/>
      <c r="E23" s="228"/>
      <c r="F23" s="227"/>
      <c r="G23" s="414"/>
      <c r="H23" s="416"/>
      <c r="I23" s="417"/>
    </row>
    <row r="24" spans="1:16">
      <c r="A24" s="189"/>
      <c r="B24" s="418" t="s">
        <v>130</v>
      </c>
      <c r="C24" s="419"/>
      <c r="D24" s="230">
        <f>SUM(D20:D23)</f>
        <v>0</v>
      </c>
      <c r="E24" s="230">
        <f>SUM(E20:E23)</f>
        <v>0</v>
      </c>
      <c r="F24" s="230">
        <f>SUM(F20:F23)</f>
        <v>0</v>
      </c>
      <c r="G24" s="414"/>
      <c r="H24" s="416"/>
      <c r="I24" s="417"/>
    </row>
    <row r="25" spans="1:16">
      <c r="A25" s="189"/>
      <c r="B25" s="414"/>
      <c r="C25" s="415"/>
      <c r="D25" s="227"/>
      <c r="E25" s="228"/>
      <c r="F25" s="227"/>
      <c r="G25" s="414"/>
      <c r="H25" s="416"/>
      <c r="I25" s="417"/>
    </row>
    <row r="26" spans="1:16">
      <c r="A26" s="189"/>
      <c r="B26" s="418" t="s">
        <v>408</v>
      </c>
      <c r="C26" s="419"/>
      <c r="D26" s="227"/>
      <c r="E26" s="228"/>
      <c r="F26" s="227"/>
      <c r="G26" s="414"/>
      <c r="H26" s="416"/>
      <c r="I26" s="417"/>
    </row>
    <row r="27" spans="1:16">
      <c r="A27" s="189"/>
      <c r="B27" s="414" t="s">
        <v>409</v>
      </c>
      <c r="C27" s="415"/>
      <c r="D27" s="231">
        <f>+F27+E27</f>
        <v>0</v>
      </c>
      <c r="E27" s="232">
        <f>+F27*0.1</f>
        <v>0</v>
      </c>
      <c r="F27" s="227"/>
      <c r="G27" s="414"/>
      <c r="H27" s="416"/>
      <c r="I27" s="417"/>
    </row>
    <row r="28" spans="1:16">
      <c r="A28" s="189"/>
      <c r="B28" s="414" t="s">
        <v>409</v>
      </c>
      <c r="C28" s="415"/>
      <c r="D28" s="231">
        <f>+F28+E28</f>
        <v>0</v>
      </c>
      <c r="E28" s="232">
        <f>+F28*0.1</f>
        <v>0</v>
      </c>
      <c r="F28" s="231"/>
      <c r="G28" s="414"/>
      <c r="H28" s="416"/>
      <c r="I28" s="417"/>
    </row>
    <row r="29" spans="1:16">
      <c r="A29" s="189"/>
      <c r="B29" s="414" t="s">
        <v>409</v>
      </c>
      <c r="C29" s="415"/>
      <c r="D29" s="231">
        <f>+F29+E29</f>
        <v>0</v>
      </c>
      <c r="E29" s="232">
        <f>+F29*0.1</f>
        <v>0</v>
      </c>
      <c r="F29" s="231"/>
      <c r="G29" s="414"/>
      <c r="H29" s="416"/>
      <c r="I29" s="417"/>
    </row>
    <row r="30" spans="1:16">
      <c r="A30" s="189"/>
      <c r="B30" s="414" t="s">
        <v>409</v>
      </c>
      <c r="C30" s="415"/>
      <c r="D30" s="231">
        <f>+F30+E30</f>
        <v>0</v>
      </c>
      <c r="E30" s="232">
        <f>+F30*0.1</f>
        <v>0</v>
      </c>
      <c r="F30" s="231"/>
      <c r="G30" s="414"/>
      <c r="H30" s="416"/>
      <c r="I30" s="417"/>
    </row>
    <row r="31" spans="1:16">
      <c r="A31" s="189"/>
      <c r="B31" s="229" t="s">
        <v>410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14"/>
      <c r="H31" s="416"/>
      <c r="I31" s="417"/>
    </row>
    <row r="32" spans="1:16">
      <c r="A32" s="189"/>
      <c r="B32" s="414" t="s">
        <v>411</v>
      </c>
      <c r="C32" s="415"/>
      <c r="D32" s="231">
        <f>+F32+E32</f>
        <v>0</v>
      </c>
      <c r="E32" s="232">
        <f>+F32*0.1</f>
        <v>0</v>
      </c>
      <c r="F32" s="227"/>
      <c r="G32" s="414"/>
      <c r="H32" s="421"/>
      <c r="I32" s="415"/>
    </row>
    <row r="33" spans="1:9">
      <c r="A33" s="189"/>
      <c r="B33" s="414" t="s">
        <v>411</v>
      </c>
      <c r="C33" s="415"/>
      <c r="D33" s="231">
        <f>+F33+E33</f>
        <v>0</v>
      </c>
      <c r="E33" s="232">
        <f>+F33*0.1</f>
        <v>0</v>
      </c>
      <c r="F33" s="227"/>
      <c r="G33" s="414"/>
      <c r="H33" s="421"/>
      <c r="I33" s="415"/>
    </row>
    <row r="34" spans="1:9">
      <c r="A34" s="189"/>
      <c r="B34" s="414" t="s">
        <v>411</v>
      </c>
      <c r="C34" s="415"/>
      <c r="D34" s="231">
        <f>+F34+E34</f>
        <v>0</v>
      </c>
      <c r="E34" s="232">
        <f>+F34*0.1</f>
        <v>0</v>
      </c>
      <c r="F34" s="227"/>
      <c r="G34" s="414"/>
      <c r="H34" s="421"/>
      <c r="I34" s="415"/>
    </row>
    <row r="35" spans="1:9">
      <c r="A35" s="189"/>
      <c r="B35" s="414" t="s">
        <v>411</v>
      </c>
      <c r="C35" s="415"/>
      <c r="D35" s="231">
        <f>+F35+E35</f>
        <v>0</v>
      </c>
      <c r="E35" s="232">
        <f>+F35*0.1</f>
        <v>0</v>
      </c>
      <c r="F35" s="227"/>
      <c r="G35" s="414"/>
      <c r="H35" s="421"/>
      <c r="I35" s="415"/>
    </row>
    <row r="36" spans="1:9">
      <c r="A36" s="189"/>
      <c r="B36" s="229" t="s">
        <v>412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14"/>
      <c r="H36" s="416"/>
      <c r="I36" s="417"/>
    </row>
    <row r="37" spans="1:9">
      <c r="A37" s="189"/>
      <c r="B37" s="414" t="s">
        <v>413</v>
      </c>
      <c r="C37" s="415"/>
      <c r="D37" s="231">
        <f>+F37+E37</f>
        <v>0</v>
      </c>
      <c r="E37" s="232">
        <f>+F37*0.1</f>
        <v>0</v>
      </c>
      <c r="F37" s="227"/>
      <c r="G37" s="414"/>
      <c r="H37" s="416"/>
      <c r="I37" s="417"/>
    </row>
    <row r="38" spans="1:9">
      <c r="A38" s="189"/>
      <c r="B38" s="414" t="s">
        <v>413</v>
      </c>
      <c r="C38" s="415"/>
      <c r="D38" s="231">
        <f>+F38+E38</f>
        <v>0</v>
      </c>
      <c r="E38" s="232">
        <f>+F38*0.1</f>
        <v>0</v>
      </c>
      <c r="F38" s="231"/>
      <c r="G38" s="414"/>
      <c r="H38" s="416"/>
      <c r="I38" s="417"/>
    </row>
    <row r="39" spans="1:9">
      <c r="A39" s="189"/>
      <c r="B39" s="414" t="s">
        <v>413</v>
      </c>
      <c r="C39" s="415"/>
      <c r="D39" s="231">
        <f>+F39+E39</f>
        <v>0</v>
      </c>
      <c r="E39" s="232">
        <f>+F39*0.1</f>
        <v>0</v>
      </c>
      <c r="F39" s="227"/>
      <c r="G39" s="414"/>
      <c r="H39" s="421"/>
      <c r="I39" s="415"/>
    </row>
    <row r="40" spans="1:9">
      <c r="A40" s="189"/>
      <c r="B40" s="414" t="s">
        <v>413</v>
      </c>
      <c r="C40" s="415"/>
      <c r="D40" s="231">
        <f>+F40+E40</f>
        <v>0</v>
      </c>
      <c r="E40" s="232">
        <f>+F40*0.1</f>
        <v>0</v>
      </c>
      <c r="F40" s="231"/>
      <c r="G40" s="414"/>
      <c r="H40" s="421"/>
      <c r="I40" s="415"/>
    </row>
    <row r="41" spans="1:9">
      <c r="A41" s="189"/>
      <c r="B41" s="418" t="s">
        <v>414</v>
      </c>
      <c r="C41" s="419"/>
      <c r="D41" s="233">
        <f>SUM(D37:D40)</f>
        <v>0</v>
      </c>
      <c r="E41" s="233">
        <f>SUM(E37:E40)</f>
        <v>0</v>
      </c>
      <c r="F41" s="233">
        <f>SUM(F37:F40)</f>
        <v>0</v>
      </c>
      <c r="G41" s="414"/>
      <c r="H41" s="421"/>
      <c r="I41" s="415"/>
    </row>
    <row r="42" spans="1:9">
      <c r="A42" s="189"/>
      <c r="B42" s="418" t="s">
        <v>415</v>
      </c>
      <c r="C42" s="419"/>
      <c r="D42" s="233">
        <f>+D31+D36+D41</f>
        <v>0</v>
      </c>
      <c r="E42" s="233">
        <f>+E31+E36+E41</f>
        <v>0</v>
      </c>
      <c r="F42" s="233">
        <f>+F31+F36+F41</f>
        <v>0</v>
      </c>
      <c r="G42" s="414"/>
      <c r="H42" s="421"/>
      <c r="I42" s="415"/>
    </row>
    <row r="43" spans="1:9">
      <c r="A43" s="189"/>
      <c r="B43" s="414"/>
      <c r="C43" s="415"/>
      <c r="D43" s="231"/>
      <c r="E43" s="232"/>
      <c r="F43" s="226"/>
      <c r="G43" s="414"/>
      <c r="H43" s="421"/>
      <c r="I43" s="415"/>
    </row>
    <row r="44" spans="1:9">
      <c r="A44" s="189"/>
      <c r="B44" s="201" t="s">
        <v>416</v>
      </c>
      <c r="C44" s="202"/>
      <c r="D44" s="234"/>
      <c r="E44" s="235"/>
      <c r="F44" s="236"/>
      <c r="G44" s="414"/>
      <c r="H44" s="421"/>
      <c r="I44" s="415"/>
    </row>
    <row r="45" spans="1:9">
      <c r="A45" s="189"/>
      <c r="B45" s="418"/>
      <c r="C45" s="419"/>
      <c r="D45" s="233"/>
      <c r="E45" s="233"/>
      <c r="F45" s="233"/>
      <c r="G45" s="414"/>
      <c r="H45" s="421"/>
      <c r="I45" s="415"/>
    </row>
    <row r="46" spans="1:9">
      <c r="A46" s="237" t="s">
        <v>417</v>
      </c>
      <c r="B46" s="370"/>
      <c r="C46" s="371"/>
      <c r="D46" s="371"/>
      <c r="E46" s="371"/>
      <c r="F46" s="371"/>
      <c r="G46" s="371"/>
      <c r="H46" s="371"/>
      <c r="I46" s="372"/>
    </row>
    <row r="47" spans="1:9">
      <c r="A47" s="237"/>
      <c r="B47" s="370"/>
      <c r="C47" s="371"/>
      <c r="D47" s="371"/>
      <c r="E47" s="371"/>
      <c r="F47" s="371"/>
      <c r="G47" s="371"/>
      <c r="H47" s="371"/>
      <c r="I47" s="372"/>
    </row>
    <row r="48" spans="1:9">
      <c r="A48" s="237"/>
      <c r="B48" s="370"/>
      <c r="C48" s="371"/>
      <c r="D48" s="371"/>
      <c r="E48" s="371"/>
      <c r="F48" s="371"/>
      <c r="G48" s="371"/>
      <c r="H48" s="371"/>
      <c r="I48" s="372"/>
    </row>
    <row r="49" spans="1:16">
      <c r="A49" s="210"/>
      <c r="B49" s="422"/>
      <c r="C49" s="423"/>
      <c r="D49" s="238"/>
      <c r="E49" s="238"/>
      <c r="F49" s="238"/>
      <c r="G49" s="422"/>
      <c r="H49" s="424"/>
      <c r="I49" s="423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418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419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420</v>
      </c>
      <c r="D57" s="246" t="s">
        <v>421</v>
      </c>
      <c r="E57" s="246" t="s">
        <v>422</v>
      </c>
      <c r="F57" s="246" t="s">
        <v>423</v>
      </c>
      <c r="G57" s="246" t="s">
        <v>424</v>
      </c>
      <c r="H57" s="246" t="s">
        <v>425</v>
      </c>
      <c r="I57" s="246" t="s">
        <v>426</v>
      </c>
      <c r="J57" s="246" t="s">
        <v>427</v>
      </c>
      <c r="K57" s="246" t="s">
        <v>428</v>
      </c>
      <c r="L57" s="246" t="s">
        <v>429</v>
      </c>
      <c r="M57" s="246" t="s">
        <v>430</v>
      </c>
      <c r="N57" s="246" t="s">
        <v>431</v>
      </c>
      <c r="O57" s="239"/>
      <c r="P57" s="239"/>
    </row>
    <row r="58" spans="1:16">
      <c r="A58" s="239" t="s">
        <v>432</v>
      </c>
      <c r="B58" s="239"/>
      <c r="C58" s="242" t="s">
        <v>433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434</v>
      </c>
      <c r="B59" s="239"/>
      <c r="C59" s="242" t="s">
        <v>433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400" t="s">
        <v>66</v>
      </c>
      <c r="E63" s="400"/>
      <c r="F63" s="400"/>
      <c r="G63" s="400" t="s">
        <v>408</v>
      </c>
      <c r="H63" s="400"/>
      <c r="I63" s="400"/>
      <c r="J63" s="400"/>
      <c r="K63" s="400"/>
      <c r="L63" s="400"/>
      <c r="M63" s="239"/>
      <c r="N63" s="239"/>
      <c r="O63" s="239"/>
      <c r="P63" s="239"/>
    </row>
    <row r="64" spans="1:16" ht="54">
      <c r="A64" s="239" t="s">
        <v>435</v>
      </c>
      <c r="B64" s="250" t="s">
        <v>436</v>
      </c>
      <c r="C64" s="240" t="s">
        <v>420</v>
      </c>
      <c r="D64" s="246" t="s">
        <v>437</v>
      </c>
      <c r="E64" s="246" t="s">
        <v>438</v>
      </c>
      <c r="F64" s="246" t="s">
        <v>439</v>
      </c>
      <c r="G64" s="246" t="s">
        <v>440</v>
      </c>
      <c r="H64" s="246" t="s">
        <v>441</v>
      </c>
      <c r="I64" s="246" t="s">
        <v>426</v>
      </c>
      <c r="J64" s="246" t="s">
        <v>427</v>
      </c>
      <c r="K64" s="246" t="s">
        <v>442</v>
      </c>
      <c r="L64" s="246" t="s">
        <v>429</v>
      </c>
      <c r="M64" s="241" t="s">
        <v>430</v>
      </c>
      <c r="N64" s="241" t="s">
        <v>431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221</v>
      </c>
      <c r="C80" s="239"/>
      <c r="D80" s="239" t="s">
        <v>443</v>
      </c>
      <c r="E80" s="239" t="s">
        <v>444</v>
      </c>
      <c r="F80" s="239" t="s">
        <v>444</v>
      </c>
      <c r="G80" s="239" t="s">
        <v>444</v>
      </c>
      <c r="H80" s="239" t="s">
        <v>444</v>
      </c>
      <c r="I80" s="239" t="s">
        <v>444</v>
      </c>
      <c r="J80" s="239" t="s">
        <v>444</v>
      </c>
      <c r="K80" s="239" t="s">
        <v>444</v>
      </c>
      <c r="L80" s="239" t="s">
        <v>444</v>
      </c>
      <c r="M80" s="239" t="s">
        <v>444</v>
      </c>
      <c r="N80" s="239" t="s">
        <v>444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435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445</v>
      </c>
      <c r="E87" s="115"/>
      <c r="F87" s="115"/>
    </row>
    <row r="88" spans="1:16">
      <c r="C88" s="281"/>
      <c r="D88" s="298" t="s">
        <v>446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447</v>
      </c>
      <c r="E89" s="283" t="s">
        <v>421</v>
      </c>
      <c r="F89" s="284" t="s">
        <v>448</v>
      </c>
      <c r="G89" s="284" t="s">
        <v>449</v>
      </c>
      <c r="H89" s="284" t="s">
        <v>450</v>
      </c>
      <c r="I89" s="284" t="s">
        <v>429</v>
      </c>
      <c r="J89" s="284" t="s">
        <v>451</v>
      </c>
      <c r="K89" s="284" t="s">
        <v>452</v>
      </c>
    </row>
    <row r="90" spans="1:16">
      <c r="C90" s="291" t="s">
        <v>453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454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455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456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457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458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459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460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461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462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463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464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197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465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307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302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145</v>
      </c>
      <c r="B8" s="403" t="s">
        <v>146</v>
      </c>
      <c r="C8" s="404"/>
      <c r="D8" s="404"/>
      <c r="E8" s="405"/>
      <c r="F8" s="68" t="s">
        <v>147</v>
      </c>
      <c r="G8" s="403" t="s">
        <v>195</v>
      </c>
      <c r="H8" s="364"/>
      <c r="I8" s="365"/>
    </row>
    <row r="10" spans="1:14">
      <c r="F10" s="70"/>
    </row>
    <row r="11" spans="1:14">
      <c r="A11" s="65"/>
      <c r="B11" s="65"/>
      <c r="C11" s="65" t="s">
        <v>466</v>
      </c>
      <c r="G11" s="85" t="s">
        <v>130</v>
      </c>
      <c r="I11" s="47" t="s">
        <v>467</v>
      </c>
    </row>
    <row r="12" spans="1:14">
      <c r="A12" s="65"/>
      <c r="B12" s="65"/>
      <c r="C12" t="s">
        <v>468</v>
      </c>
      <c r="G12" s="86"/>
      <c r="I12" s="58">
        <v>0</v>
      </c>
    </row>
    <row r="13" spans="1:14">
      <c r="A13" s="65"/>
      <c r="B13" s="65"/>
      <c r="C13" t="s">
        <v>469</v>
      </c>
      <c r="G13" s="86"/>
      <c r="I13" s="58">
        <f>+G13/11*0.75</f>
        <v>0</v>
      </c>
    </row>
    <row r="14" spans="1:14">
      <c r="C14" t="s">
        <v>470</v>
      </c>
      <c r="G14" s="86"/>
      <c r="I14" s="58">
        <v>0</v>
      </c>
    </row>
    <row r="15" spans="1:14">
      <c r="C15" t="s">
        <v>471</v>
      </c>
      <c r="G15" s="87"/>
      <c r="I15" s="88">
        <f>+G15/11*0.75</f>
        <v>0</v>
      </c>
      <c r="K15" t="s">
        <v>472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473</v>
      </c>
      <c r="N16" s="90"/>
    </row>
    <row r="17" spans="1:14">
      <c r="A17" s="65"/>
      <c r="B17" s="65"/>
      <c r="C17" s="65"/>
      <c r="F17" s="70"/>
      <c r="K17" t="s">
        <v>474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475</v>
      </c>
      <c r="N18" t="e">
        <f>ROUNDDOWN(N16*N15,0)</f>
        <v>#DIV/0!</v>
      </c>
    </row>
    <row r="19" spans="1:14">
      <c r="C19" s="77" t="s">
        <v>476</v>
      </c>
      <c r="E19" s="47" t="s">
        <v>474</v>
      </c>
      <c r="F19" s="85" t="s">
        <v>475</v>
      </c>
      <c r="G19" s="47" t="s">
        <v>130</v>
      </c>
      <c r="I19" s="47" t="s">
        <v>477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478</v>
      </c>
      <c r="F26" s="80"/>
    </row>
    <row r="27" spans="1:14">
      <c r="C27" t="s">
        <v>92</v>
      </c>
      <c r="G27" s="91">
        <f>+G12</f>
        <v>0</v>
      </c>
    </row>
    <row r="28" spans="1:14">
      <c r="C28" t="s">
        <v>479</v>
      </c>
      <c r="F28" s="80"/>
      <c r="G28" s="91">
        <f>+G13</f>
        <v>0</v>
      </c>
      <c r="I28" s="58">
        <f>+G28/11*0.75</f>
        <v>0</v>
      </c>
    </row>
    <row r="29" spans="1:14">
      <c r="C29" t="s">
        <v>474</v>
      </c>
      <c r="F29" s="79"/>
      <c r="G29" s="91">
        <f>+G14-E24</f>
        <v>0</v>
      </c>
    </row>
    <row r="30" spans="1:14">
      <c r="C30" t="s">
        <v>475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  <c r="J2" s="66"/>
    </row>
    <row r="3" spans="1:13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480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145</v>
      </c>
      <c r="B8" s="393" t="s">
        <v>146</v>
      </c>
      <c r="C8" s="394"/>
      <c r="D8" s="394"/>
      <c r="E8" s="406"/>
      <c r="F8" s="131" t="s">
        <v>147</v>
      </c>
      <c r="G8" s="393" t="s">
        <v>195</v>
      </c>
      <c r="H8" s="364"/>
      <c r="I8" s="365"/>
    </row>
    <row r="10" spans="1:13">
      <c r="F10" s="70"/>
    </row>
    <row r="11" spans="1:13">
      <c r="A11" s="77">
        <v>30900</v>
      </c>
      <c r="B11" s="77"/>
      <c r="C11" s="77" t="s">
        <v>481</v>
      </c>
      <c r="F11" s="70"/>
    </row>
    <row r="12" spans="1:13">
      <c r="C12" t="s">
        <v>482</v>
      </c>
      <c r="G12" s="260">
        <f>L13</f>
        <v>0</v>
      </c>
      <c r="K12" s="47" t="s">
        <v>483</v>
      </c>
      <c r="L12" s="47" t="s">
        <v>147</v>
      </c>
    </row>
    <row r="13" spans="1:13">
      <c r="C13" t="s">
        <v>484</v>
      </c>
      <c r="G13" s="70">
        <f>+G12/11*0.75</f>
        <v>0</v>
      </c>
      <c r="H13" t="s">
        <v>485</v>
      </c>
      <c r="K13" t="s">
        <v>486</v>
      </c>
    </row>
    <row r="14" spans="1:13">
      <c r="C14" t="s">
        <v>487</v>
      </c>
      <c r="G14" s="84">
        <f>+G12-G13</f>
        <v>0</v>
      </c>
      <c r="K14" t="s">
        <v>488</v>
      </c>
    </row>
    <row r="15" spans="1:13">
      <c r="G15" s="70"/>
      <c r="K15" t="s">
        <v>489</v>
      </c>
    </row>
    <row r="16" spans="1:13" ht="15.75" thickBot="1">
      <c r="G16" s="58"/>
      <c r="L16" s="259">
        <f>SUM(L13:L15)</f>
        <v>0</v>
      </c>
      <c r="M16" t="s">
        <v>490</v>
      </c>
    </row>
    <row r="17" spans="1:8" ht="15.75" thickTop="1">
      <c r="A17" s="77">
        <v>37500</v>
      </c>
      <c r="B17" s="77"/>
      <c r="C17" s="77" t="s">
        <v>491</v>
      </c>
      <c r="G17" s="58"/>
    </row>
    <row r="18" spans="1:8">
      <c r="C18" t="s">
        <v>492</v>
      </c>
      <c r="G18" s="257">
        <f>L14</f>
        <v>0</v>
      </c>
    </row>
    <row r="19" spans="1:8">
      <c r="C19" t="s">
        <v>493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484</v>
      </c>
      <c r="G21" s="70">
        <f>+G20/11*0.75</f>
        <v>0</v>
      </c>
      <c r="H21" t="s">
        <v>485</v>
      </c>
    </row>
    <row r="22" spans="1:8">
      <c r="C22" t="s">
        <v>494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3B39A-19DA-4D25-A192-45F1F80576D6}">
  <sheetPr>
    <tabColor rgb="FFFFFF00"/>
  </sheetPr>
  <dimension ref="A1:D33"/>
  <sheetViews>
    <sheetView workbookViewId="0">
      <selection activeCell="C14" sqref="C14"/>
    </sheetView>
  </sheetViews>
  <sheetFormatPr defaultRowHeight="15"/>
  <cols>
    <col min="1" max="1" width="11.85546875" customWidth="1"/>
    <col min="2" max="2" width="36.28515625" customWidth="1"/>
    <col min="3" max="3" width="32.42578125" customWidth="1"/>
    <col min="4" max="4" width="11" customWidth="1"/>
  </cols>
  <sheetData>
    <row r="1" spans="1:4">
      <c r="A1" s="320" t="s">
        <v>80</v>
      </c>
      <c r="B1" s="320" t="s">
        <v>81</v>
      </c>
      <c r="C1" s="320" t="s">
        <v>82</v>
      </c>
      <c r="D1" s="320" t="s">
        <v>83</v>
      </c>
    </row>
    <row r="2" spans="1:4">
      <c r="A2" s="265">
        <v>1</v>
      </c>
      <c r="B2" s="265" t="s">
        <v>84</v>
      </c>
      <c r="C2" s="265" t="s">
        <v>85</v>
      </c>
      <c r="D2" s="265"/>
    </row>
    <row r="3" spans="1:4" ht="30">
      <c r="A3" s="265">
        <v>2</v>
      </c>
      <c r="B3" s="265" t="s">
        <v>86</v>
      </c>
      <c r="C3" s="265" t="s">
        <v>87</v>
      </c>
      <c r="D3" s="265"/>
    </row>
    <row r="4" spans="1:4" ht="30">
      <c r="A4" s="265">
        <v>3</v>
      </c>
      <c r="B4" s="265" t="s">
        <v>88</v>
      </c>
      <c r="C4" s="265" t="s">
        <v>89</v>
      </c>
      <c r="D4" s="265"/>
    </row>
    <row r="5" spans="1:4">
      <c r="A5" s="265">
        <v>4</v>
      </c>
      <c r="B5" s="265" t="s">
        <v>90</v>
      </c>
      <c r="C5" s="265"/>
      <c r="D5" s="265"/>
    </row>
    <row r="6" spans="1:4">
      <c r="A6" s="265"/>
      <c r="B6" s="265"/>
      <c r="C6" s="265"/>
      <c r="D6" s="265"/>
    </row>
    <row r="7" spans="1:4">
      <c r="A7" s="265"/>
      <c r="B7" s="265"/>
      <c r="C7" s="265"/>
      <c r="D7" s="265"/>
    </row>
    <row r="8" spans="1:4">
      <c r="A8" s="265"/>
      <c r="B8" s="265"/>
      <c r="C8" s="265"/>
      <c r="D8" s="265"/>
    </row>
    <row r="9" spans="1:4">
      <c r="A9" s="265"/>
      <c r="B9" s="265"/>
      <c r="C9" s="265"/>
      <c r="D9" s="265"/>
    </row>
    <row r="10" spans="1:4">
      <c r="A10" s="265"/>
      <c r="B10" s="265"/>
      <c r="C10" s="265"/>
      <c r="D10" s="265"/>
    </row>
    <row r="11" spans="1:4">
      <c r="A11" s="265"/>
      <c r="B11" s="265"/>
      <c r="C11" s="265"/>
      <c r="D11" s="265"/>
    </row>
    <row r="12" spans="1:4">
      <c r="A12" s="265"/>
      <c r="B12" s="265"/>
      <c r="C12" s="265"/>
      <c r="D12" s="265"/>
    </row>
    <row r="13" spans="1:4">
      <c r="A13" s="265"/>
      <c r="B13" s="265"/>
      <c r="C13" s="265"/>
      <c r="D13" s="265"/>
    </row>
    <row r="14" spans="1:4">
      <c r="A14" s="265"/>
      <c r="B14" s="265"/>
      <c r="C14" s="265"/>
      <c r="D14" s="265"/>
    </row>
    <row r="15" spans="1:4">
      <c r="A15" s="265"/>
      <c r="B15" s="265"/>
      <c r="C15" s="265"/>
      <c r="D15" s="265"/>
    </row>
    <row r="16" spans="1:4">
      <c r="A16" s="265"/>
      <c r="B16" s="265"/>
      <c r="C16" s="265"/>
      <c r="D16" s="265"/>
    </row>
    <row r="17" spans="1:4">
      <c r="A17" s="265"/>
      <c r="B17" s="265"/>
      <c r="C17" s="265"/>
      <c r="D17" s="265"/>
    </row>
    <row r="18" spans="1:4">
      <c r="A18" s="265"/>
      <c r="B18" s="265"/>
      <c r="C18" s="265"/>
      <c r="D18" s="265"/>
    </row>
    <row r="19" spans="1:4">
      <c r="A19" s="265"/>
      <c r="B19" s="265"/>
      <c r="C19" s="265"/>
      <c r="D19" s="265"/>
    </row>
    <row r="20" spans="1:4">
      <c r="A20" s="265"/>
      <c r="B20" s="265"/>
      <c r="C20" s="265"/>
      <c r="D20" s="265"/>
    </row>
    <row r="21" spans="1:4">
      <c r="A21" s="265"/>
      <c r="B21" s="265"/>
      <c r="C21" s="265"/>
      <c r="D21" s="265"/>
    </row>
    <row r="22" spans="1:4">
      <c r="A22" s="265"/>
      <c r="B22" s="265"/>
      <c r="C22" s="265"/>
      <c r="D22" s="265"/>
    </row>
    <row r="23" spans="1:4">
      <c r="A23" s="265"/>
      <c r="B23" s="265"/>
      <c r="C23" s="265"/>
      <c r="D23" s="265"/>
    </row>
    <row r="24" spans="1:4">
      <c r="A24" s="265"/>
      <c r="B24" s="265"/>
      <c r="C24" s="265"/>
      <c r="D24" s="265"/>
    </row>
    <row r="25" spans="1:4">
      <c r="A25" s="265"/>
      <c r="B25" s="265"/>
      <c r="C25" s="265"/>
      <c r="D25" s="265"/>
    </row>
    <row r="26" spans="1:4">
      <c r="A26" s="265"/>
      <c r="B26" s="265"/>
      <c r="C26" s="265"/>
      <c r="D26" s="265"/>
    </row>
    <row r="27" spans="1:4">
      <c r="A27" s="265"/>
      <c r="B27" s="265"/>
      <c r="C27" s="265"/>
      <c r="D27" s="265"/>
    </row>
    <row r="28" spans="1:4">
      <c r="A28" s="265"/>
      <c r="B28" s="265"/>
      <c r="C28" s="265"/>
      <c r="D28" s="265"/>
    </row>
    <row r="29" spans="1:4">
      <c r="A29" s="265"/>
      <c r="B29" s="265"/>
      <c r="C29" s="265"/>
      <c r="D29" s="265"/>
    </row>
    <row r="30" spans="1:4">
      <c r="A30" s="265"/>
      <c r="B30" s="265"/>
      <c r="C30" s="265"/>
      <c r="D30" s="265"/>
    </row>
    <row r="31" spans="1:4">
      <c r="A31" s="265"/>
      <c r="B31" s="265"/>
      <c r="C31" s="265"/>
      <c r="D31" s="265"/>
    </row>
    <row r="32" spans="1:4">
      <c r="A32" s="265"/>
      <c r="B32" s="265"/>
      <c r="C32" s="265"/>
      <c r="D32" s="265"/>
    </row>
    <row r="33" spans="1:4">
      <c r="A33" s="265"/>
      <c r="B33" s="265"/>
      <c r="C33" s="265"/>
      <c r="D33" s="26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4" sqref="F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91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92</v>
      </c>
    </row>
    <row r="10" spans="1:10">
      <c r="B10">
        <v>2</v>
      </c>
      <c r="C10" t="s">
        <v>93</v>
      </c>
      <c r="F10" t="s">
        <v>94</v>
      </c>
    </row>
    <row r="12" spans="1:10">
      <c r="B12">
        <v>3</v>
      </c>
      <c r="C12" t="s">
        <v>95</v>
      </c>
      <c r="F12" t="s">
        <v>96</v>
      </c>
    </row>
    <row r="13" spans="1:10">
      <c r="C13" s="139"/>
    </row>
    <row r="14" spans="1:10">
      <c r="B14">
        <v>4</v>
      </c>
      <c r="C14" t="s">
        <v>97</v>
      </c>
      <c r="F14" t="s">
        <v>96</v>
      </c>
    </row>
    <row r="16" spans="1:10">
      <c r="B16">
        <v>5</v>
      </c>
      <c r="C16" t="s">
        <v>98</v>
      </c>
    </row>
    <row r="17" spans="3:3">
      <c r="C17" t="s">
        <v>99</v>
      </c>
    </row>
    <row r="18" spans="3:3">
      <c r="C18" s="139" t="s">
        <v>100</v>
      </c>
    </row>
    <row r="19" spans="3:3">
      <c r="C19" s="139" t="s">
        <v>101</v>
      </c>
    </row>
    <row r="20" spans="3:3">
      <c r="C20" s="139" t="s">
        <v>102</v>
      </c>
    </row>
    <row r="21" spans="3:3">
      <c r="C21" s="139" t="s">
        <v>103</v>
      </c>
    </row>
    <row r="22" spans="3:3">
      <c r="C22" s="139" t="s">
        <v>104</v>
      </c>
    </row>
    <row r="23" spans="3:3">
      <c r="C23" t="s">
        <v>105</v>
      </c>
    </row>
    <row r="24" spans="3:3">
      <c r="C24" s="139" t="s">
        <v>106</v>
      </c>
    </row>
    <row r="25" spans="3:3">
      <c r="C25" s="139" t="s">
        <v>107</v>
      </c>
    </row>
    <row r="26" spans="3:3">
      <c r="C26" t="s">
        <v>108</v>
      </c>
    </row>
    <row r="27" spans="3:3">
      <c r="C27" t="s">
        <v>109</v>
      </c>
    </row>
    <row r="28" spans="3:3">
      <c r="C28" t="s">
        <v>110</v>
      </c>
    </row>
    <row r="29" spans="3:3">
      <c r="C29" t="s">
        <v>111</v>
      </c>
    </row>
    <row r="30" spans="3:3">
      <c r="C30" s="139" t="s">
        <v>112</v>
      </c>
    </row>
    <row r="31" spans="3:3">
      <c r="C31" s="139" t="s">
        <v>113</v>
      </c>
    </row>
    <row r="32" spans="3:3">
      <c r="C32" s="139" t="s">
        <v>114</v>
      </c>
    </row>
    <row r="33" spans="3:3">
      <c r="C33" s="139" t="s">
        <v>115</v>
      </c>
    </row>
    <row r="34" spans="3:3">
      <c r="C34" t="s">
        <v>116</v>
      </c>
    </row>
    <row r="35" spans="3:3">
      <c r="C35" s="139" t="s">
        <v>117</v>
      </c>
    </row>
    <row r="36" spans="3:3">
      <c r="C36" s="139" t="s">
        <v>118</v>
      </c>
    </row>
    <row r="37" spans="3:3">
      <c r="C37" t="s">
        <v>119</v>
      </c>
    </row>
    <row r="38" spans="3:3">
      <c r="C38" s="139" t="s">
        <v>120</v>
      </c>
    </row>
    <row r="39" spans="3:3">
      <c r="C39" s="139" t="s">
        <v>121</v>
      </c>
    </row>
    <row r="40" spans="3:3">
      <c r="C40" s="139" t="s">
        <v>122</v>
      </c>
    </row>
    <row r="41" spans="3:3">
      <c r="C41" s="139" t="s">
        <v>123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topLeftCell="A3" workbookViewId="0">
      <selection activeCell="P22" sqref="P22"/>
    </sheetView>
  </sheetViews>
  <sheetFormatPr defaultRowHeight="15"/>
  <cols>
    <col min="3" max="3" width="14" customWidth="1"/>
    <col min="4" max="4" width="15.14062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51" t="str">
        <f>Index!$C$2</f>
        <v>DREA</v>
      </c>
      <c r="D2" s="351"/>
      <c r="E2" s="351"/>
      <c r="F2" s="55"/>
      <c r="I2" s="59" t="s">
        <v>6</v>
      </c>
      <c r="J2" s="60" t="str">
        <f>Index!$H$2</f>
        <v>MG</v>
      </c>
      <c r="K2" s="61">
        <f>Index!$I$2</f>
        <v>45195</v>
      </c>
    </row>
    <row r="3" spans="1:14" ht="18">
      <c r="A3" s="123" t="s">
        <v>8</v>
      </c>
      <c r="B3" s="53"/>
      <c r="C3" s="352">
        <f>Index!$C$3</f>
        <v>45107</v>
      </c>
      <c r="D3" s="351"/>
      <c r="E3" s="351"/>
      <c r="F3" s="55"/>
      <c r="I3" s="59" t="s">
        <v>9</v>
      </c>
      <c r="J3" s="60" t="str">
        <f>Index!$H$3</f>
        <v>DB</v>
      </c>
      <c r="K3" s="61">
        <f>Index!$I$3</f>
        <v>45202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124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125</v>
      </c>
      <c r="D9" s="354" t="s">
        <v>126</v>
      </c>
      <c r="E9" s="354"/>
      <c r="F9" s="354"/>
      <c r="G9" s="354"/>
      <c r="I9" s="354" t="s">
        <v>127</v>
      </c>
      <c r="J9" s="354"/>
      <c r="K9" s="354"/>
      <c r="L9" s="354"/>
      <c r="N9" s="353" t="s">
        <v>128</v>
      </c>
    </row>
    <row r="10" spans="1:14">
      <c r="B10" t="s">
        <v>129</v>
      </c>
      <c r="D10" s="127">
        <v>16712</v>
      </c>
      <c r="E10" s="128">
        <f>+D10</f>
        <v>16712</v>
      </c>
      <c r="F10" s="128">
        <f>+D10</f>
        <v>16712</v>
      </c>
      <c r="G10" s="47" t="s">
        <v>130</v>
      </c>
      <c r="I10" s="127"/>
      <c r="J10" s="128">
        <f>+I10</f>
        <v>0</v>
      </c>
      <c r="K10" s="128">
        <f>+I10</f>
        <v>0</v>
      </c>
      <c r="L10" s="47" t="s">
        <v>130</v>
      </c>
      <c r="N10" s="353"/>
    </row>
    <row r="11" spans="1:14">
      <c r="B11" t="s">
        <v>131</v>
      </c>
      <c r="D11" s="129">
        <f>(D14-D10)/365.25</f>
        <v>77.744010951403155</v>
      </c>
      <c r="E11" s="129">
        <f>(E14-E10)/365.25</f>
        <v>77.744010951403155</v>
      </c>
      <c r="F11" s="129">
        <f>(F14-F10)/365.25</f>
        <v>77.744010951403155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53"/>
    </row>
    <row r="14" spans="1:14">
      <c r="B14" t="s">
        <v>132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133</v>
      </c>
      <c r="D16" s="318"/>
      <c r="E16" s="318"/>
      <c r="F16" s="318"/>
      <c r="I16" s="318"/>
      <c r="J16" s="318"/>
      <c r="K16" s="318"/>
    </row>
    <row r="17" spans="1:14">
      <c r="B17" t="s">
        <v>134</v>
      </c>
      <c r="D17" s="257" t="s">
        <v>135</v>
      </c>
      <c r="E17" s="257" t="s">
        <v>135</v>
      </c>
      <c r="F17" s="257" t="s">
        <v>135</v>
      </c>
      <c r="I17" s="257" t="s">
        <v>135</v>
      </c>
      <c r="J17" s="257" t="s">
        <v>135</v>
      </c>
      <c r="K17" s="257" t="s">
        <v>135</v>
      </c>
    </row>
    <row r="18" spans="1:14">
      <c r="B18" t="s">
        <v>136</v>
      </c>
      <c r="D18" s="257">
        <v>1214861.81</v>
      </c>
      <c r="E18" s="257">
        <v>2289.25</v>
      </c>
      <c r="F18" s="257"/>
      <c r="G18" s="258"/>
      <c r="I18" s="257"/>
      <c r="J18" s="257"/>
      <c r="K18" s="257"/>
    </row>
    <row r="20" spans="1:14">
      <c r="B20" t="s">
        <v>137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0.06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0.06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0.06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138</v>
      </c>
      <c r="D22" s="91">
        <f>D18*D20</f>
        <v>72891.708599999998</v>
      </c>
      <c r="E22" s="91">
        <f>E18*E20</f>
        <v>137.35499999999999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139</v>
      </c>
      <c r="D23" s="51">
        <f>ROUND(D22,-1)</f>
        <v>72890</v>
      </c>
      <c r="E23" s="51">
        <f>ROUND(E22,-1)</f>
        <v>140</v>
      </c>
      <c r="F23" s="51">
        <f>ROUND(F22,-1)</f>
        <v>0</v>
      </c>
      <c r="G23" s="46">
        <f>SUM(D23:F23)</f>
        <v>73030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73030</v>
      </c>
    </row>
    <row r="24" spans="1:14" ht="15.75" thickTop="1"/>
    <row r="25" spans="1:14">
      <c r="B25" t="s">
        <v>140</v>
      </c>
      <c r="D25" s="91">
        <f>IF(D17="ABP",D18,D18*0.1)</f>
        <v>1214861.81</v>
      </c>
      <c r="E25" s="91">
        <f t="shared" ref="E25:F25" si="0">IF(E17="ABP",E18,E18*0.1)</f>
        <v>2289.25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>
      <c r="A29" s="49" t="s">
        <v>141</v>
      </c>
      <c r="B29" s="49" t="s">
        <v>142</v>
      </c>
      <c r="C29" s="49" t="s">
        <v>143</v>
      </c>
      <c r="D29" s="47"/>
    </row>
    <row r="30" spans="1:14">
      <c r="A30">
        <v>0</v>
      </c>
      <c r="B30">
        <v>64.989999999999995</v>
      </c>
      <c r="C30" s="48">
        <v>0.04</v>
      </c>
      <c r="D30" s="317"/>
    </row>
    <row r="31" spans="1:14">
      <c r="A31">
        <v>64.989999999999995</v>
      </c>
      <c r="B31">
        <v>74</v>
      </c>
      <c r="C31" s="48">
        <v>0.05</v>
      </c>
      <c r="D31" s="317"/>
    </row>
    <row r="32" spans="1:14">
      <c r="A32">
        <v>74.989999999999995</v>
      </c>
      <c r="B32">
        <v>79</v>
      </c>
      <c r="C32" s="48">
        <v>0.06</v>
      </c>
      <c r="D32" s="317"/>
    </row>
    <row r="33" spans="1:4">
      <c r="A33">
        <v>79.989999999999995</v>
      </c>
      <c r="B33">
        <v>84</v>
      </c>
      <c r="C33" s="50">
        <v>7.0000000000000007E-2</v>
      </c>
      <c r="D33" s="317"/>
    </row>
    <row r="34" spans="1:4">
      <c r="A34">
        <v>84.99</v>
      </c>
      <c r="B34">
        <v>89</v>
      </c>
      <c r="C34" s="50">
        <v>0.09</v>
      </c>
      <c r="D34" s="317"/>
    </row>
    <row r="35" spans="1:4">
      <c r="A35">
        <v>89.99</v>
      </c>
      <c r="B35">
        <v>94</v>
      </c>
      <c r="C35" s="50">
        <v>0.11</v>
      </c>
      <c r="D35" s="317"/>
    </row>
    <row r="36" spans="1:4">
      <c r="A36">
        <v>94.99</v>
      </c>
      <c r="B36">
        <v>122</v>
      </c>
      <c r="C36" s="48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9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9" ht="18">
      <c r="D4" s="53"/>
      <c r="E4" s="53"/>
      <c r="F4" s="64"/>
      <c r="G4" s="65"/>
      <c r="I4" s="66"/>
    </row>
    <row r="5" spans="1:9" ht="18">
      <c r="A5" s="125" t="s">
        <v>144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138" t="s">
        <v>147</v>
      </c>
      <c r="H8" s="138" t="s">
        <v>147</v>
      </c>
      <c r="I8" s="83"/>
    </row>
    <row r="10" spans="1:9">
      <c r="F10" s="70"/>
    </row>
    <row r="11" spans="1:9">
      <c r="A11" s="71"/>
      <c r="B11" s="71"/>
      <c r="C11" s="71" t="s">
        <v>148</v>
      </c>
      <c r="F11" s="72" t="s">
        <v>149</v>
      </c>
      <c r="G11" s="47" t="s">
        <v>150</v>
      </c>
      <c r="H11" s="47" t="s">
        <v>130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151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152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153</v>
      </c>
    </row>
    <row r="16" spans="1:9">
      <c r="F16" s="75"/>
      <c r="G16" s="133"/>
      <c r="H16" s="133"/>
      <c r="I16" t="s">
        <v>154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155</v>
      </c>
      <c r="F19">
        <f>COUNT(F13:F15)</f>
        <v>2</v>
      </c>
      <c r="G19">
        <f>COUNT(G13:G15)</f>
        <v>2</v>
      </c>
    </row>
    <row r="21" spans="3:9">
      <c r="C21" t="s">
        <v>156</v>
      </c>
      <c r="F21" s="74"/>
      <c r="I21" t="s">
        <v>157</v>
      </c>
    </row>
    <row r="23" spans="3:9">
      <c r="C23" t="s">
        <v>158</v>
      </c>
      <c r="F23" s="78"/>
      <c r="G23" s="134"/>
      <c r="H23" s="79"/>
      <c r="I23" t="s">
        <v>159</v>
      </c>
    </row>
    <row r="24" spans="3:9">
      <c r="C24" t="s">
        <v>160</v>
      </c>
      <c r="F24" s="80"/>
      <c r="G24" s="134"/>
      <c r="H24" s="79"/>
    </row>
    <row r="25" spans="3:9">
      <c r="C25" t="s">
        <v>161</v>
      </c>
      <c r="F25" s="79"/>
      <c r="G25" s="135"/>
      <c r="H25" s="79"/>
    </row>
    <row r="26" spans="3:9">
      <c r="C26" t="s">
        <v>162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163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164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165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51" t="str">
        <f>Index!$C$1</f>
        <v>THE DREHER FAMILY SUPERANNUATION FUND</v>
      </c>
      <c r="C1" s="351"/>
      <c r="D1" s="351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51" t="str">
        <f>Index!$C$2</f>
        <v>DREA</v>
      </c>
      <c r="C2" s="351"/>
      <c r="D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customFormat="1" ht="18">
      <c r="A3" s="123" t="s">
        <v>8</v>
      </c>
      <c r="B3" s="352">
        <f>Index!$C$3</f>
        <v>45107</v>
      </c>
      <c r="C3" s="352"/>
      <c r="D3" s="352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166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60" t="s">
        <v>167</v>
      </c>
      <c r="B8" s="361"/>
      <c r="C8" s="165" t="s">
        <v>168</v>
      </c>
      <c r="D8" s="165" t="s">
        <v>169</v>
      </c>
      <c r="E8" s="165" t="s">
        <v>170</v>
      </c>
      <c r="F8" s="165" t="s">
        <v>171</v>
      </c>
      <c r="G8" s="165" t="s">
        <v>172</v>
      </c>
      <c r="H8" s="165" t="s">
        <v>173</v>
      </c>
      <c r="I8" s="166" t="s">
        <v>174</v>
      </c>
    </row>
    <row r="9" spans="1:10" s="145" customFormat="1" ht="15">
      <c r="A9" s="167" t="s">
        <v>175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176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177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178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179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60" t="s">
        <v>180</v>
      </c>
      <c r="B15" s="407"/>
      <c r="C15" s="165" t="s">
        <v>168</v>
      </c>
      <c r="D15" s="165" t="s">
        <v>169</v>
      </c>
      <c r="E15" s="165" t="s">
        <v>170</v>
      </c>
      <c r="F15" s="165" t="s">
        <v>171</v>
      </c>
      <c r="G15" s="165" t="s">
        <v>172</v>
      </c>
      <c r="H15" s="165" t="s">
        <v>173</v>
      </c>
      <c r="I15" s="166" t="s">
        <v>174</v>
      </c>
    </row>
    <row r="16" spans="1:10" s="145" customFormat="1" ht="15">
      <c r="A16" s="177" t="s">
        <v>175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176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177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181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179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62" t="s">
        <v>182</v>
      </c>
      <c r="B22" s="363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183</v>
      </c>
      <c r="B24" s="146"/>
      <c r="G24" s="146"/>
    </row>
    <row r="25" spans="1:9" s="145" customFormat="1" ht="15">
      <c r="B25" s="146"/>
      <c r="C25" s="358" t="s">
        <v>184</v>
      </c>
      <c r="D25" s="358"/>
      <c r="E25" s="358" t="s">
        <v>185</v>
      </c>
      <c r="F25" s="358"/>
      <c r="G25" s="359" t="s">
        <v>186</v>
      </c>
      <c r="H25" s="359"/>
    </row>
    <row r="26" spans="1:9" s="145" customFormat="1" ht="15">
      <c r="A26" s="147" t="s">
        <v>3</v>
      </c>
      <c r="B26" s="145" t="s">
        <v>187</v>
      </c>
      <c r="C26" s="145" t="s">
        <v>168</v>
      </c>
      <c r="D26" s="145" t="s">
        <v>169</v>
      </c>
      <c r="E26" s="145" t="s">
        <v>168</v>
      </c>
      <c r="F26" s="145" t="s">
        <v>169</v>
      </c>
      <c r="G26" s="145" t="s">
        <v>168</v>
      </c>
      <c r="H26" s="145" t="s">
        <v>169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130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188</v>
      </c>
      <c r="H41" s="154">
        <f>I22+H39</f>
        <v>0</v>
      </c>
    </row>
    <row r="42" spans="1:8" s="145" customFormat="1" ht="15">
      <c r="A42" s="147"/>
      <c r="B42" s="155" t="s">
        <v>189</v>
      </c>
      <c r="C42" s="156">
        <f>I13</f>
        <v>0</v>
      </c>
      <c r="D42" s="157"/>
    </row>
    <row r="43" spans="1:8" s="145" customFormat="1" ht="15">
      <c r="A43" s="147"/>
      <c r="B43" s="158" t="s">
        <v>190</v>
      </c>
      <c r="C43" s="153">
        <f>I20</f>
        <v>0</v>
      </c>
      <c r="D43" s="159"/>
    </row>
    <row r="44" spans="1:8" s="145" customFormat="1" ht="15">
      <c r="A44" s="147"/>
      <c r="B44" s="160" t="s">
        <v>186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191</v>
      </c>
      <c r="C46" s="154">
        <v>0</v>
      </c>
      <c r="D46" s="159"/>
    </row>
    <row r="47" spans="1:8" s="145" customFormat="1" ht="15.75" thickBot="1">
      <c r="A47" s="147"/>
      <c r="B47" s="161" t="s">
        <v>192</v>
      </c>
      <c r="C47" s="162">
        <f>C46-C44</f>
        <v>0</v>
      </c>
      <c r="D47" s="163" t="s">
        <v>193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>
      <selection activeCell="C26" sqref="C26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145</v>
      </c>
      <c r="B8" s="355" t="s">
        <v>146</v>
      </c>
      <c r="C8" s="356"/>
      <c r="D8" s="357"/>
      <c r="E8" s="138" t="s">
        <v>147</v>
      </c>
      <c r="F8" s="138" t="s">
        <v>147</v>
      </c>
      <c r="G8" s="138" t="s">
        <v>147</v>
      </c>
      <c r="H8" s="355" t="s">
        <v>195</v>
      </c>
      <c r="I8" s="357"/>
    </row>
    <row r="11" spans="1:10">
      <c r="A11" s="77"/>
      <c r="B11" s="77"/>
      <c r="C11" s="77" t="s">
        <v>196</v>
      </c>
      <c r="E11" s="47" t="s">
        <v>197</v>
      </c>
      <c r="F11" s="85" t="s">
        <v>198</v>
      </c>
      <c r="G11" s="85" t="s">
        <v>199</v>
      </c>
    </row>
    <row r="12" spans="1:10">
      <c r="C12" t="s">
        <v>200</v>
      </c>
      <c r="E12" s="93"/>
      <c r="F12" s="93"/>
      <c r="G12" s="93">
        <f>+E12-F12</f>
        <v>0</v>
      </c>
      <c r="H12" s="93"/>
    </row>
    <row r="13" spans="1:10">
      <c r="C13" t="s">
        <v>201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202</v>
      </c>
    </row>
    <row r="17" spans="1:1">
      <c r="A17" s="43" t="s">
        <v>203</v>
      </c>
    </row>
    <row r="18" spans="1:1">
      <c r="A18" s="43" t="s">
        <v>204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355" t="s">
        <v>195</v>
      </c>
      <c r="H8" s="364"/>
      <c r="I8" s="365"/>
    </row>
    <row r="10" spans="1:10">
      <c r="F10" s="80"/>
    </row>
    <row r="11" spans="1:10">
      <c r="C11" t="s">
        <v>206</v>
      </c>
      <c r="F11" s="93"/>
      <c r="G11" s="43" t="s">
        <v>207</v>
      </c>
    </row>
    <row r="12" spans="1:10">
      <c r="C12" t="s">
        <v>208</v>
      </c>
      <c r="F12" s="116"/>
    </row>
    <row r="13" spans="1:10">
      <c r="C13" t="s">
        <v>209</v>
      </c>
      <c r="F13" s="93">
        <f>+F11-F12</f>
        <v>0</v>
      </c>
      <c r="H13" t="s">
        <v>210</v>
      </c>
      <c r="I13" s="96" t="e">
        <f>+F13/F12</f>
        <v>#DIV/0!</v>
      </c>
    </row>
    <row r="14" spans="1:10">
      <c r="C14" s="311" t="s">
        <v>211</v>
      </c>
      <c r="F14" s="313">
        <f>G45</f>
        <v>0</v>
      </c>
    </row>
    <row r="15" spans="1:10">
      <c r="C15" s="43" t="s">
        <v>212</v>
      </c>
      <c r="F15" s="312"/>
      <c r="H15" s="43" t="s">
        <v>213</v>
      </c>
      <c r="I15" s="43" t="e">
        <f>+F15/F12</f>
        <v>#DIV/0!</v>
      </c>
      <c r="J15" s="43" t="s">
        <v>214</v>
      </c>
    </row>
    <row r="16" spans="1:10">
      <c r="F16" s="95"/>
      <c r="H16" s="43"/>
      <c r="I16" s="97"/>
    </row>
    <row r="17" spans="3:7">
      <c r="C17" t="s">
        <v>215</v>
      </c>
      <c r="F17"/>
    </row>
    <row r="18" spans="3:7">
      <c r="C18" t="s">
        <v>216</v>
      </c>
    </row>
    <row r="19" spans="3:7">
      <c r="C19" t="s">
        <v>217</v>
      </c>
    </row>
    <row r="22" spans="3:7">
      <c r="C22" s="98" t="s">
        <v>218</v>
      </c>
      <c r="E22" s="47" t="s">
        <v>219</v>
      </c>
      <c r="F22" s="47" t="s">
        <v>220</v>
      </c>
      <c r="G22" s="99" t="s">
        <v>221</v>
      </c>
    </row>
    <row r="23" spans="3:7">
      <c r="C23" t="s">
        <v>222</v>
      </c>
      <c r="E23" s="93"/>
      <c r="F23" s="93"/>
      <c r="G23" s="93">
        <f t="shared" ref="G23:G44" si="0">+E23-F23</f>
        <v>0</v>
      </c>
    </row>
    <row r="24" spans="3:7">
      <c r="C24" t="s">
        <v>223</v>
      </c>
      <c r="E24" s="93"/>
      <c r="F24" s="93"/>
      <c r="G24" s="93">
        <f t="shared" si="0"/>
        <v>0</v>
      </c>
    </row>
    <row r="25" spans="3:7">
      <c r="C25" t="s">
        <v>224</v>
      </c>
      <c r="E25" s="93"/>
      <c r="F25" s="93"/>
      <c r="G25" s="93">
        <f t="shared" si="0"/>
        <v>0</v>
      </c>
    </row>
    <row r="26" spans="3:7">
      <c r="C26" t="s">
        <v>225</v>
      </c>
      <c r="E26" s="93"/>
      <c r="F26" s="93"/>
      <c r="G26" s="93">
        <f t="shared" si="0"/>
        <v>0</v>
      </c>
    </row>
    <row r="27" spans="3:7">
      <c r="C27" t="s">
        <v>226</v>
      </c>
      <c r="E27" s="93"/>
      <c r="F27" s="93"/>
      <c r="G27" s="93">
        <f t="shared" si="0"/>
        <v>0</v>
      </c>
    </row>
    <row r="28" spans="3:7">
      <c r="C28" t="s">
        <v>227</v>
      </c>
      <c r="E28" s="93"/>
      <c r="F28" s="93"/>
      <c r="G28" s="93">
        <f t="shared" si="0"/>
        <v>0</v>
      </c>
    </row>
    <row r="29" spans="3:7">
      <c r="C29" t="s">
        <v>228</v>
      </c>
      <c r="E29" s="93"/>
      <c r="F29" s="93"/>
      <c r="G29" s="93">
        <f t="shared" si="0"/>
        <v>0</v>
      </c>
    </row>
    <row r="30" spans="3:7">
      <c r="C30" t="s">
        <v>229</v>
      </c>
      <c r="E30" s="93"/>
      <c r="F30" s="93"/>
      <c r="G30" s="93">
        <f t="shared" si="0"/>
        <v>0</v>
      </c>
    </row>
    <row r="31" spans="3:7">
      <c r="C31" t="s">
        <v>230</v>
      </c>
      <c r="E31" s="93"/>
      <c r="F31" s="93"/>
      <c r="G31" s="93">
        <f t="shared" si="0"/>
        <v>0</v>
      </c>
    </row>
    <row r="32" spans="3:7">
      <c r="C32" t="s">
        <v>231</v>
      </c>
      <c r="E32" s="93"/>
      <c r="F32" s="93"/>
      <c r="G32" s="93">
        <f t="shared" si="0"/>
        <v>0</v>
      </c>
    </row>
    <row r="33" spans="3:7">
      <c r="C33" t="s">
        <v>232</v>
      </c>
      <c r="E33" s="93"/>
      <c r="F33" s="93"/>
      <c r="G33" s="93">
        <f t="shared" si="0"/>
        <v>0</v>
      </c>
    </row>
    <row r="34" spans="3:7">
      <c r="C34" t="s">
        <v>233</v>
      </c>
      <c r="E34" s="93"/>
      <c r="F34" s="93"/>
      <c r="G34" s="93">
        <f t="shared" si="0"/>
        <v>0</v>
      </c>
    </row>
    <row r="35" spans="3:7">
      <c r="C35" t="s">
        <v>234</v>
      </c>
      <c r="E35" s="93"/>
      <c r="F35" s="93"/>
      <c r="G35" s="93">
        <f t="shared" si="0"/>
        <v>0</v>
      </c>
    </row>
    <row r="36" spans="3:7">
      <c r="C36" t="s">
        <v>235</v>
      </c>
      <c r="E36" s="93"/>
      <c r="F36" s="93"/>
      <c r="G36" s="93">
        <f t="shared" si="0"/>
        <v>0</v>
      </c>
    </row>
    <row r="37" spans="3:7">
      <c r="C37" t="s">
        <v>236</v>
      </c>
      <c r="E37" s="93"/>
      <c r="F37" s="93"/>
      <c r="G37" s="93">
        <f t="shared" si="0"/>
        <v>0</v>
      </c>
    </row>
    <row r="38" spans="3:7">
      <c r="C38" t="s">
        <v>237</v>
      </c>
      <c r="E38" s="93"/>
      <c r="F38" s="93"/>
      <c r="G38" s="93">
        <f t="shared" si="0"/>
        <v>0</v>
      </c>
    </row>
    <row r="39" spans="3:7">
      <c r="C39" t="s">
        <v>238</v>
      </c>
      <c r="E39" s="93"/>
      <c r="F39" s="93"/>
      <c r="G39" s="93">
        <f t="shared" si="0"/>
        <v>0</v>
      </c>
    </row>
    <row r="40" spans="3:7">
      <c r="C40" t="s">
        <v>239</v>
      </c>
      <c r="E40" s="93"/>
      <c r="F40" s="93"/>
      <c r="G40" s="93">
        <f t="shared" si="0"/>
        <v>0</v>
      </c>
    </row>
    <row r="41" spans="3:7">
      <c r="C41" t="s">
        <v>240</v>
      </c>
      <c r="E41" s="93"/>
      <c r="F41" s="93"/>
      <c r="G41" s="93">
        <f t="shared" si="0"/>
        <v>0</v>
      </c>
    </row>
    <row r="42" spans="3:7">
      <c r="C42" t="s">
        <v>241</v>
      </c>
      <c r="E42" s="93"/>
      <c r="F42" s="93"/>
      <c r="G42" s="93">
        <f t="shared" si="0"/>
        <v>0</v>
      </c>
    </row>
    <row r="43" spans="3:7">
      <c r="C43" t="s">
        <v>242</v>
      </c>
      <c r="E43" s="93"/>
      <c r="F43" s="93"/>
      <c r="G43" s="93">
        <f t="shared" si="0"/>
        <v>0</v>
      </c>
    </row>
    <row r="44" spans="3:7">
      <c r="C44" t="s">
        <v>243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4C9FF"/>
  </sheetPr>
  <dimension ref="A1:J33"/>
  <sheetViews>
    <sheetView workbookViewId="0">
      <selection activeCell="O9" sqref="O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51" t="str">
        <f>Index!$C$1</f>
        <v>THE DREHER FAMILY SUPERANNUATION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51" t="str">
        <f>Index!$C$2</f>
        <v>DREA</v>
      </c>
      <c r="D2" s="351"/>
      <c r="E2" s="351"/>
      <c r="F2" s="55"/>
      <c r="G2" s="59" t="s">
        <v>6</v>
      </c>
      <c r="H2" s="60" t="str">
        <f>Index!$H$2</f>
        <v>MG</v>
      </c>
      <c r="I2" s="61">
        <f>Index!$I$2</f>
        <v>45195</v>
      </c>
    </row>
    <row r="3" spans="1:10" ht="18">
      <c r="A3" s="123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45202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244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145</v>
      </c>
      <c r="B8" s="355" t="s">
        <v>146</v>
      </c>
      <c r="C8" s="356"/>
      <c r="D8" s="356"/>
      <c r="E8" s="357"/>
      <c r="F8" s="138" t="s">
        <v>147</v>
      </c>
      <c r="G8" s="355" t="s">
        <v>195</v>
      </c>
      <c r="H8" s="364"/>
      <c r="I8" s="365"/>
    </row>
    <row r="10" spans="1:10">
      <c r="A10" s="269"/>
      <c r="F10" s="70"/>
    </row>
    <row r="11" spans="1:10">
      <c r="C11" s="77" t="s">
        <v>245</v>
      </c>
      <c r="F11" s="70"/>
    </row>
    <row r="12" spans="1:10">
      <c r="C12" t="s">
        <v>246</v>
      </c>
      <c r="F12" s="70">
        <v>310979.86</v>
      </c>
    </row>
    <row r="13" spans="1:10">
      <c r="C13" t="s">
        <v>247</v>
      </c>
      <c r="F13" s="70">
        <v>579491</v>
      </c>
    </row>
    <row r="14" spans="1:10">
      <c r="C14" t="s">
        <v>248</v>
      </c>
      <c r="F14" s="70">
        <v>200511.42</v>
      </c>
    </row>
    <row r="15" spans="1:10">
      <c r="F15" s="268">
        <f>SUM(F12:F14)</f>
        <v>1090982.28</v>
      </c>
    </row>
    <row r="16" spans="1:10">
      <c r="F16" s="70"/>
    </row>
    <row r="17" spans="3:10">
      <c r="C17" s="77" t="s">
        <v>249</v>
      </c>
      <c r="F17" s="70"/>
    </row>
    <row r="18" spans="3:10">
      <c r="C18" t="s">
        <v>250</v>
      </c>
      <c r="F18" s="70">
        <f>1212676.03-121693.16</f>
        <v>1090982.8700000001</v>
      </c>
    </row>
    <row r="19" spans="3:10">
      <c r="C19" t="s">
        <v>251</v>
      </c>
      <c r="F19" s="70"/>
    </row>
    <row r="20" spans="3:10">
      <c r="C20" t="s">
        <v>252</v>
      </c>
      <c r="F20" s="70"/>
    </row>
    <row r="21" spans="3:10">
      <c r="F21" s="268">
        <f>SUM(F18:F20)</f>
        <v>1090982.8700000001</v>
      </c>
    </row>
    <row r="22" spans="3:10">
      <c r="F22" s="70"/>
    </row>
    <row r="23" spans="3:10">
      <c r="C23" t="s">
        <v>212</v>
      </c>
      <c r="F23" s="70">
        <f>+F15-F21</f>
        <v>-0.59000000008381903</v>
      </c>
      <c r="H23" s="43" t="s">
        <v>213</v>
      </c>
      <c r="I23" s="97">
        <f>F23/F15</f>
        <v>-5.4079705133599327E-7</v>
      </c>
      <c r="J23" s="43" t="s">
        <v>214</v>
      </c>
    </row>
    <row r="24" spans="3:10">
      <c r="F24" s="70"/>
    </row>
    <row r="25" spans="3:10">
      <c r="F25" s="70"/>
    </row>
    <row r="26" spans="3:10">
      <c r="C26" s="43" t="s">
        <v>253</v>
      </c>
      <c r="F26" s="70"/>
    </row>
    <row r="27" spans="3:10" ht="30">
      <c r="C27" s="264" t="s">
        <v>218</v>
      </c>
      <c r="D27" s="265"/>
      <c r="E27" s="266" t="s">
        <v>254</v>
      </c>
      <c r="F27" s="266" t="s">
        <v>255</v>
      </c>
      <c r="G27" s="267" t="s">
        <v>221</v>
      </c>
    </row>
    <row r="28" spans="3:10">
      <c r="E28" s="100"/>
      <c r="F28" s="100"/>
      <c r="G28" s="91">
        <f t="shared" ref="G28:G31" si="0">+E28-F28</f>
        <v>0</v>
      </c>
    </row>
    <row r="29" spans="3:10">
      <c r="C29" t="s">
        <v>256</v>
      </c>
      <c r="E29" s="100"/>
      <c r="F29" s="100"/>
      <c r="G29" s="91">
        <f t="shared" si="0"/>
        <v>0</v>
      </c>
    </row>
    <row r="30" spans="3:10">
      <c r="C30" t="s">
        <v>257</v>
      </c>
      <c r="E30" s="100"/>
      <c r="F30" s="100"/>
      <c r="G30" s="91">
        <f t="shared" si="0"/>
        <v>0</v>
      </c>
    </row>
    <row r="31" spans="3:10">
      <c r="C31" t="s">
        <v>258</v>
      </c>
      <c r="E31" s="100"/>
      <c r="F31" s="100"/>
      <c r="G31" s="91">
        <f t="shared" si="0"/>
        <v>0</v>
      </c>
    </row>
    <row r="32" spans="3:10" ht="15.75" thickBot="1">
      <c r="E32" s="143">
        <f>SUM(E28:E31)</f>
        <v>0</v>
      </c>
      <c r="F32" s="143">
        <f>SUM(F28:F31)</f>
        <v>0</v>
      </c>
      <c r="G32" s="143">
        <f>SUM(G28:G31)</f>
        <v>0</v>
      </c>
    </row>
    <row r="33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1" ma:contentTypeDescription="Create a new document." ma:contentTypeScope="" ma:versionID="3bddeba116a4ec040b6c3dcc7b8511ce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4d9a52abddecc8bdf8c1d34b3d3bcb12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38FC5AA1-5570-45CF-A4F5-F16DF7486450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2023-10-09T00:38:06Z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