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T\Tomas\6. Tomas Superannuation Fund\2019\Workpapers\"/>
    </mc:Choice>
  </mc:AlternateContent>
  <bookViews>
    <workbookView xWindow="0" yWindow="0" windowWidth="11670" windowHeight="5910" activeTab="2"/>
  </bookViews>
  <sheets>
    <sheet name="Permanent File" sheetId="5" r:id="rId1"/>
    <sheet name="Audit" sheetId="6" r:id="rId2"/>
    <sheet name="Balance Sheet " sheetId="1" r:id="rId3"/>
    <sheet name="Operating Statement" sheetId="3" r:id="rId4"/>
    <sheet name="Investment Summary" sheetId="4" r:id="rId5"/>
    <sheet name="Tax Reconciliation" sheetId="2" r:id="rId6"/>
    <sheet name="Deferred Tax Reconciliation" sheetId="7" r:id="rId7"/>
  </sheets>
  <calcPr calcId="152511"/>
</workbook>
</file>

<file path=xl/calcChain.xml><?xml version="1.0" encoding="utf-8"?>
<calcChain xmlns="http://schemas.openxmlformats.org/spreadsheetml/2006/main">
  <c r="O42" i="3" l="1"/>
  <c r="C21" i="2"/>
  <c r="K15" i="4" l="1"/>
  <c r="V21" i="3"/>
  <c r="G22" i="1" l="1"/>
  <c r="G40" i="3" l="1"/>
  <c r="C6" i="2" l="1"/>
  <c r="Y9" i="3"/>
  <c r="J40" i="3"/>
  <c r="G7" i="3"/>
  <c r="N12" i="4"/>
  <c r="J37" i="3" l="1"/>
  <c r="J41" i="3" s="1"/>
  <c r="J12" i="3"/>
  <c r="G12" i="3"/>
  <c r="J13" i="1"/>
  <c r="J22" i="1"/>
  <c r="G13" i="1"/>
  <c r="A1" i="7"/>
  <c r="A1" i="6" l="1"/>
  <c r="A1" i="5" l="1"/>
  <c r="K10" i="4" l="1"/>
  <c r="J10" i="4"/>
  <c r="K8" i="4"/>
  <c r="J8" i="4"/>
  <c r="A1" i="4"/>
  <c r="J11" i="4" l="1"/>
  <c r="F7" i="7"/>
  <c r="D7" i="7" s="1"/>
  <c r="J12" i="4"/>
  <c r="J13" i="4" s="1"/>
  <c r="K11" i="4"/>
  <c r="K12" i="4" s="1"/>
  <c r="K13" i="4" s="1"/>
  <c r="F9" i="7"/>
  <c r="D9" i="7" s="1"/>
  <c r="D10" i="7" l="1"/>
  <c r="D14" i="7" s="1"/>
  <c r="A1" i="2"/>
  <c r="H7" i="2"/>
  <c r="H9" i="2"/>
  <c r="H6" i="2"/>
  <c r="C8" i="2"/>
  <c r="C7" i="2"/>
  <c r="G37" i="3"/>
  <c r="G41" i="3" s="1"/>
  <c r="G17" i="3"/>
  <c r="G23" i="3" s="1"/>
  <c r="J17" i="3"/>
  <c r="J22" i="3"/>
  <c r="G22" i="3"/>
  <c r="A1" i="3"/>
  <c r="G13" i="3"/>
  <c r="J13" i="3"/>
  <c r="J23" i="3" s="1"/>
  <c r="G45" i="3"/>
  <c r="J45" i="3"/>
  <c r="H8" i="2"/>
  <c r="J32" i="1"/>
  <c r="G32" i="1"/>
  <c r="J10" i="1"/>
  <c r="G10" i="1"/>
  <c r="D15" i="7" l="1"/>
  <c r="J47" i="3"/>
  <c r="H17" i="2"/>
  <c r="C17" i="2"/>
  <c r="G47" i="3" l="1"/>
  <c r="C19" i="2"/>
  <c r="C23" i="2" l="1"/>
  <c r="J14" i="1"/>
  <c r="J26" i="1" s="1"/>
  <c r="J34" i="1" s="1"/>
  <c r="G14" i="1"/>
  <c r="G26" i="1" s="1"/>
  <c r="G34" i="1" s="1"/>
  <c r="C32" i="2" l="1"/>
  <c r="C43" i="2"/>
  <c r="C44" i="2" s="1"/>
  <c r="C34" i="2" l="1"/>
  <c r="C33" i="2"/>
</calcChain>
</file>

<file path=xl/sharedStrings.xml><?xml version="1.0" encoding="utf-8"?>
<sst xmlns="http://schemas.openxmlformats.org/spreadsheetml/2006/main" count="197" uniqueCount="178">
  <si>
    <t>Statement of Financial Position</t>
  </si>
  <si>
    <t>Assets</t>
  </si>
  <si>
    <t>Investments</t>
  </si>
  <si>
    <t>Direct Property</t>
  </si>
  <si>
    <t>Other Assets</t>
  </si>
  <si>
    <t>Total Investments</t>
  </si>
  <si>
    <t>Bank</t>
  </si>
  <si>
    <t>Total Other Assets</t>
  </si>
  <si>
    <t>Liabilities</t>
  </si>
  <si>
    <t>Other Taxes Payable</t>
  </si>
  <si>
    <t>Total Liabilities</t>
  </si>
  <si>
    <t>Net Assets</t>
  </si>
  <si>
    <t>Total Net Assets</t>
  </si>
  <si>
    <t>Total Assets</t>
  </si>
  <si>
    <t>Member Entitlements</t>
  </si>
  <si>
    <t>Total Member Entitlements</t>
  </si>
  <si>
    <t>Income Tax Reconciliation</t>
  </si>
  <si>
    <t>Income</t>
  </si>
  <si>
    <t>Expenses</t>
  </si>
  <si>
    <t>Concessional Contributions</t>
  </si>
  <si>
    <t>Interest Paid - Australia</t>
  </si>
  <si>
    <t>Interest</t>
  </si>
  <si>
    <t>Administrative Expenses</t>
  </si>
  <si>
    <t>Audit Expense</t>
  </si>
  <si>
    <t>Investment Expenses</t>
  </si>
  <si>
    <t>TOTAL</t>
  </si>
  <si>
    <t>Taxable Income/(Loss)</t>
  </si>
  <si>
    <t>Tax @ 15%</t>
  </si>
  <si>
    <t>Provision for Income Tax</t>
  </si>
  <si>
    <t>Add Adjustments:</t>
  </si>
  <si>
    <t>Nil</t>
  </si>
  <si>
    <t>Less Adjustments:</t>
  </si>
  <si>
    <t>check</t>
  </si>
  <si>
    <t>Net Profit/(Loss) Total</t>
  </si>
  <si>
    <t>Total Expenses</t>
  </si>
  <si>
    <t>Total Income Tax Expense</t>
  </si>
  <si>
    <t>Income Tax Expense</t>
  </si>
  <si>
    <t>Income Tax</t>
  </si>
  <si>
    <t>Total Other Expenses</t>
  </si>
  <si>
    <t>Regulatory Fee</t>
  </si>
  <si>
    <t>Interest Paid</t>
  </si>
  <si>
    <t>Bank Fees</t>
  </si>
  <si>
    <t>Audit Fees</t>
  </si>
  <si>
    <t>Accounting Fees</t>
  </si>
  <si>
    <t>Other Expenses</t>
  </si>
  <si>
    <t>Total Income</t>
  </si>
  <si>
    <t>Total Investment Income</t>
  </si>
  <si>
    <t>Investment Income</t>
  </si>
  <si>
    <t>Total Member Receipts</t>
  </si>
  <si>
    <t>Total Contributions</t>
  </si>
  <si>
    <t>Member</t>
  </si>
  <si>
    <t>Employer</t>
  </si>
  <si>
    <t>Contributions</t>
  </si>
  <si>
    <t>Ref/Notes</t>
  </si>
  <si>
    <t>Member Receipts</t>
  </si>
  <si>
    <t>Operating Statement</t>
  </si>
  <si>
    <t>Rent</t>
  </si>
  <si>
    <t>Borrowing Expenses</t>
  </si>
  <si>
    <t>Penalty Interest Paid</t>
  </si>
  <si>
    <t>Property Expenses</t>
  </si>
  <si>
    <t>Supervisory Levy</t>
  </si>
  <si>
    <t>Rounding</t>
  </si>
  <si>
    <t>Income Tax Refundable</t>
  </si>
  <si>
    <t>Unrealised Accounting Gain/(Loss)</t>
  </si>
  <si>
    <t>Maket Value</t>
  </si>
  <si>
    <t>Accounting Cost</t>
  </si>
  <si>
    <t>Market Price</t>
  </si>
  <si>
    <t>Avg Cost Price</t>
  </si>
  <si>
    <t>Units</t>
  </si>
  <si>
    <t>Investment</t>
  </si>
  <si>
    <t>Investment Summary</t>
  </si>
  <si>
    <t>Property Direct Market</t>
  </si>
  <si>
    <t>Property Documentation</t>
  </si>
  <si>
    <t>Bare Trust Deed</t>
  </si>
  <si>
    <t>Other</t>
  </si>
  <si>
    <t>Investment Strategy</t>
  </si>
  <si>
    <t>Death Benefit Nomination</t>
  </si>
  <si>
    <t>Membership Application</t>
  </si>
  <si>
    <t>Director Consents</t>
  </si>
  <si>
    <t>ATO Trustee Declarations</t>
  </si>
  <si>
    <t>Trust Deed</t>
  </si>
  <si>
    <t>Permanent File Documents</t>
  </si>
  <si>
    <t>Audit Checklist</t>
  </si>
  <si>
    <t>Auditor Workpapers</t>
  </si>
  <si>
    <t>ATO Reports</t>
  </si>
  <si>
    <t>SMSF AR Validation</t>
  </si>
  <si>
    <t>Exceptions Report</t>
  </si>
  <si>
    <t>Prior Year Audit Report</t>
  </si>
  <si>
    <t>Prior Year Financial Statements</t>
  </si>
  <si>
    <t>Audit Information</t>
  </si>
  <si>
    <t>Regulation 4.09 &amp; 4.09A - Investment Strategy</t>
  </si>
  <si>
    <t>Regulation 8.02(B) - Assets valued at Market Value</t>
  </si>
  <si>
    <t>Matters Noted</t>
  </si>
  <si>
    <t>Deferred Tax Reconciliation</t>
  </si>
  <si>
    <t>Actuarial Percentage</t>
  </si>
  <si>
    <t>Cost Base</t>
  </si>
  <si>
    <t>Market Value</t>
  </si>
  <si>
    <t>Tax Effect %</t>
  </si>
  <si>
    <t>Deferred Tax Liability</t>
  </si>
  <si>
    <t>Deferred Tax Liability/(Asset)</t>
  </si>
  <si>
    <t>Government Co-Contributions</t>
  </si>
  <si>
    <t>Investment Gains</t>
  </si>
  <si>
    <t>Increase in Market Value</t>
  </si>
  <si>
    <t>Total Investment Gains</t>
  </si>
  <si>
    <t>refer Investment Summary tab</t>
  </si>
  <si>
    <t>refer Deferred Tax Rec tab</t>
  </si>
  <si>
    <t>refer Tax Rec tab</t>
  </si>
  <si>
    <t>Income Tax Payable</t>
  </si>
  <si>
    <t>NIL</t>
  </si>
  <si>
    <t>AI01.00 Exceptions Report.pdf</t>
  </si>
  <si>
    <t>Tomas Superannuation Fund</t>
  </si>
  <si>
    <t>For the Year Ended 30 June 2019</t>
  </si>
  <si>
    <t>For the Period 1 July 2018 to 30 June 2019</t>
  </si>
  <si>
    <t>As At 30 June 2019</t>
  </si>
  <si>
    <t>Investment Cash Account #6697</t>
  </si>
  <si>
    <t>28 Allied Drive, Tullamarine</t>
  </si>
  <si>
    <t>2.00 Bank of Melbourne 2019 FY.pdf</t>
  </si>
  <si>
    <t>3.00 Ppty Cost Base Reconciliation.xlsx</t>
  </si>
  <si>
    <t>3.03 28 Allied Drive - Valuation.pdf</t>
  </si>
  <si>
    <t>@ 40%</t>
  </si>
  <si>
    <t>Ivan Tomas</t>
  </si>
  <si>
    <t>Gabrielle Tomas</t>
  </si>
  <si>
    <t>4.00 2019 GST Rec.xlsx</t>
  </si>
  <si>
    <t>5.00 2019 Member Statement.pdf</t>
  </si>
  <si>
    <t>5.01 2019 Member Summary Report.pdf</t>
  </si>
  <si>
    <t>Total Rollovers In</t>
  </si>
  <si>
    <t>Rollovers In</t>
  </si>
  <si>
    <t>Investment Losses</t>
  </si>
  <si>
    <t>Decrease in Market Value</t>
  </si>
  <si>
    <t>Total Investment Losses</t>
  </si>
  <si>
    <t>6.00 Rollovers In GL.pdf</t>
  </si>
  <si>
    <t>6.01 Rollover Benefits Statement - Ivan Tomas.pdf</t>
  </si>
  <si>
    <t>6.02 Rollover Benefits Statement - Gabrielle Tomas.pdf</t>
  </si>
  <si>
    <t>7.00 2019 Contribution Cap Report.pdf</t>
  </si>
  <si>
    <t>7.01 2019 Client Summary - Employer Contributions.pdf</t>
  </si>
  <si>
    <t>7.02 2019 Notice of Intent - Ivan Tomas.pdf</t>
  </si>
  <si>
    <t>7.03 2019 Notice of Intent - Gabrielle Tomas.pdf</t>
  </si>
  <si>
    <t>8.00 2019 Investment Income Comparison Report.pdf</t>
  </si>
  <si>
    <t>9.00 Rental GL.pdf</t>
  </si>
  <si>
    <t>9.02 Lease Transfer (Copy).pdf</t>
  </si>
  <si>
    <t>10.00 2019 ASIC Fee.pdf</t>
  </si>
  <si>
    <t>11.00 Investment Revaluation Report.pdf</t>
  </si>
  <si>
    <t>2019 Income Tax Payable</t>
  </si>
  <si>
    <t>2019 Income Tax Expense</t>
  </si>
  <si>
    <t>12.00 2019 Statement of Taxable Income Report.pdf</t>
  </si>
  <si>
    <t>12.01 2019 Tax Accounting Reconciliation.pdf</t>
  </si>
  <si>
    <t>12.02 2019 Deferred Tax Reconciliation Statement.pdf</t>
  </si>
  <si>
    <t>for the year-ended 30 June 2019</t>
  </si>
  <si>
    <t>11.01 2019 Unrealised Capital Gains Report.pdf</t>
  </si>
  <si>
    <t>N/A</t>
  </si>
  <si>
    <t>Permanent File\PF01.00 Deed of Establishment.pdf</t>
  </si>
  <si>
    <t>AI03.00 Income Tax Account.pdf</t>
  </si>
  <si>
    <t>AI03.01 Integrated Client Account.pdf</t>
  </si>
  <si>
    <t>AI02.00 Validation Report.pdf</t>
  </si>
  <si>
    <t>AI04.00 General Ledger Audit Trail Report.pdf</t>
  </si>
  <si>
    <t>AI04.01 Trial Balance.pdf</t>
  </si>
  <si>
    <t>Other Creditors &amp; Accruals</t>
  </si>
  <si>
    <t>13.00 Rent In Advance.pdf</t>
  </si>
  <si>
    <t>13.01 2019 Client Summary - Rental In Advance.pdf</t>
  </si>
  <si>
    <t>9.01 Lease Notes.pdf</t>
  </si>
  <si>
    <t>Section 52(2) - Governing Rules</t>
  </si>
  <si>
    <t>- Updated investment strategy required</t>
  </si>
  <si>
    <t>- Property valued prior to acquisition. Valuation applied for the year ended 30 June 2019.</t>
  </si>
  <si>
    <t>Not provided - Trustees have advised that unable to locate original documents (thought to have been retained by previous accountant). Substitute Documents to be prepared</t>
  </si>
  <si>
    <t>- Fund established in 2018. Deed of Establishment on hand however Trustees have advised the remaining permanent file documents could not be located</t>
  </si>
  <si>
    <t xml:space="preserve"> These documents were not part of the permanent file received from the previous accountant who assisted on the establishment process.</t>
  </si>
  <si>
    <t xml:space="preserve">- Trustees believe it would not be possible to recover any further information from the previous accountant or the third-party company egagaged to prepare the documents. </t>
  </si>
  <si>
    <t xml:space="preserve"> - A decision was made to prepare substitute documents.</t>
  </si>
  <si>
    <t>Section 66 - Acquisition of Assets from Members</t>
  </si>
  <si>
    <t>- The Fund acquired a 40% share in the property at 28 Allied Drive, Tullamarine.</t>
  </si>
  <si>
    <t>- The property was acquired from one of the Member's siblings and is held under a Tenants in Common Structure with that Member (Gab Tomas)</t>
  </si>
  <si>
    <t>- The property is a business real property</t>
  </si>
  <si>
    <t>- A long form valuation was obtained prior to the acquisition and the property was purchased at market value</t>
  </si>
  <si>
    <t>- Tenants of the BRP are a related party of the SMSF. 6 months rent was received in advance. This was a result of instructions provided to the clients by their previous accountant.</t>
  </si>
  <si>
    <t>- Trustees have a rental agreement and intended for rent to be paid as per that agreement and on an arm's length basis.</t>
  </si>
  <si>
    <t>- Based on this, recognition of the additional rent has been deferred and only 9 months rent accounted for in the 2019 financial year.</t>
  </si>
  <si>
    <t>Other Matters - Rent in Advance</t>
  </si>
  <si>
    <t>refer 2019 Special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</si>
</sst>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sz val="8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43" fontId="0" fillId="0" borderId="0" xfId="1" applyFont="1"/>
    <xf numFmtId="43" fontId="0" fillId="0" borderId="0" xfId="0" applyNumberFormat="1"/>
    <xf numFmtId="0" fontId="16" fillId="0" borderId="0" xfId="0" applyFont="1" applyAlignment="1">
      <alignment horizontal="left"/>
    </xf>
    <xf numFmtId="43" fontId="0" fillId="0" borderId="10" xfId="1" applyFont="1" applyBorder="1"/>
    <xf numFmtId="43" fontId="16" fillId="0" borderId="0" xfId="1" applyFont="1"/>
    <xf numFmtId="43" fontId="16" fillId="0" borderId="11" xfId="1" applyFont="1" applyBorder="1"/>
    <xf numFmtId="43" fontId="16" fillId="0" borderId="12" xfId="0" applyNumberFormat="1" applyFont="1" applyBorder="1"/>
    <xf numFmtId="0" fontId="19" fillId="0" borderId="0" xfId="0" applyFont="1"/>
    <xf numFmtId="164" fontId="0" fillId="0" borderId="0" xfId="0" applyNumberFormat="1"/>
    <xf numFmtId="0" fontId="0" fillId="0" borderId="0" xfId="0" applyFont="1"/>
    <xf numFmtId="0" fontId="20" fillId="0" borderId="0" xfId="0" applyFont="1"/>
    <xf numFmtId="164" fontId="0" fillId="0" borderId="10" xfId="0" applyNumberFormat="1" applyBorder="1"/>
    <xf numFmtId="164" fontId="16" fillId="0" borderId="0" xfId="0" applyNumberFormat="1" applyFont="1"/>
    <xf numFmtId="0" fontId="21" fillId="0" borderId="0" xfId="0" applyFont="1"/>
    <xf numFmtId="0" fontId="22" fillId="0" borderId="0" xfId="43"/>
    <xf numFmtId="0" fontId="14" fillId="0" borderId="0" xfId="0" applyFont="1"/>
    <xf numFmtId="43" fontId="23" fillId="0" borderId="0" xfId="0" applyNumberFormat="1" applyFont="1"/>
    <xf numFmtId="0" fontId="23" fillId="0" borderId="0" xfId="0" applyFont="1"/>
    <xf numFmtId="43" fontId="16" fillId="0" borderId="12" xfId="1" applyFont="1" applyBorder="1" applyAlignment="1">
      <alignment horizontal="left"/>
    </xf>
    <xf numFmtId="43" fontId="0" fillId="0" borderId="0" xfId="1" applyFont="1" applyAlignment="1">
      <alignment horizontal="left"/>
    </xf>
    <xf numFmtId="43" fontId="16" fillId="0" borderId="11" xfId="1" applyFont="1" applyBorder="1" applyAlignment="1">
      <alignment horizontal="left"/>
    </xf>
    <xf numFmtId="43" fontId="22" fillId="0" borderId="0" xfId="43" applyNumberFormat="1" applyAlignment="1">
      <alignment horizontal="left"/>
    </xf>
    <xf numFmtId="43" fontId="16" fillId="0" borderId="0" xfId="1" applyFont="1" applyBorder="1" applyAlignment="1">
      <alignment horizontal="left"/>
    </xf>
    <xf numFmtId="43" fontId="0" fillId="0" borderId="10" xfId="1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Border="1" applyAlignment="1">
      <alignment horizontal="left"/>
    </xf>
    <xf numFmtId="0" fontId="0" fillId="0" borderId="0" xfId="0" applyBorder="1"/>
    <xf numFmtId="43" fontId="16" fillId="0" borderId="13" xfId="1" applyFont="1" applyBorder="1" applyAlignment="1">
      <alignment horizontal="left"/>
    </xf>
    <xf numFmtId="164" fontId="0" fillId="33" borderId="10" xfId="0" applyNumberFormat="1" applyFill="1" applyBorder="1"/>
    <xf numFmtId="43" fontId="0" fillId="0" borderId="0" xfId="1" applyFont="1" applyBorder="1"/>
    <xf numFmtId="43" fontId="16" fillId="0" borderId="12" xfId="1" applyFont="1" applyBorder="1"/>
    <xf numFmtId="43" fontId="0" fillId="0" borderId="11" xfId="0" applyNumberFormat="1" applyBorder="1"/>
    <xf numFmtId="43" fontId="0" fillId="0" borderId="13" xfId="0" applyNumberFormat="1" applyBorder="1"/>
    <xf numFmtId="43" fontId="16" fillId="0" borderId="13" xfId="0" applyNumberFormat="1" applyFont="1" applyBorder="1"/>
    <xf numFmtId="0" fontId="0" fillId="0" borderId="0" xfId="0" quotePrefix="1"/>
    <xf numFmtId="0" fontId="20" fillId="0" borderId="0" xfId="0" quotePrefix="1" applyFont="1"/>
    <xf numFmtId="43" fontId="22" fillId="0" borderId="0" xfId="43" applyNumberFormat="1"/>
    <xf numFmtId="0" fontId="18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44" fontId="0" fillId="0" borderId="0" xfId="44" applyFont="1"/>
    <xf numFmtId="9" fontId="0" fillId="33" borderId="0" xfId="45" applyFont="1" applyFill="1"/>
    <xf numFmtId="44" fontId="0" fillId="33" borderId="0" xfId="44" applyFont="1" applyFill="1"/>
    <xf numFmtId="44" fontId="0" fillId="0" borderId="11" xfId="0" applyNumberFormat="1" applyBorder="1"/>
    <xf numFmtId="44" fontId="0" fillId="0" borderId="12" xfId="0" applyNumberFormat="1" applyBorder="1"/>
    <xf numFmtId="43" fontId="23" fillId="0" borderId="0" xfId="1" applyFont="1"/>
    <xf numFmtId="43" fontId="22" fillId="0" borderId="10" xfId="43" applyNumberFormat="1" applyBorder="1"/>
    <xf numFmtId="44" fontId="14" fillId="0" borderId="0" xfId="44" applyFont="1"/>
    <xf numFmtId="0" fontId="20" fillId="0" borderId="0" xfId="43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4" fillId="0" borderId="0" xfId="0" quotePrefix="1" applyFont="1"/>
    <xf numFmtId="44" fontId="24" fillId="0" borderId="0" xfId="44" applyFont="1"/>
    <xf numFmtId="43" fontId="16" fillId="0" borderId="0" xfId="0" applyNumberFormat="1" applyFont="1" applyAlignment="1">
      <alignment horizontal="center"/>
    </xf>
    <xf numFmtId="43" fontId="22" fillId="0" borderId="0" xfId="43" applyNumberFormat="1" applyFill="1"/>
    <xf numFmtId="43" fontId="0" fillId="0" borderId="0" xfId="1" applyFont="1" applyFill="1"/>
    <xf numFmtId="43" fontId="26" fillId="0" borderId="0" xfId="0" applyNumberFormat="1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5" fillId="0" borderId="0" xfId="43" applyFont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4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5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19050</xdr:rowOff>
    </xdr:from>
    <xdr:to>
      <xdr:col>1</xdr:col>
      <xdr:colOff>66675</xdr:colOff>
      <xdr:row>10</xdr:row>
      <xdr:rowOff>0</xdr:rowOff>
    </xdr:to>
    <xdr:cxnSp macro="">
      <xdr:nvCxnSpPr>
        <xdr:cNvPr id="3" name="Straight Arrow Connector 2"/>
        <xdr:cNvCxnSpPr/>
      </xdr:nvCxnSpPr>
      <xdr:spPr>
        <a:xfrm>
          <a:off x="1866900" y="1028700"/>
          <a:ext cx="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8</xdr:row>
      <xdr:rowOff>180975</xdr:rowOff>
    </xdr:from>
    <xdr:to>
      <xdr:col>14</xdr:col>
      <xdr:colOff>66675</xdr:colOff>
      <xdr:row>11</xdr:row>
      <xdr:rowOff>9525</xdr:rowOff>
    </xdr:to>
    <xdr:cxnSp macro="">
      <xdr:nvCxnSpPr>
        <xdr:cNvPr id="4" name="Straight Arrow Connector 3"/>
        <xdr:cNvCxnSpPr/>
      </xdr:nvCxnSpPr>
      <xdr:spPr>
        <a:xfrm>
          <a:off x="6629400" y="17907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7</xdr:row>
      <xdr:rowOff>9525</xdr:rowOff>
    </xdr:from>
    <xdr:to>
      <xdr:col>7</xdr:col>
      <xdr:colOff>114300</xdr:colOff>
      <xdr:row>9</xdr:row>
      <xdr:rowOff>190500</xdr:rowOff>
    </xdr:to>
    <xdr:cxnSp macro="">
      <xdr:nvCxnSpPr>
        <xdr:cNvPr id="3" name="Straight Arrow Connector 2"/>
        <xdr:cNvCxnSpPr/>
      </xdr:nvCxnSpPr>
      <xdr:spPr>
        <a:xfrm>
          <a:off x="5200650" y="1343025"/>
          <a:ext cx="0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Permanent%20File\PF01.00%20Deed%20of%20Establishmen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AI03.01%20Integrated%20Client%20Accoun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AI03.00%20Income%20Tax%20Account.pdf" TargetMode="External"/><Relationship Id="rId1" Type="http://schemas.openxmlformats.org/officeDocument/2006/relationships/hyperlink" Target="AI01.00%20Exceptions%20Report.pdf" TargetMode="External"/><Relationship Id="rId6" Type="http://schemas.openxmlformats.org/officeDocument/2006/relationships/hyperlink" Target="AI04.01%20Trial%20Balance.pdf" TargetMode="External"/><Relationship Id="rId5" Type="http://schemas.openxmlformats.org/officeDocument/2006/relationships/hyperlink" Target="AI04.00%20General%20Ledger%20Audit%20Trail%20Report.pdf" TargetMode="External"/><Relationship Id="rId4" Type="http://schemas.openxmlformats.org/officeDocument/2006/relationships/hyperlink" Target="AI02.00%20Validation%20Report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5.01%202019%20Member%20Summary%20Report.pdf" TargetMode="External"/><Relationship Id="rId2" Type="http://schemas.openxmlformats.org/officeDocument/2006/relationships/hyperlink" Target="5.00%202019%20Member%20Statement.pdf" TargetMode="External"/><Relationship Id="rId1" Type="http://schemas.openxmlformats.org/officeDocument/2006/relationships/hyperlink" Target="4.00%202019%20GST%20Rec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13.01%202019%20Client%20Summary%20-%20Rental%20In%20Advance.pdf" TargetMode="External"/><Relationship Id="rId4" Type="http://schemas.openxmlformats.org/officeDocument/2006/relationships/hyperlink" Target="13.00%20Rent%20In%20Advance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8.00%202019%20Investment%20Income%20Comparison%20Report.pdf" TargetMode="External"/><Relationship Id="rId13" Type="http://schemas.openxmlformats.org/officeDocument/2006/relationships/hyperlink" Target="9.02%20Lease%20Transfer%20(Copy).pdf" TargetMode="External"/><Relationship Id="rId3" Type="http://schemas.openxmlformats.org/officeDocument/2006/relationships/hyperlink" Target="6.02%20Rollover%20Benefits%20Statement%20-%20Gabrielle%20Tomas.pdf" TargetMode="External"/><Relationship Id="rId7" Type="http://schemas.openxmlformats.org/officeDocument/2006/relationships/hyperlink" Target="7.03%202019%20Notice%20of%20Intent%20-%20Gabrielle%20Tomas.pdf" TargetMode="External"/><Relationship Id="rId12" Type="http://schemas.openxmlformats.org/officeDocument/2006/relationships/hyperlink" Target="9.01%20Lease%20Notes.pdf" TargetMode="External"/><Relationship Id="rId2" Type="http://schemas.openxmlformats.org/officeDocument/2006/relationships/hyperlink" Target="6.01%20Rollover%20Benefits%20Statement%20-%20Ivan%20Tomas.pdf" TargetMode="External"/><Relationship Id="rId1" Type="http://schemas.openxmlformats.org/officeDocument/2006/relationships/hyperlink" Target="6.00%20Rollovers%20In%20GL.pdf" TargetMode="External"/><Relationship Id="rId6" Type="http://schemas.openxmlformats.org/officeDocument/2006/relationships/hyperlink" Target="7.02%202019%20Notice%20of%20Intent%20-%20Ivan%20Tomas.pdf" TargetMode="External"/><Relationship Id="rId11" Type="http://schemas.openxmlformats.org/officeDocument/2006/relationships/hyperlink" Target="11.00%20Investment%20Revaluation%20Report.pdf" TargetMode="External"/><Relationship Id="rId5" Type="http://schemas.openxmlformats.org/officeDocument/2006/relationships/hyperlink" Target="7.01%202019%20Client%20Summary%20-%20Employer%20Contributions.pdf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10.00%202019%20ASIC%20Fee.pdf" TargetMode="External"/><Relationship Id="rId4" Type="http://schemas.openxmlformats.org/officeDocument/2006/relationships/hyperlink" Target="7.00%202019%20Contribution%20Cap%20Report.pdf" TargetMode="External"/><Relationship Id="rId9" Type="http://schemas.openxmlformats.org/officeDocument/2006/relationships/hyperlink" Target="9.00%20Rental%20GL.pdf" TargetMode="External"/><Relationship Id="rId1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3.03%2028%20Allied%20Drive%20-%20Valuation.pdf" TargetMode="External"/><Relationship Id="rId2" Type="http://schemas.openxmlformats.org/officeDocument/2006/relationships/hyperlink" Target="3.00%20Ppty%20Cost%20Base%20Reconciliation.xlsx" TargetMode="External"/><Relationship Id="rId1" Type="http://schemas.openxmlformats.org/officeDocument/2006/relationships/hyperlink" Target="2.00%20Bank%20of%20Melbourne%202019%20FY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Investment%20Summary%20Report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12.01%202019%20Tax%20Accounting%20Reconciliation.pdf" TargetMode="External"/><Relationship Id="rId1" Type="http://schemas.openxmlformats.org/officeDocument/2006/relationships/hyperlink" Target="12.00%202019%20Statement%20of%20Taxable%20Income%20Report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12.02%202019%20Deferred%20Tax%20Reconciliation%20Statement.pdf" TargetMode="External"/><Relationship Id="rId1" Type="http://schemas.openxmlformats.org/officeDocument/2006/relationships/hyperlink" Target="11.01%202019%20Unrealised%20Capital%20Gains%20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3"/>
  <sheetViews>
    <sheetView workbookViewId="0">
      <selection activeCell="C19" sqref="C19"/>
    </sheetView>
  </sheetViews>
  <sheetFormatPr defaultRowHeight="15" x14ac:dyDescent="0.25"/>
  <cols>
    <col min="1" max="1" width="27" customWidth="1"/>
  </cols>
  <sheetData>
    <row r="1" spans="1:9" ht="17.25" x14ac:dyDescent="0.3">
      <c r="A1" s="62" t="str">
        <f>'Balance Sheet '!A1:J1</f>
        <v>Tomas Superannuation Fund</v>
      </c>
      <c r="B1" s="62"/>
      <c r="C1" s="62"/>
    </row>
    <row r="2" spans="1:9" ht="17.25" x14ac:dyDescent="0.3">
      <c r="A2" s="62" t="s">
        <v>81</v>
      </c>
      <c r="B2" s="62"/>
      <c r="C2" s="62"/>
    </row>
    <row r="4" spans="1:9" x14ac:dyDescent="0.25">
      <c r="A4" s="3" t="s">
        <v>80</v>
      </c>
      <c r="B4" s="18" t="s">
        <v>150</v>
      </c>
      <c r="G4" s="18"/>
      <c r="I4" s="18"/>
    </row>
    <row r="5" spans="1:9" x14ac:dyDescent="0.25">
      <c r="A5" s="3" t="s">
        <v>79</v>
      </c>
      <c r="B5" s="19" t="s">
        <v>163</v>
      </c>
      <c r="H5" s="18"/>
    </row>
    <row r="6" spans="1:9" x14ac:dyDescent="0.25">
      <c r="A6" s="3" t="s">
        <v>78</v>
      </c>
      <c r="B6" s="19"/>
    </row>
    <row r="7" spans="1:9" x14ac:dyDescent="0.25">
      <c r="A7" s="3" t="s">
        <v>77</v>
      </c>
      <c r="B7" s="19"/>
      <c r="H7" s="18"/>
    </row>
    <row r="8" spans="1:9" x14ac:dyDescent="0.25">
      <c r="A8" s="3" t="s">
        <v>76</v>
      </c>
      <c r="B8" s="19"/>
    </row>
    <row r="9" spans="1:9" x14ac:dyDescent="0.25">
      <c r="A9" s="3" t="s">
        <v>75</v>
      </c>
      <c r="B9" s="19"/>
    </row>
    <row r="10" spans="1:9" x14ac:dyDescent="0.25">
      <c r="A10" s="3" t="s">
        <v>74</v>
      </c>
      <c r="B10" s="18"/>
      <c r="H10" s="18"/>
      <c r="I10" s="18"/>
    </row>
    <row r="11" spans="1:9" x14ac:dyDescent="0.25">
      <c r="A11" s="3"/>
    </row>
    <row r="12" spans="1:9" x14ac:dyDescent="0.25">
      <c r="A12" s="3" t="s">
        <v>73</v>
      </c>
      <c r="B12" s="18" t="s">
        <v>149</v>
      </c>
      <c r="G12" s="18"/>
    </row>
    <row r="13" spans="1:9" x14ac:dyDescent="0.25">
      <c r="A13" s="3" t="s">
        <v>72</v>
      </c>
      <c r="B13" s="18"/>
    </row>
  </sheetData>
  <mergeCells count="2">
    <mergeCell ref="A1:C1"/>
    <mergeCell ref="A2:C2"/>
  </mergeCells>
  <hyperlinks>
    <hyperlink ref="B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36"/>
  <sheetViews>
    <sheetView workbookViewId="0">
      <selection activeCell="E18" sqref="E18"/>
    </sheetView>
  </sheetViews>
  <sheetFormatPr defaultRowHeight="15" x14ac:dyDescent="0.25"/>
  <cols>
    <col min="1" max="1" width="2.85546875" customWidth="1"/>
    <col min="7" max="7" width="5.5703125" customWidth="1"/>
    <col min="9" max="9" width="18.42578125" customWidth="1"/>
    <col min="10" max="10" width="10.140625" customWidth="1"/>
  </cols>
  <sheetData>
    <row r="1" spans="1:12" ht="17.25" x14ac:dyDescent="0.3">
      <c r="A1" s="42" t="str">
        <f>'Balance Sheet '!A1:J1</f>
        <v>Tomas Superannuation Fund</v>
      </c>
    </row>
    <row r="2" spans="1:12" ht="17.25" x14ac:dyDescent="0.3">
      <c r="A2" s="41" t="s">
        <v>89</v>
      </c>
    </row>
    <row r="3" spans="1:12" ht="17.25" x14ac:dyDescent="0.3">
      <c r="A3" s="41" t="s">
        <v>111</v>
      </c>
    </row>
    <row r="5" spans="1:12" hidden="1" x14ac:dyDescent="0.25">
      <c r="A5" s="3" t="s">
        <v>88</v>
      </c>
      <c r="E5" s="18"/>
    </row>
    <row r="6" spans="1:12" hidden="1" x14ac:dyDescent="0.25">
      <c r="A6" s="3" t="s">
        <v>87</v>
      </c>
      <c r="E6" s="19"/>
    </row>
    <row r="7" spans="1:12" x14ac:dyDescent="0.25">
      <c r="A7" s="3" t="s">
        <v>86</v>
      </c>
      <c r="D7" s="18" t="s">
        <v>109</v>
      </c>
      <c r="E7" s="18"/>
    </row>
    <row r="8" spans="1:12" x14ac:dyDescent="0.25">
      <c r="A8" s="3" t="s">
        <v>85</v>
      </c>
      <c r="D8" s="18" t="s">
        <v>153</v>
      </c>
      <c r="E8" s="18"/>
    </row>
    <row r="9" spans="1:12" x14ac:dyDescent="0.25">
      <c r="A9" s="3" t="s">
        <v>84</v>
      </c>
      <c r="D9" s="18" t="s">
        <v>151</v>
      </c>
      <c r="E9" s="18"/>
      <c r="H9" s="18" t="s">
        <v>152</v>
      </c>
      <c r="I9" s="18"/>
      <c r="K9" s="18"/>
      <c r="L9" s="18"/>
    </row>
    <row r="10" spans="1:12" x14ac:dyDescent="0.25">
      <c r="A10" s="3" t="s">
        <v>83</v>
      </c>
      <c r="D10" s="18" t="s">
        <v>154</v>
      </c>
      <c r="E10" s="18"/>
      <c r="I10" s="18" t="s">
        <v>155</v>
      </c>
      <c r="L10" s="18"/>
    </row>
    <row r="11" spans="1:12" x14ac:dyDescent="0.25">
      <c r="A11" s="3" t="s">
        <v>82</v>
      </c>
      <c r="D11" s="18"/>
      <c r="E11" s="18"/>
      <c r="L11" s="18"/>
    </row>
    <row r="13" spans="1:12" x14ac:dyDescent="0.25">
      <c r="A13" s="3" t="s">
        <v>92</v>
      </c>
    </row>
    <row r="15" spans="1:12" x14ac:dyDescent="0.25">
      <c r="A15">
        <v>1</v>
      </c>
      <c r="B15" s="3" t="s">
        <v>160</v>
      </c>
    </row>
    <row r="16" spans="1:12" x14ac:dyDescent="0.25">
      <c r="B16" s="38" t="s">
        <v>164</v>
      </c>
    </row>
    <row r="17" spans="1:2" x14ac:dyDescent="0.25">
      <c r="B17" s="38" t="s">
        <v>165</v>
      </c>
    </row>
    <row r="18" spans="1:2" x14ac:dyDescent="0.25">
      <c r="B18" s="38" t="s">
        <v>166</v>
      </c>
    </row>
    <row r="19" spans="1:2" x14ac:dyDescent="0.25">
      <c r="B19" s="38" t="s">
        <v>167</v>
      </c>
    </row>
    <row r="21" spans="1:2" x14ac:dyDescent="0.25">
      <c r="A21" s="3">
        <v>2</v>
      </c>
      <c r="B21" s="3" t="s">
        <v>168</v>
      </c>
    </row>
    <row r="22" spans="1:2" x14ac:dyDescent="0.25">
      <c r="B22" s="38" t="s">
        <v>169</v>
      </c>
    </row>
    <row r="23" spans="1:2" x14ac:dyDescent="0.25">
      <c r="B23" s="38" t="s">
        <v>170</v>
      </c>
    </row>
    <row r="24" spans="1:2" x14ac:dyDescent="0.25">
      <c r="B24" s="38" t="s">
        <v>171</v>
      </c>
    </row>
    <row r="25" spans="1:2" x14ac:dyDescent="0.25">
      <c r="B25" s="38" t="s">
        <v>172</v>
      </c>
    </row>
    <row r="27" spans="1:2" x14ac:dyDescent="0.25">
      <c r="A27" s="3">
        <v>3</v>
      </c>
      <c r="B27" s="3" t="s">
        <v>90</v>
      </c>
    </row>
    <row r="28" spans="1:2" x14ac:dyDescent="0.25">
      <c r="B28" s="38" t="s">
        <v>161</v>
      </c>
    </row>
    <row r="30" spans="1:2" x14ac:dyDescent="0.25">
      <c r="A30">
        <v>4</v>
      </c>
      <c r="B30" s="3" t="s">
        <v>91</v>
      </c>
    </row>
    <row r="31" spans="1:2" x14ac:dyDescent="0.25">
      <c r="B31" s="38" t="s">
        <v>162</v>
      </c>
    </row>
    <row r="33" spans="1:2" x14ac:dyDescent="0.25">
      <c r="A33" s="3">
        <v>5</v>
      </c>
      <c r="B33" s="3" t="s">
        <v>176</v>
      </c>
    </row>
    <row r="34" spans="1:2" x14ac:dyDescent="0.25">
      <c r="B34" s="38" t="s">
        <v>173</v>
      </c>
    </row>
    <row r="35" spans="1:2" x14ac:dyDescent="0.25">
      <c r="B35" s="38" t="s">
        <v>174</v>
      </c>
    </row>
    <row r="36" spans="1:2" x14ac:dyDescent="0.25">
      <c r="B36" s="38" t="s">
        <v>175</v>
      </c>
    </row>
  </sheetData>
  <hyperlinks>
    <hyperlink ref="D7" r:id="rId1"/>
    <hyperlink ref="D9" r:id="rId2"/>
    <hyperlink ref="H9" r:id="rId3"/>
    <hyperlink ref="D8" r:id="rId4"/>
    <hyperlink ref="D10" r:id="rId5"/>
    <hyperlink ref="I10" r:id="rId6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42"/>
  <sheetViews>
    <sheetView tabSelected="1" topLeftCell="A4" workbookViewId="0">
      <selection activeCell="U18" sqref="U18"/>
    </sheetView>
  </sheetViews>
  <sheetFormatPr defaultRowHeight="15" x14ac:dyDescent="0.25"/>
  <cols>
    <col min="1" max="1" width="2.85546875" customWidth="1"/>
    <col min="7" max="7" width="11.5703125" bestFit="1" customWidth="1"/>
    <col min="8" max="9" width="9.140625" hidden="1" customWidth="1"/>
    <col min="10" max="10" width="11.5703125" hidden="1" customWidth="1"/>
  </cols>
  <sheetData>
    <row r="1" spans="1:16" ht="17.25" x14ac:dyDescent="0.3">
      <c r="A1" s="64" t="s">
        <v>110</v>
      </c>
      <c r="B1" s="64"/>
      <c r="C1" s="64"/>
      <c r="D1" s="64"/>
      <c r="E1" s="64"/>
      <c r="F1" s="64"/>
      <c r="G1" s="64"/>
      <c r="H1" s="64"/>
      <c r="I1" s="64"/>
      <c r="J1" s="64"/>
    </row>
    <row r="2" spans="1:16" ht="17.25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</row>
    <row r="3" spans="1:16" ht="17.25" x14ac:dyDescent="0.3">
      <c r="A3" s="64" t="s">
        <v>111</v>
      </c>
      <c r="B3" s="64"/>
      <c r="C3" s="64"/>
      <c r="D3" s="64"/>
      <c r="E3" s="64"/>
      <c r="F3" s="64"/>
      <c r="G3" s="64"/>
      <c r="H3" s="64"/>
      <c r="I3" s="64"/>
      <c r="J3" s="64"/>
    </row>
    <row r="5" spans="1:16" x14ac:dyDescent="0.25">
      <c r="G5" s="2">
        <v>2019</v>
      </c>
      <c r="J5" s="2">
        <v>2019</v>
      </c>
      <c r="M5" s="3" t="s">
        <v>53</v>
      </c>
    </row>
    <row r="6" spans="1:16" x14ac:dyDescent="0.25">
      <c r="A6" s="3" t="s">
        <v>1</v>
      </c>
    </row>
    <row r="7" spans="1:16" x14ac:dyDescent="0.25">
      <c r="A7" s="3" t="s">
        <v>2</v>
      </c>
    </row>
    <row r="8" spans="1:16" x14ac:dyDescent="0.25">
      <c r="B8" t="s">
        <v>3</v>
      </c>
      <c r="G8" s="40">
        <v>242000</v>
      </c>
      <c r="H8" s="4"/>
      <c r="I8" s="4"/>
      <c r="J8" s="4"/>
      <c r="M8" s="14" t="s">
        <v>104</v>
      </c>
    </row>
    <row r="9" spans="1:16" hidden="1" x14ac:dyDescent="0.25">
      <c r="B9" t="s">
        <v>4</v>
      </c>
      <c r="G9" s="7"/>
      <c r="H9" s="4"/>
      <c r="I9" s="4"/>
      <c r="J9" s="7"/>
      <c r="M9" s="18"/>
      <c r="P9" s="18"/>
    </row>
    <row r="10" spans="1:16" x14ac:dyDescent="0.25">
      <c r="A10" s="3" t="s">
        <v>5</v>
      </c>
      <c r="G10" s="8">
        <f>SUM(G8:G9)</f>
        <v>242000</v>
      </c>
      <c r="H10" s="8"/>
      <c r="I10" s="8"/>
      <c r="J10" s="8">
        <f t="shared" ref="J10" si="0">SUM(J8:J9)</f>
        <v>0</v>
      </c>
    </row>
    <row r="11" spans="1:16" x14ac:dyDescent="0.25">
      <c r="A11" s="3" t="s">
        <v>4</v>
      </c>
      <c r="B11" s="3"/>
      <c r="G11" s="4"/>
      <c r="H11" s="4"/>
      <c r="I11" s="4"/>
      <c r="J11" s="4"/>
    </row>
    <row r="12" spans="1:16" x14ac:dyDescent="0.25">
      <c r="B12" t="s">
        <v>6</v>
      </c>
      <c r="G12" s="50">
        <v>72139.490000000005</v>
      </c>
      <c r="H12" s="33"/>
      <c r="I12" s="33"/>
      <c r="J12" s="7"/>
      <c r="M12" s="14" t="s">
        <v>104</v>
      </c>
    </row>
    <row r="13" spans="1:16" x14ac:dyDescent="0.25">
      <c r="A13" s="3" t="s">
        <v>7</v>
      </c>
      <c r="G13" s="8">
        <f>SUM(G12)</f>
        <v>72139.490000000005</v>
      </c>
      <c r="H13" s="8"/>
      <c r="I13" s="8"/>
      <c r="J13" s="8">
        <f>SUM(J12)</f>
        <v>0</v>
      </c>
    </row>
    <row r="14" spans="1:16" ht="15.75" thickBot="1" x14ac:dyDescent="0.3">
      <c r="A14" s="3" t="s">
        <v>13</v>
      </c>
      <c r="G14" s="9">
        <f>G10+G13</f>
        <v>314139.49</v>
      </c>
      <c r="H14" s="4"/>
      <c r="I14" s="4"/>
      <c r="J14" s="9">
        <f>J10+J13</f>
        <v>0</v>
      </c>
    </row>
    <row r="15" spans="1:16" x14ac:dyDescent="0.25">
      <c r="G15" s="4"/>
      <c r="H15" s="4"/>
      <c r="I15" s="4"/>
      <c r="J15" s="4"/>
    </row>
    <row r="16" spans="1:16" x14ac:dyDescent="0.25">
      <c r="G16" s="4"/>
      <c r="H16" s="4"/>
      <c r="I16" s="4"/>
      <c r="J16" s="4"/>
    </row>
    <row r="17" spans="1:21" x14ac:dyDescent="0.25">
      <c r="A17" s="3" t="s">
        <v>8</v>
      </c>
      <c r="G17" s="40"/>
      <c r="H17" s="40"/>
      <c r="I17" s="40"/>
      <c r="J17" s="40"/>
    </row>
    <row r="18" spans="1:21" x14ac:dyDescent="0.25">
      <c r="B18" t="s">
        <v>156</v>
      </c>
      <c r="G18" s="4">
        <v>4800</v>
      </c>
      <c r="H18" s="40"/>
      <c r="I18" s="40"/>
      <c r="J18" s="40"/>
      <c r="M18" s="18" t="s">
        <v>157</v>
      </c>
      <c r="P18" s="18" t="s">
        <v>158</v>
      </c>
      <c r="U18" s="14" t="s">
        <v>177</v>
      </c>
    </row>
    <row r="19" spans="1:21" x14ac:dyDescent="0.25">
      <c r="B19" t="s">
        <v>62</v>
      </c>
      <c r="G19" s="59">
        <v>6221.7</v>
      </c>
      <c r="H19" s="40"/>
      <c r="I19" s="40"/>
      <c r="J19" s="33"/>
      <c r="M19" s="14" t="s">
        <v>106</v>
      </c>
    </row>
    <row r="20" spans="1:21" hidden="1" x14ac:dyDescent="0.25">
      <c r="B20" t="s">
        <v>98</v>
      </c>
      <c r="G20" s="40"/>
      <c r="H20" s="4"/>
      <c r="I20" s="4"/>
      <c r="J20" s="4"/>
      <c r="M20" s="14" t="s">
        <v>105</v>
      </c>
    </row>
    <row r="21" spans="1:21" x14ac:dyDescent="0.25">
      <c r="B21" t="s">
        <v>9</v>
      </c>
      <c r="G21" s="7">
        <v>445.81</v>
      </c>
      <c r="H21" s="4"/>
      <c r="I21" s="4"/>
      <c r="J21" s="7"/>
      <c r="M21" s="18" t="s">
        <v>122</v>
      </c>
    </row>
    <row r="22" spans="1:21" ht="15.75" thickBot="1" x14ac:dyDescent="0.3">
      <c r="A22" s="3" t="s">
        <v>10</v>
      </c>
      <c r="G22" s="9">
        <f>SUM(G18:G21)</f>
        <v>11467.51</v>
      </c>
      <c r="H22" s="4"/>
      <c r="I22" s="4"/>
      <c r="J22" s="9">
        <f>SUM(J18:J21)</f>
        <v>0</v>
      </c>
    </row>
    <row r="23" spans="1:21" x14ac:dyDescent="0.25">
      <c r="G23" s="4"/>
      <c r="H23" s="4"/>
      <c r="I23" s="4"/>
      <c r="J23" s="4"/>
    </row>
    <row r="25" spans="1:21" x14ac:dyDescent="0.25">
      <c r="A25" s="3" t="s">
        <v>11</v>
      </c>
    </row>
    <row r="26" spans="1:21" ht="15.75" thickBot="1" x14ac:dyDescent="0.3">
      <c r="A26" s="3" t="s">
        <v>12</v>
      </c>
      <c r="G26" s="10">
        <f>G14-G22</f>
        <v>302671.98</v>
      </c>
      <c r="H26" s="5"/>
      <c r="I26" s="5"/>
      <c r="J26" s="10">
        <f>J14-J22</f>
        <v>0</v>
      </c>
    </row>
    <row r="27" spans="1:21" ht="15.75" thickTop="1" x14ac:dyDescent="0.25"/>
    <row r="29" spans="1:21" ht="19.5" customHeight="1" x14ac:dyDescent="0.25">
      <c r="A29" s="6" t="s">
        <v>14</v>
      </c>
      <c r="B29" s="6"/>
      <c r="C29" s="6"/>
      <c r="D29" s="6"/>
      <c r="E29" s="6"/>
    </row>
    <row r="30" spans="1:21" x14ac:dyDescent="0.25">
      <c r="B30" s="63" t="s">
        <v>120</v>
      </c>
      <c r="C30" s="63"/>
      <c r="D30" s="63"/>
      <c r="E30" s="63"/>
      <c r="G30" s="60">
        <v>131755.79</v>
      </c>
      <c r="H30" s="4"/>
      <c r="I30" s="4"/>
      <c r="J30" s="4"/>
      <c r="M30" s="18" t="s">
        <v>123</v>
      </c>
      <c r="Q30" s="18" t="s">
        <v>124</v>
      </c>
    </row>
    <row r="31" spans="1:21" x14ac:dyDescent="0.25">
      <c r="B31" s="63" t="s">
        <v>121</v>
      </c>
      <c r="C31" s="63"/>
      <c r="D31" s="63"/>
      <c r="E31" s="63"/>
      <c r="G31" s="60">
        <v>170916.19</v>
      </c>
      <c r="H31" s="4"/>
      <c r="I31" s="4"/>
      <c r="J31" s="4"/>
    </row>
    <row r="32" spans="1:21" ht="15.75" thickBot="1" x14ac:dyDescent="0.3">
      <c r="A32" s="3" t="s">
        <v>15</v>
      </c>
      <c r="B32" s="3"/>
      <c r="C32" s="3"/>
      <c r="D32" s="3"/>
      <c r="E32" s="3"/>
      <c r="G32" s="10">
        <f>SUM(G30:G31)</f>
        <v>302671.98</v>
      </c>
      <c r="J32" s="10">
        <f t="shared" ref="J32" si="1">SUM(J30:J31)</f>
        <v>0</v>
      </c>
    </row>
    <row r="33" spans="6:12" ht="15.75" thickTop="1" x14ac:dyDescent="0.25"/>
    <row r="34" spans="6:12" x14ac:dyDescent="0.25">
      <c r="G34" s="20">
        <f>G32-G26</f>
        <v>0</v>
      </c>
      <c r="H34" s="20"/>
      <c r="I34" s="20"/>
      <c r="J34" s="20">
        <f t="shared" ref="J34" si="2">J32-J26</f>
        <v>0</v>
      </c>
      <c r="K34" s="21"/>
      <c r="L34" s="21" t="s">
        <v>32</v>
      </c>
    </row>
    <row r="38" spans="6:12" x14ac:dyDescent="0.25">
      <c r="F38" s="1"/>
    </row>
    <row r="39" spans="6:12" x14ac:dyDescent="0.25">
      <c r="F39" s="1"/>
    </row>
    <row r="42" spans="6:12" ht="19.5" customHeight="1" x14ac:dyDescent="0.25"/>
  </sheetData>
  <mergeCells count="5">
    <mergeCell ref="B30:E30"/>
    <mergeCell ref="B31:E31"/>
    <mergeCell ref="A1:J1"/>
    <mergeCell ref="A2:J2"/>
    <mergeCell ref="A3:J3"/>
  </mergeCells>
  <hyperlinks>
    <hyperlink ref="G8" location="'Investment Summary'!A1" display="'Investment Summary'!A1"/>
    <hyperlink ref="G12" location="'Investment Summary'!A1" display="'Investment Summary'!A1"/>
    <hyperlink ref="M21" r:id="rId1"/>
    <hyperlink ref="M30" r:id="rId2"/>
    <hyperlink ref="Q30" r:id="rId3"/>
    <hyperlink ref="G19" location="'Tax Reconciliation'!A1" display="'Tax Reconciliation'!A1"/>
    <hyperlink ref="M18" r:id="rId4"/>
    <hyperlink ref="P18" r:id="rId5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Y48"/>
  <sheetViews>
    <sheetView workbookViewId="0">
      <selection sqref="A1:L1"/>
    </sheetView>
  </sheetViews>
  <sheetFormatPr defaultRowHeight="15" x14ac:dyDescent="0.25"/>
  <cols>
    <col min="1" max="1" width="2.85546875" customWidth="1"/>
    <col min="7" max="7" width="13.28515625" customWidth="1"/>
    <col min="8" max="9" width="0" hidden="1" customWidth="1"/>
    <col min="10" max="10" width="13.28515625" hidden="1" customWidth="1"/>
    <col min="11" max="12" width="0" hidden="1" customWidth="1"/>
    <col min="15" max="15" width="11.5703125" bestFit="1" customWidth="1"/>
    <col min="18" max="18" width="10.5703125" bestFit="1" customWidth="1"/>
    <col min="22" max="22" width="10.5703125" bestFit="1" customWidth="1"/>
    <col min="25" max="25" width="11.5703125" bestFit="1" customWidth="1"/>
  </cols>
  <sheetData>
    <row r="1" spans="1:25" ht="17.25" x14ac:dyDescent="0.3">
      <c r="A1" s="64" t="str">
        <f>'Balance Sheet '!A1:J1</f>
        <v>Tomas Superannuation Fund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53"/>
      <c r="N1" s="53"/>
    </row>
    <row r="2" spans="1:25" ht="17.25" x14ac:dyDescent="0.3">
      <c r="A2" s="64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53"/>
      <c r="N2" s="53"/>
    </row>
    <row r="3" spans="1:25" ht="17.25" x14ac:dyDescent="0.3">
      <c r="A3" s="64" t="s">
        <v>112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53"/>
      <c r="N3" s="53"/>
    </row>
    <row r="5" spans="1:25" x14ac:dyDescent="0.25">
      <c r="A5" s="65" t="s">
        <v>54</v>
      </c>
      <c r="B5" s="65"/>
      <c r="C5" s="65"/>
      <c r="D5" s="65"/>
      <c r="E5" s="65"/>
      <c r="G5" s="2">
        <v>2019</v>
      </c>
      <c r="H5" s="2"/>
      <c r="I5" s="2"/>
      <c r="J5" s="2">
        <v>2019</v>
      </c>
      <c r="O5" s="3" t="s">
        <v>53</v>
      </c>
    </row>
    <row r="6" spans="1:25" x14ac:dyDescent="0.25">
      <c r="A6" s="55" t="s">
        <v>126</v>
      </c>
      <c r="B6" s="54"/>
      <c r="C6" s="54"/>
      <c r="D6" s="54"/>
      <c r="E6" s="54"/>
      <c r="G6" s="27">
        <v>280000</v>
      </c>
      <c r="H6" s="2"/>
      <c r="I6" s="2"/>
      <c r="J6" s="2"/>
      <c r="O6" s="18" t="s">
        <v>130</v>
      </c>
      <c r="R6" s="18" t="s">
        <v>131</v>
      </c>
    </row>
    <row r="7" spans="1:25" x14ac:dyDescent="0.25">
      <c r="A7" s="65" t="s">
        <v>125</v>
      </c>
      <c r="B7" s="65"/>
      <c r="C7" s="65"/>
      <c r="D7" s="65"/>
      <c r="E7" s="65"/>
      <c r="G7" s="58">
        <f>SUM(G6)</f>
        <v>280000</v>
      </c>
      <c r="H7" s="2"/>
      <c r="I7" s="2"/>
      <c r="J7" s="2"/>
      <c r="O7" s="3"/>
      <c r="R7" s="18" t="s">
        <v>132</v>
      </c>
    </row>
    <row r="8" spans="1:25" x14ac:dyDescent="0.25">
      <c r="A8" s="66" t="s">
        <v>52</v>
      </c>
      <c r="B8" s="66"/>
      <c r="C8" s="66"/>
      <c r="D8" s="66"/>
      <c r="E8" s="66"/>
    </row>
    <row r="9" spans="1:25" x14ac:dyDescent="0.25">
      <c r="B9" s="63" t="s">
        <v>51</v>
      </c>
      <c r="C9" s="63"/>
      <c r="D9" s="63"/>
      <c r="E9" s="63"/>
      <c r="G9" s="23">
        <v>14800</v>
      </c>
      <c r="J9" s="23"/>
      <c r="O9" s="18" t="s">
        <v>133</v>
      </c>
      <c r="R9" s="19"/>
      <c r="S9" s="18" t="s">
        <v>134</v>
      </c>
      <c r="Y9" s="51">
        <f>17450+17350-20000</f>
        <v>14800</v>
      </c>
    </row>
    <row r="10" spans="1:25" x14ac:dyDescent="0.25">
      <c r="B10" s="63" t="s">
        <v>50</v>
      </c>
      <c r="C10" s="63"/>
      <c r="D10" s="63"/>
      <c r="E10" s="63"/>
      <c r="G10" s="27">
        <v>20058</v>
      </c>
      <c r="H10" s="30"/>
      <c r="I10" s="30"/>
      <c r="J10" s="29"/>
      <c r="O10" s="18" t="s">
        <v>135</v>
      </c>
      <c r="S10" s="18" t="s">
        <v>136</v>
      </c>
    </row>
    <row r="11" spans="1:25" hidden="1" x14ac:dyDescent="0.25">
      <c r="B11" s="43" t="s">
        <v>100</v>
      </c>
      <c r="C11" s="43"/>
      <c r="D11" s="43"/>
      <c r="E11" s="43"/>
      <c r="G11" s="27"/>
      <c r="J11" s="27"/>
      <c r="O11" s="18"/>
    </row>
    <row r="12" spans="1:25" x14ac:dyDescent="0.25">
      <c r="A12" s="65" t="s">
        <v>49</v>
      </c>
      <c r="B12" s="65"/>
      <c r="C12" s="65"/>
      <c r="D12" s="65"/>
      <c r="E12" s="65"/>
      <c r="G12" s="23">
        <f>SUM(G9:G11)</f>
        <v>34858</v>
      </c>
      <c r="J12" s="23">
        <f>SUM(J9:J11)</f>
        <v>0</v>
      </c>
      <c r="O12" s="18"/>
    </row>
    <row r="13" spans="1:25" ht="15.75" thickBot="1" x14ac:dyDescent="0.3">
      <c r="A13" s="65" t="s">
        <v>48</v>
      </c>
      <c r="B13" s="65"/>
      <c r="C13" s="65"/>
      <c r="D13" s="65"/>
      <c r="E13" s="65"/>
      <c r="G13" s="24">
        <f>G12</f>
        <v>34858</v>
      </c>
      <c r="J13" s="24">
        <f>J12</f>
        <v>0</v>
      </c>
    </row>
    <row r="14" spans="1:25" x14ac:dyDescent="0.25">
      <c r="G14" s="23"/>
      <c r="J14" s="23"/>
    </row>
    <row r="15" spans="1:25" hidden="1" x14ac:dyDescent="0.25">
      <c r="A15" s="6" t="s">
        <v>101</v>
      </c>
      <c r="B15" s="6"/>
      <c r="C15" s="6"/>
      <c r="D15" s="6"/>
      <c r="E15" s="6"/>
      <c r="G15" s="26"/>
      <c r="J15" s="26"/>
      <c r="O15" s="19"/>
    </row>
    <row r="16" spans="1:25" hidden="1" x14ac:dyDescent="0.25">
      <c r="A16" t="s">
        <v>102</v>
      </c>
      <c r="G16" s="4"/>
      <c r="J16" s="4"/>
      <c r="O16" s="18"/>
    </row>
    <row r="17" spans="1:22" ht="15.75" hidden="1" thickBot="1" x14ac:dyDescent="0.3">
      <c r="A17" s="3" t="s">
        <v>103</v>
      </c>
      <c r="G17" s="24">
        <f>SUM(G16)</f>
        <v>0</v>
      </c>
      <c r="H17" s="30"/>
      <c r="I17" s="30"/>
      <c r="J17" s="24">
        <f>SUM(J16)</f>
        <v>0</v>
      </c>
    </row>
    <row r="18" spans="1:22" hidden="1" x14ac:dyDescent="0.25">
      <c r="G18" s="26"/>
      <c r="H18" s="30"/>
      <c r="I18" s="30"/>
      <c r="J18" s="26"/>
    </row>
    <row r="19" spans="1:22" x14ac:dyDescent="0.25">
      <c r="A19" s="65" t="s">
        <v>47</v>
      </c>
      <c r="B19" s="65"/>
      <c r="C19" s="65"/>
      <c r="D19" s="65"/>
      <c r="E19" s="65"/>
      <c r="G19" s="23"/>
      <c r="J19" s="23"/>
    </row>
    <row r="20" spans="1:22" x14ac:dyDescent="0.25">
      <c r="A20" s="63" t="s">
        <v>21</v>
      </c>
      <c r="B20" s="63"/>
      <c r="C20" s="63"/>
      <c r="D20" s="63"/>
      <c r="E20" s="63"/>
      <c r="G20" s="29">
        <v>186.16</v>
      </c>
      <c r="J20" s="29"/>
      <c r="O20" s="18" t="s">
        <v>137</v>
      </c>
    </row>
    <row r="21" spans="1:22" x14ac:dyDescent="0.25">
      <c r="A21" s="28" t="s">
        <v>56</v>
      </c>
      <c r="B21" s="28"/>
      <c r="C21" s="28"/>
      <c r="D21" s="28"/>
      <c r="E21" s="28"/>
      <c r="G21" s="27">
        <v>6545.43</v>
      </c>
      <c r="J21" s="27"/>
      <c r="O21" s="18" t="s">
        <v>138</v>
      </c>
      <c r="Q21" s="18" t="s">
        <v>159</v>
      </c>
      <c r="S21" s="18" t="s">
        <v>139</v>
      </c>
      <c r="V21" s="51">
        <f>(800*9)/1.1</f>
        <v>6545.454545454545</v>
      </c>
    </row>
    <row r="22" spans="1:22" x14ac:dyDescent="0.25">
      <c r="A22" s="65" t="s">
        <v>46</v>
      </c>
      <c r="B22" s="65"/>
      <c r="C22" s="65"/>
      <c r="D22" s="65"/>
      <c r="E22" s="65"/>
      <c r="G22" s="23">
        <f>SUM(G20:G21)</f>
        <v>6731.59</v>
      </c>
      <c r="J22" s="23">
        <f>SUM(J20:J21)</f>
        <v>0</v>
      </c>
      <c r="Q22" s="18"/>
      <c r="T22" s="18"/>
    </row>
    <row r="23" spans="1:22" ht="15.75" thickBot="1" x14ac:dyDescent="0.3">
      <c r="A23" s="65" t="s">
        <v>45</v>
      </c>
      <c r="B23" s="65"/>
      <c r="C23" s="65"/>
      <c r="D23" s="65"/>
      <c r="E23" s="65"/>
      <c r="G23" s="24">
        <f>SUM(G7+G13+G17+G22)</f>
        <v>321589.59000000003</v>
      </c>
      <c r="J23" s="24">
        <f>SUM(J13+J17+J22)</f>
        <v>0</v>
      </c>
    </row>
    <row r="24" spans="1:22" x14ac:dyDescent="0.25">
      <c r="G24" s="23"/>
      <c r="J24" s="23"/>
    </row>
    <row r="25" spans="1:22" x14ac:dyDescent="0.25">
      <c r="G25" s="23"/>
      <c r="J25" s="23"/>
    </row>
    <row r="26" spans="1:22" x14ac:dyDescent="0.25">
      <c r="A26" s="65" t="s">
        <v>18</v>
      </c>
      <c r="B26" s="65"/>
      <c r="C26" s="65"/>
      <c r="D26" s="65"/>
      <c r="E26" s="65"/>
      <c r="G26" s="23"/>
      <c r="J26" s="23"/>
    </row>
    <row r="27" spans="1:22" x14ac:dyDescent="0.25">
      <c r="A27" s="65" t="s">
        <v>44</v>
      </c>
      <c r="B27" s="65"/>
      <c r="C27" s="65"/>
      <c r="D27" s="65"/>
      <c r="E27" s="65"/>
      <c r="G27" s="23"/>
      <c r="J27" s="23"/>
    </row>
    <row r="28" spans="1:22" hidden="1" x14ac:dyDescent="0.25">
      <c r="A28" s="67" t="s">
        <v>43</v>
      </c>
      <c r="B28" s="67"/>
      <c r="C28" s="67"/>
      <c r="D28" s="67"/>
      <c r="E28" s="67"/>
      <c r="G28" s="23"/>
      <c r="J28" s="23"/>
      <c r="O28" s="18"/>
      <c r="R28" s="51"/>
    </row>
    <row r="29" spans="1:22" hidden="1" x14ac:dyDescent="0.25">
      <c r="A29" s="67" t="s">
        <v>42</v>
      </c>
      <c r="B29" s="67"/>
      <c r="C29" s="67"/>
      <c r="D29" s="67"/>
      <c r="E29" s="67"/>
      <c r="G29" s="23"/>
      <c r="J29" s="23"/>
      <c r="O29" s="52"/>
    </row>
    <row r="30" spans="1:22" hidden="1" x14ac:dyDescent="0.25">
      <c r="A30" s="67" t="s">
        <v>41</v>
      </c>
      <c r="B30" s="67"/>
      <c r="C30" s="67"/>
      <c r="D30" s="67"/>
      <c r="E30" s="67"/>
      <c r="G30" s="23"/>
      <c r="J30" s="23"/>
      <c r="O30" s="18"/>
    </row>
    <row r="31" spans="1:22" hidden="1" x14ac:dyDescent="0.25">
      <c r="A31" s="67" t="s">
        <v>57</v>
      </c>
      <c r="B31" s="67"/>
      <c r="C31" s="67"/>
      <c r="D31" s="67"/>
      <c r="E31" s="67"/>
      <c r="G31" s="23"/>
      <c r="J31" s="23"/>
      <c r="O31" s="18"/>
    </row>
    <row r="32" spans="1:22" hidden="1" x14ac:dyDescent="0.25">
      <c r="A32" s="67" t="s">
        <v>40</v>
      </c>
      <c r="B32" s="67"/>
      <c r="C32" s="67"/>
      <c r="D32" s="67"/>
      <c r="E32" s="67"/>
      <c r="G32" s="23"/>
      <c r="J32" s="23"/>
      <c r="O32" s="18"/>
    </row>
    <row r="33" spans="1:19" hidden="1" x14ac:dyDescent="0.25">
      <c r="A33" s="67" t="s">
        <v>58</v>
      </c>
      <c r="B33" s="67"/>
      <c r="C33" s="67"/>
      <c r="D33" s="67"/>
      <c r="E33" s="67"/>
      <c r="G33" s="23"/>
      <c r="J33" s="23"/>
      <c r="O33" s="18"/>
      <c r="S33" s="14"/>
    </row>
    <row r="34" spans="1:19" hidden="1" x14ac:dyDescent="0.25">
      <c r="A34" s="67" t="s">
        <v>59</v>
      </c>
      <c r="B34" s="67"/>
      <c r="C34" s="67"/>
      <c r="D34" s="67"/>
      <c r="E34" s="67"/>
      <c r="G34" s="23"/>
      <c r="J34" s="23"/>
      <c r="O34" s="18"/>
      <c r="R34" s="18"/>
    </row>
    <row r="35" spans="1:19" x14ac:dyDescent="0.25">
      <c r="A35" s="67" t="s">
        <v>39</v>
      </c>
      <c r="B35" s="67"/>
      <c r="C35" s="67"/>
      <c r="D35" s="67"/>
      <c r="E35" s="67"/>
      <c r="G35" s="27">
        <v>53</v>
      </c>
      <c r="J35" s="23"/>
      <c r="O35" s="18" t="s">
        <v>140</v>
      </c>
      <c r="R35" s="14"/>
    </row>
    <row r="36" spans="1:19" hidden="1" x14ac:dyDescent="0.25">
      <c r="A36" s="67" t="s">
        <v>60</v>
      </c>
      <c r="B36" s="67"/>
      <c r="C36" s="67"/>
      <c r="D36" s="67"/>
      <c r="E36" s="67"/>
      <c r="G36" s="29">
        <v>0</v>
      </c>
      <c r="J36" s="29"/>
      <c r="O36" s="18"/>
      <c r="S36" s="14"/>
    </row>
    <row r="37" spans="1:19" x14ac:dyDescent="0.25">
      <c r="A37" s="65" t="s">
        <v>38</v>
      </c>
      <c r="B37" s="65"/>
      <c r="C37" s="65"/>
      <c r="D37" s="65"/>
      <c r="E37" s="65"/>
      <c r="G37" s="31">
        <f>SUM(G28:G36)</f>
        <v>53</v>
      </c>
      <c r="H37" s="30"/>
      <c r="I37" s="30"/>
      <c r="J37" s="31">
        <f>SUM(J28:J36)</f>
        <v>0</v>
      </c>
      <c r="O37" s="19"/>
    </row>
    <row r="38" spans="1:19" x14ac:dyDescent="0.25">
      <c r="A38" s="54" t="s">
        <v>127</v>
      </c>
      <c r="B38" s="54"/>
      <c r="C38" s="54"/>
      <c r="D38" s="54"/>
      <c r="E38" s="54"/>
      <c r="G38" s="26"/>
      <c r="J38" s="26"/>
      <c r="O38" s="19"/>
    </row>
    <row r="39" spans="1:19" x14ac:dyDescent="0.25">
      <c r="A39" t="s">
        <v>128</v>
      </c>
      <c r="G39" s="4">
        <v>12642.91</v>
      </c>
      <c r="J39" s="4"/>
      <c r="O39" s="18" t="s">
        <v>141</v>
      </c>
    </row>
    <row r="40" spans="1:19" ht="15.75" thickBot="1" x14ac:dyDescent="0.3">
      <c r="A40" s="3" t="s">
        <v>129</v>
      </c>
      <c r="G40" s="24">
        <f>SUM(G39)</f>
        <v>12642.91</v>
      </c>
      <c r="H40" s="30"/>
      <c r="I40" s="30"/>
      <c r="J40" s="24">
        <f>SUM(J39)</f>
        <v>0</v>
      </c>
    </row>
    <row r="41" spans="1:19" ht="15.75" thickBot="1" x14ac:dyDescent="0.3">
      <c r="A41" s="3" t="s">
        <v>34</v>
      </c>
      <c r="G41" s="24">
        <f>G37+G40</f>
        <v>12695.91</v>
      </c>
      <c r="H41" s="30"/>
      <c r="I41" s="30"/>
      <c r="J41" s="24">
        <f>J37</f>
        <v>0</v>
      </c>
      <c r="O41" s="5"/>
    </row>
    <row r="42" spans="1:19" x14ac:dyDescent="0.25">
      <c r="G42" s="5"/>
      <c r="O42" s="61">
        <f>G23-G41</f>
        <v>308893.68000000005</v>
      </c>
    </row>
    <row r="43" spans="1:19" x14ac:dyDescent="0.25">
      <c r="A43" s="65" t="s">
        <v>37</v>
      </c>
      <c r="B43" s="65"/>
      <c r="C43" s="65"/>
      <c r="D43" s="65"/>
      <c r="E43" s="65"/>
      <c r="G43" s="23"/>
      <c r="H43" s="23"/>
      <c r="I43" s="23"/>
      <c r="J43" s="23"/>
      <c r="O43" s="19"/>
    </row>
    <row r="44" spans="1:19" x14ac:dyDescent="0.25">
      <c r="A44" s="67" t="s">
        <v>36</v>
      </c>
      <c r="B44" s="67"/>
      <c r="C44" s="67"/>
      <c r="D44" s="67"/>
      <c r="E44" s="67"/>
      <c r="G44" s="25">
        <v>6221.7</v>
      </c>
      <c r="J44" s="25"/>
      <c r="O44" s="14" t="s">
        <v>106</v>
      </c>
    </row>
    <row r="45" spans="1:19" ht="15.75" thickBot="1" x14ac:dyDescent="0.3">
      <c r="A45" s="65" t="s">
        <v>35</v>
      </c>
      <c r="B45" s="65"/>
      <c r="C45" s="65"/>
      <c r="D45" s="65"/>
      <c r="E45" s="65"/>
      <c r="G45" s="24">
        <f>SUM(G44)</f>
        <v>6221.7</v>
      </c>
      <c r="J45" s="24">
        <f>SUM(J44)</f>
        <v>0</v>
      </c>
    </row>
    <row r="46" spans="1:19" x14ac:dyDescent="0.25">
      <c r="G46" s="23"/>
      <c r="J46" s="23"/>
    </row>
    <row r="47" spans="1:19" ht="15.75" thickBot="1" x14ac:dyDescent="0.3">
      <c r="A47" s="3" t="s">
        <v>33</v>
      </c>
      <c r="B47" s="3"/>
      <c r="C47" s="3"/>
      <c r="D47" s="3"/>
      <c r="E47" s="3"/>
      <c r="F47" s="3"/>
      <c r="G47" s="22">
        <f>G23-G41-G45</f>
        <v>302671.98000000004</v>
      </c>
      <c r="H47" s="3"/>
      <c r="I47" s="3"/>
      <c r="J47" s="22">
        <f>J23-J41-J45</f>
        <v>0</v>
      </c>
    </row>
    <row r="48" spans="1:19" ht="15.75" thickTop="1" x14ac:dyDescent="0.25"/>
  </sheetData>
  <mergeCells count="29">
    <mergeCell ref="A45:E45"/>
    <mergeCell ref="A26:E26"/>
    <mergeCell ref="A27:E27"/>
    <mergeCell ref="A32:E32"/>
    <mergeCell ref="A34:E34"/>
    <mergeCell ref="A35:E35"/>
    <mergeCell ref="A44:E44"/>
    <mergeCell ref="A43:E43"/>
    <mergeCell ref="A37:E37"/>
    <mergeCell ref="A31:E31"/>
    <mergeCell ref="A33:E33"/>
    <mergeCell ref="A36:E36"/>
    <mergeCell ref="A28:E28"/>
    <mergeCell ref="A29:E29"/>
    <mergeCell ref="A30:E30"/>
    <mergeCell ref="A1:L1"/>
    <mergeCell ref="A2:L2"/>
    <mergeCell ref="A3:L3"/>
    <mergeCell ref="A5:E5"/>
    <mergeCell ref="A8:E8"/>
    <mergeCell ref="A7:E7"/>
    <mergeCell ref="B9:E9"/>
    <mergeCell ref="A19:E19"/>
    <mergeCell ref="A20:E20"/>
    <mergeCell ref="A22:E22"/>
    <mergeCell ref="A23:E23"/>
    <mergeCell ref="B10:E10"/>
    <mergeCell ref="A12:E12"/>
    <mergeCell ref="A13:E13"/>
  </mergeCells>
  <hyperlinks>
    <hyperlink ref="O6" r:id="rId1"/>
    <hyperlink ref="R6" r:id="rId2"/>
    <hyperlink ref="R7" r:id="rId3"/>
    <hyperlink ref="O9" r:id="rId4"/>
    <hyperlink ref="S9" r:id="rId5"/>
    <hyperlink ref="O10" r:id="rId6"/>
    <hyperlink ref="S10" r:id="rId7"/>
    <hyperlink ref="O20" r:id="rId8"/>
    <hyperlink ref="O21" r:id="rId9"/>
    <hyperlink ref="O35" r:id="rId10"/>
    <hyperlink ref="O39" r:id="rId11"/>
    <hyperlink ref="G44" location="'Tax Reconciliation'!A1" display="'Tax Reconciliation'!A1"/>
    <hyperlink ref="Q21" r:id="rId12"/>
    <hyperlink ref="S21" r:id="rId13"/>
  </hyperlinks>
  <pageMargins left="0.7" right="0.7" top="0.75" bottom="0.75" header="0.3" footer="0.3"/>
  <pageSetup orientation="portrait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5"/>
  <sheetViews>
    <sheetView workbookViewId="0">
      <selection activeCell="M10" sqref="M10"/>
    </sheetView>
  </sheetViews>
  <sheetFormatPr defaultRowHeight="15" x14ac:dyDescent="0.25"/>
  <cols>
    <col min="1" max="1" width="2.85546875" customWidth="1"/>
    <col min="7" max="11" width="15.7109375" customWidth="1"/>
    <col min="12" max="12" width="32" bestFit="1" customWidth="1"/>
    <col min="14" max="14" width="12.5703125" bestFit="1" customWidth="1"/>
  </cols>
  <sheetData>
    <row r="1" spans="1:17" ht="17.25" x14ac:dyDescent="0.3">
      <c r="A1" s="64" t="str">
        <f>'Balance Sheet '!A1:J1</f>
        <v>Tomas Superannuation Fund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7" ht="17.25" x14ac:dyDescent="0.3">
      <c r="A2" s="68" t="s">
        <v>70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7" ht="17.25" x14ac:dyDescent="0.3">
      <c r="A3" s="64" t="s">
        <v>113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5" spans="1:17" x14ac:dyDescent="0.25">
      <c r="A5" s="65" t="s">
        <v>69</v>
      </c>
      <c r="B5" s="65"/>
      <c r="C5" s="65"/>
      <c r="D5" s="65"/>
      <c r="E5" s="65"/>
      <c r="F5" s="65"/>
      <c r="G5" t="s">
        <v>68</v>
      </c>
      <c r="H5" t="s">
        <v>67</v>
      </c>
      <c r="I5" t="s">
        <v>66</v>
      </c>
      <c r="J5" t="s">
        <v>65</v>
      </c>
      <c r="K5" t="s">
        <v>64</v>
      </c>
      <c r="L5" t="s">
        <v>63</v>
      </c>
    </row>
    <row r="6" spans="1:17" x14ac:dyDescent="0.25">
      <c r="A6" s="11" t="s">
        <v>6</v>
      </c>
      <c r="B6" s="11"/>
    </row>
    <row r="7" spans="1:17" x14ac:dyDescent="0.25">
      <c r="B7" s="63" t="s">
        <v>114</v>
      </c>
      <c r="C7" s="63"/>
      <c r="D7" s="63"/>
      <c r="E7" s="63"/>
      <c r="F7" s="63"/>
      <c r="J7" s="4">
        <v>72139.490000000005</v>
      </c>
      <c r="K7" s="4">
        <v>72139.490000000005</v>
      </c>
      <c r="M7" s="18" t="s">
        <v>116</v>
      </c>
    </row>
    <row r="8" spans="1:17" x14ac:dyDescent="0.25">
      <c r="J8" s="37">
        <f>SUM(J7)</f>
        <v>72139.490000000005</v>
      </c>
      <c r="K8" s="37">
        <f>SUM(K7)</f>
        <v>72139.490000000005</v>
      </c>
    </row>
    <row r="9" spans="1:17" x14ac:dyDescent="0.25">
      <c r="A9" s="11" t="s">
        <v>71</v>
      </c>
    </row>
    <row r="10" spans="1:17" x14ac:dyDescent="0.25">
      <c r="B10" t="s">
        <v>115</v>
      </c>
      <c r="G10" s="4">
        <v>1</v>
      </c>
      <c r="H10" s="4">
        <v>254642.91</v>
      </c>
      <c r="I10" s="4">
        <v>242000</v>
      </c>
      <c r="J10" s="4">
        <f>G10*H10</f>
        <v>254642.91</v>
      </c>
      <c r="K10" s="4">
        <f>G10*I10</f>
        <v>242000</v>
      </c>
      <c r="M10" s="18" t="s">
        <v>117</v>
      </c>
      <c r="Q10" s="18"/>
    </row>
    <row r="11" spans="1:17" x14ac:dyDescent="0.25">
      <c r="B11" s="28"/>
      <c r="C11" s="28"/>
      <c r="D11" s="28"/>
      <c r="E11" s="28"/>
      <c r="F11" s="28"/>
      <c r="J11" s="37">
        <f>SUM(J10:J10)</f>
        <v>254642.91</v>
      </c>
      <c r="K11" s="37">
        <f>SUM(K10:K10)</f>
        <v>242000</v>
      </c>
      <c r="M11" s="18" t="s">
        <v>118</v>
      </c>
      <c r="N11" s="39"/>
    </row>
    <row r="12" spans="1:17" x14ac:dyDescent="0.25">
      <c r="J12" s="36">
        <f>SUM(J8,J11)</f>
        <v>326782.40000000002</v>
      </c>
      <c r="K12" s="36">
        <f>SUM(K8,K11)</f>
        <v>314139.49</v>
      </c>
      <c r="M12" s="56" t="s">
        <v>119</v>
      </c>
      <c r="N12" s="57">
        <f>605000*0.4</f>
        <v>242000</v>
      </c>
    </row>
    <row r="13" spans="1:17" ht="15.75" thickBot="1" x14ac:dyDescent="0.3">
      <c r="J13" s="35">
        <f>SUM(J12)</f>
        <v>326782.40000000002</v>
      </c>
      <c r="K13" s="35">
        <f>SUM(K12)</f>
        <v>314139.49</v>
      </c>
    </row>
    <row r="14" spans="1:17" x14ac:dyDescent="0.25">
      <c r="M14" s="18"/>
      <c r="P14" s="14"/>
    </row>
    <row r="15" spans="1:17" x14ac:dyDescent="0.25">
      <c r="K15" s="20">
        <f>K13-'Balance Sheet '!G8-'Balance Sheet '!G12</f>
        <v>0</v>
      </c>
      <c r="L15" s="21" t="s">
        <v>32</v>
      </c>
    </row>
  </sheetData>
  <mergeCells count="5">
    <mergeCell ref="A1:L1"/>
    <mergeCell ref="A2:L2"/>
    <mergeCell ref="A3:L3"/>
    <mergeCell ref="B7:F7"/>
    <mergeCell ref="A5:F5"/>
  </mergeCells>
  <hyperlinks>
    <hyperlink ref="M7" r:id="rId1"/>
    <hyperlink ref="M10" r:id="rId2"/>
    <hyperlink ref="M11" r:id="rId3"/>
    <hyperlink ref="A2:L2" r:id="rId4" display="Investment Summary"/>
  </hyperlinks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4"/>
  <sheetViews>
    <sheetView workbookViewId="0">
      <selection sqref="A1:H1"/>
    </sheetView>
  </sheetViews>
  <sheetFormatPr defaultRowHeight="15" x14ac:dyDescent="0.25"/>
  <cols>
    <col min="1" max="1" width="25.7109375" bestFit="1" customWidth="1"/>
    <col min="3" max="3" width="12.28515625" bestFit="1" customWidth="1"/>
    <col min="8" max="8" width="9.5703125" bestFit="1" customWidth="1"/>
  </cols>
  <sheetData>
    <row r="1" spans="1:10" ht="17.25" x14ac:dyDescent="0.3">
      <c r="A1" s="64" t="str">
        <f>'Balance Sheet '!A1:J1</f>
        <v>Tomas Superannuation Fund</v>
      </c>
      <c r="B1" s="64"/>
      <c r="C1" s="64"/>
      <c r="D1" s="64"/>
      <c r="E1" s="64"/>
      <c r="F1" s="64"/>
      <c r="G1" s="64"/>
      <c r="H1" s="64"/>
    </row>
    <row r="2" spans="1:10" ht="17.25" x14ac:dyDescent="0.3">
      <c r="A2" s="64" t="s">
        <v>16</v>
      </c>
      <c r="B2" s="64"/>
      <c r="C2" s="64"/>
      <c r="D2" s="64"/>
      <c r="E2" s="64"/>
      <c r="F2" s="64"/>
      <c r="G2" s="64"/>
      <c r="H2" s="64"/>
    </row>
    <row r="3" spans="1:10" ht="17.25" x14ac:dyDescent="0.3">
      <c r="A3" s="64" t="s">
        <v>111</v>
      </c>
      <c r="B3" s="64"/>
      <c r="C3" s="64"/>
      <c r="D3" s="64"/>
      <c r="E3" s="64"/>
      <c r="F3" s="64"/>
      <c r="G3" s="64"/>
      <c r="H3" s="64"/>
    </row>
    <row r="5" spans="1:10" x14ac:dyDescent="0.25">
      <c r="A5" s="11" t="s">
        <v>17</v>
      </c>
      <c r="E5" s="11" t="s">
        <v>18</v>
      </c>
    </row>
    <row r="6" spans="1:10" x14ac:dyDescent="0.25">
      <c r="A6" t="s">
        <v>19</v>
      </c>
      <c r="C6" s="12">
        <f>'Operating Statement'!G9+'Operating Statement'!G10-58</f>
        <v>34800</v>
      </c>
      <c r="E6" t="s">
        <v>20</v>
      </c>
      <c r="H6" s="12">
        <f>'Operating Statement'!G32+'Operating Statement'!G33</f>
        <v>0</v>
      </c>
    </row>
    <row r="7" spans="1:10" x14ac:dyDescent="0.25">
      <c r="A7" s="13" t="s">
        <v>21</v>
      </c>
      <c r="C7" s="12">
        <f>'Operating Statement'!G20</f>
        <v>186.16</v>
      </c>
      <c r="E7" t="s">
        <v>22</v>
      </c>
      <c r="H7" s="12">
        <f>'Operating Statement'!G28+'Operating Statement'!G35+'Operating Statement'!G36</f>
        <v>53</v>
      </c>
      <c r="J7" s="14"/>
    </row>
    <row r="8" spans="1:10" x14ac:dyDescent="0.25">
      <c r="A8" s="13" t="s">
        <v>56</v>
      </c>
      <c r="C8" s="12">
        <f>'Operating Statement'!G21</f>
        <v>6545.43</v>
      </c>
      <c r="E8" t="s">
        <v>23</v>
      </c>
      <c r="H8" s="12">
        <f>'Operating Statement'!G29</f>
        <v>0</v>
      </c>
      <c r="J8" s="14"/>
    </row>
    <row r="9" spans="1:10" x14ac:dyDescent="0.25">
      <c r="C9" s="12"/>
      <c r="E9" t="s">
        <v>24</v>
      </c>
      <c r="H9" s="12">
        <f>'Operating Statement'!G30+'Operating Statement'!G34+'Operating Statement'!G31</f>
        <v>0</v>
      </c>
    </row>
    <row r="10" spans="1:10" hidden="1" x14ac:dyDescent="0.25">
      <c r="C10" s="15"/>
      <c r="H10" s="15"/>
    </row>
    <row r="11" spans="1:10" hidden="1" x14ac:dyDescent="0.25">
      <c r="C11" s="12"/>
      <c r="H11" s="12"/>
    </row>
    <row r="12" spans="1:10" hidden="1" x14ac:dyDescent="0.25">
      <c r="C12" s="12"/>
      <c r="H12" s="12"/>
    </row>
    <row r="13" spans="1:10" hidden="1" x14ac:dyDescent="0.25">
      <c r="C13" s="12"/>
      <c r="H13" s="12"/>
    </row>
    <row r="14" spans="1:10" hidden="1" x14ac:dyDescent="0.25">
      <c r="C14" s="12"/>
      <c r="H14" s="12"/>
    </row>
    <row r="15" spans="1:10" hidden="1" x14ac:dyDescent="0.25">
      <c r="C15" s="12"/>
      <c r="H15" s="12"/>
    </row>
    <row r="16" spans="1:10" x14ac:dyDescent="0.25">
      <c r="A16" t="s">
        <v>61</v>
      </c>
      <c r="C16" s="32">
        <v>-1</v>
      </c>
      <c r="H16" s="15"/>
    </row>
    <row r="17" spans="1:8" x14ac:dyDescent="0.25">
      <c r="A17" s="3" t="s">
        <v>25</v>
      </c>
      <c r="C17" s="16">
        <f>SUM(C6:C16)</f>
        <v>41530.590000000004</v>
      </c>
      <c r="H17" s="16">
        <f>SUM(H6:H16)</f>
        <v>53</v>
      </c>
    </row>
    <row r="18" spans="1:8" x14ac:dyDescent="0.25">
      <c r="C18" s="12"/>
      <c r="H18" s="12"/>
    </row>
    <row r="19" spans="1:8" x14ac:dyDescent="0.25">
      <c r="A19" t="s">
        <v>26</v>
      </c>
      <c r="C19" s="12">
        <f>C17-H17</f>
        <v>41477.590000000004</v>
      </c>
      <c r="H19" s="12"/>
    </row>
    <row r="20" spans="1:8" x14ac:dyDescent="0.25">
      <c r="C20" s="12"/>
      <c r="H20" s="12"/>
    </row>
    <row r="21" spans="1:8" x14ac:dyDescent="0.25">
      <c r="A21" s="3" t="s">
        <v>27</v>
      </c>
      <c r="B21" s="3"/>
      <c r="C21" s="8">
        <f>C19*0.15+0.06</f>
        <v>6221.6985000000004</v>
      </c>
      <c r="H21" s="12"/>
    </row>
    <row r="22" spans="1:8" x14ac:dyDescent="0.25">
      <c r="C22" s="12"/>
      <c r="H22" s="12"/>
    </row>
    <row r="23" spans="1:8" ht="15.75" thickBot="1" x14ac:dyDescent="0.3">
      <c r="A23" s="3" t="s">
        <v>28</v>
      </c>
      <c r="B23" s="3"/>
      <c r="C23" s="9">
        <f>C21</f>
        <v>6221.6985000000004</v>
      </c>
      <c r="E23" s="18" t="s">
        <v>144</v>
      </c>
      <c r="H23" s="12"/>
    </row>
    <row r="24" spans="1:8" x14ac:dyDescent="0.25">
      <c r="C24" s="12"/>
      <c r="H24" s="12"/>
    </row>
    <row r="25" spans="1:8" x14ac:dyDescent="0.25">
      <c r="A25" s="11" t="s">
        <v>107</v>
      </c>
      <c r="C25" s="12"/>
      <c r="H25" s="12"/>
    </row>
    <row r="26" spans="1:8" x14ac:dyDescent="0.25">
      <c r="A26" s="17" t="s">
        <v>29</v>
      </c>
    </row>
    <row r="27" spans="1:8" x14ac:dyDescent="0.25">
      <c r="A27" t="s">
        <v>30</v>
      </c>
      <c r="C27" s="4">
        <v>0</v>
      </c>
    </row>
    <row r="29" spans="1:8" x14ac:dyDescent="0.25">
      <c r="A29" s="17" t="s">
        <v>31</v>
      </c>
    </row>
    <row r="30" spans="1:8" x14ac:dyDescent="0.25">
      <c r="A30" t="s">
        <v>30</v>
      </c>
      <c r="C30" s="4"/>
      <c r="D30" s="18"/>
      <c r="E30" s="18"/>
    </row>
    <row r="32" spans="1:8" ht="15.75" thickBot="1" x14ac:dyDescent="0.3">
      <c r="A32" s="3" t="s">
        <v>142</v>
      </c>
      <c r="B32" s="3"/>
      <c r="C32" s="34">
        <f>C23+C27-C30</f>
        <v>6221.6985000000004</v>
      </c>
    </row>
    <row r="33" spans="1:5" ht="15.75" thickTop="1" x14ac:dyDescent="0.25">
      <c r="C33" s="5">
        <f>C32+259+259</f>
        <v>6739.6985000000004</v>
      </c>
    </row>
    <row r="34" spans="1:5" x14ac:dyDescent="0.25">
      <c r="C34" s="20">
        <f>C32-'Balance Sheet '!G19</f>
        <v>-1.4999999993960955E-3</v>
      </c>
      <c r="D34" s="20" t="s">
        <v>32</v>
      </c>
      <c r="E34" s="21"/>
    </row>
    <row r="36" spans="1:5" x14ac:dyDescent="0.25">
      <c r="A36" s="11" t="s">
        <v>36</v>
      </c>
    </row>
    <row r="37" spans="1:5" x14ac:dyDescent="0.25">
      <c r="A37" s="17" t="s">
        <v>29</v>
      </c>
    </row>
    <row r="38" spans="1:5" x14ac:dyDescent="0.25">
      <c r="A38" t="s">
        <v>30</v>
      </c>
      <c r="C38" s="4">
        <v>0</v>
      </c>
      <c r="E38" s="14"/>
    </row>
    <row r="40" spans="1:5" x14ac:dyDescent="0.25">
      <c r="A40" s="17" t="s">
        <v>31</v>
      </c>
    </row>
    <row r="41" spans="1:5" x14ac:dyDescent="0.25">
      <c r="A41" t="s">
        <v>108</v>
      </c>
      <c r="C41" s="4">
        <v>0</v>
      </c>
    </row>
    <row r="43" spans="1:5" ht="15.75" thickBot="1" x14ac:dyDescent="0.3">
      <c r="A43" s="3" t="s">
        <v>143</v>
      </c>
      <c r="C43" s="34">
        <f>C23+C38-C41</f>
        <v>6221.6985000000004</v>
      </c>
      <c r="E43" s="18" t="s">
        <v>145</v>
      </c>
    </row>
    <row r="44" spans="1:5" ht="15.75" thickTop="1" x14ac:dyDescent="0.25">
      <c r="C44" s="20">
        <f>C43-'Operating Statement'!G44</f>
        <v>-1.4999999993960955E-3</v>
      </c>
      <c r="D44" s="20" t="s">
        <v>32</v>
      </c>
      <c r="E44" s="18"/>
    </row>
  </sheetData>
  <mergeCells count="3">
    <mergeCell ref="A1:H1"/>
    <mergeCell ref="A2:H2"/>
    <mergeCell ref="A3:H3"/>
  </mergeCells>
  <hyperlinks>
    <hyperlink ref="E23" r:id="rId1"/>
    <hyperlink ref="E43" r:id="rId2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5"/>
  <sheetViews>
    <sheetView workbookViewId="0"/>
  </sheetViews>
  <sheetFormatPr defaultRowHeight="15" x14ac:dyDescent="0.25"/>
  <cols>
    <col min="1" max="1" width="12.85546875" customWidth="1"/>
    <col min="4" max="4" width="14.28515625" bestFit="1" customWidth="1"/>
    <col min="6" max="6" width="12.5703125" bestFit="1" customWidth="1"/>
  </cols>
  <sheetData>
    <row r="1" spans="1:8" x14ac:dyDescent="0.25">
      <c r="A1" s="3" t="str">
        <f>'Balance Sheet '!A1:J1</f>
        <v>Tomas Superannuation Fund</v>
      </c>
    </row>
    <row r="2" spans="1:8" x14ac:dyDescent="0.25">
      <c r="A2" s="3" t="s">
        <v>93</v>
      </c>
    </row>
    <row r="3" spans="1:8" x14ac:dyDescent="0.25">
      <c r="A3" s="3" t="s">
        <v>147</v>
      </c>
    </row>
    <row r="5" spans="1:8" x14ac:dyDescent="0.25">
      <c r="A5" s="3" t="s">
        <v>94</v>
      </c>
      <c r="F5" s="45">
        <v>0</v>
      </c>
    </row>
    <row r="7" spans="1:8" x14ac:dyDescent="0.25">
      <c r="A7" s="3" t="s">
        <v>95</v>
      </c>
      <c r="D7" s="44">
        <f>F7*(1-F5)</f>
        <v>254642.91</v>
      </c>
      <c r="F7" s="46">
        <f>'Investment Summary'!J10</f>
        <v>254642.91</v>
      </c>
      <c r="H7" s="18" t="s">
        <v>148</v>
      </c>
    </row>
    <row r="8" spans="1:8" x14ac:dyDescent="0.25">
      <c r="A8" s="3"/>
    </row>
    <row r="9" spans="1:8" x14ac:dyDescent="0.25">
      <c r="A9" s="3" t="s">
        <v>96</v>
      </c>
      <c r="D9" s="44">
        <f>F9*(1-F5)</f>
        <v>242000</v>
      </c>
      <c r="F9" s="46">
        <f>'Investment Summary'!K10</f>
        <v>242000</v>
      </c>
    </row>
    <row r="10" spans="1:8" ht="15.75" thickBot="1" x14ac:dyDescent="0.3">
      <c r="D10" s="47">
        <f>D9-D7</f>
        <v>-12642.910000000003</v>
      </c>
    </row>
    <row r="12" spans="1:8" x14ac:dyDescent="0.25">
      <c r="A12" t="s">
        <v>97</v>
      </c>
      <c r="D12" s="45">
        <v>0</v>
      </c>
    </row>
    <row r="14" spans="1:8" ht="15.75" thickBot="1" x14ac:dyDescent="0.3">
      <c r="A14" t="s">
        <v>99</v>
      </c>
      <c r="D14" s="48">
        <f>D10*D12</f>
        <v>0</v>
      </c>
      <c r="H14" s="18" t="s">
        <v>146</v>
      </c>
    </row>
    <row r="15" spans="1:8" ht="15.75" thickTop="1" x14ac:dyDescent="0.25">
      <c r="D15" s="49">
        <f>D14-'Balance Sheet '!G20</f>
        <v>0</v>
      </c>
      <c r="E15" s="21" t="s">
        <v>32</v>
      </c>
    </row>
  </sheetData>
  <hyperlinks>
    <hyperlink ref="H7" r:id="rId1"/>
    <hyperlink ref="H1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Permanent File</vt:lpstr>
      <vt:lpstr>Audit</vt:lpstr>
      <vt:lpstr>Balance Sheet </vt:lpstr>
      <vt:lpstr>Operating Statement</vt:lpstr>
      <vt:lpstr>Investment Summary</vt:lpstr>
      <vt:lpstr>Tax Reconciliation</vt:lpstr>
      <vt:lpstr>Deferred Tax Reconciliation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Saraniya</dc:creator>
  <cp:lastModifiedBy>Saraniya</cp:lastModifiedBy>
  <dcterms:created xsi:type="dcterms:W3CDTF">2020-07-08T05:45:40Z</dcterms:created>
  <dcterms:modified xsi:type="dcterms:W3CDTF">2020-09-27T23:51:07Z</dcterms:modified>
</cp:coreProperties>
</file>