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lient Folders\A - G\Aubrey, Malcolm\2022\Aubrey Superannuation Fund\"/>
    </mc:Choice>
  </mc:AlternateContent>
  <xr:revisionPtr revIDLastSave="0" documentId="13_ncr:1_{194D11AC-C186-4FC1-B01D-81491F3B42FC}" xr6:coauthVersionLast="46" xr6:coauthVersionMax="46" xr10:uidLastSave="{00000000-0000-0000-0000-000000000000}"/>
  <bookViews>
    <workbookView xWindow="28680" yWindow="-120" windowWidth="29040" windowHeight="15840" xr2:uid="{CAE311C6-83A4-4E6C-9300-7D953A9524B0}"/>
  </bookViews>
  <sheets>
    <sheet name="Movement" sheetId="1" r:id="rId1"/>
    <sheet name="CGT" sheetId="2" r:id="rId2"/>
    <sheet name="Dividends" sheetId="3" r:id="rId3"/>
    <sheet name="Other debtors " sheetId="7" r:id="rId4"/>
    <sheet name="Sheet2" sheetId="8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1" l="1"/>
  <c r="B107" i="3"/>
  <c r="B105" i="3"/>
  <c r="B104" i="3"/>
  <c r="B106" i="3" l="1"/>
  <c r="B101" i="3"/>
  <c r="B99" i="3"/>
  <c r="B98" i="3"/>
  <c r="F81" i="3"/>
  <c r="B108" i="3"/>
  <c r="C4" i="7"/>
  <c r="B6" i="7"/>
  <c r="F6" i="7"/>
  <c r="H6" i="7"/>
  <c r="B7" i="7"/>
  <c r="B10" i="7" s="1"/>
  <c r="C13" i="7" s="1"/>
  <c r="C7" i="7"/>
  <c r="F7" i="7"/>
  <c r="G7" i="7"/>
  <c r="H7" i="7"/>
  <c r="B8" i="7"/>
  <c r="F8" i="7"/>
  <c r="B9" i="7"/>
  <c r="E9" i="7"/>
  <c r="F9" i="7"/>
  <c r="F10" i="7" s="1"/>
  <c r="G9" i="7"/>
  <c r="G10" i="7"/>
  <c r="I10" i="7"/>
  <c r="J10" i="7"/>
  <c r="K10" i="7"/>
  <c r="L10" i="7"/>
  <c r="M10" i="7"/>
  <c r="B23" i="7"/>
  <c r="C6" i="7" s="1"/>
  <c r="C23" i="7"/>
  <c r="O23" i="7"/>
  <c r="O40" i="7" s="1"/>
  <c r="B24" i="7"/>
  <c r="C24" i="7"/>
  <c r="E24" i="7"/>
  <c r="F24" i="7"/>
  <c r="O24" i="7"/>
  <c r="B25" i="7"/>
  <c r="C9" i="7" s="1"/>
  <c r="C25" i="7"/>
  <c r="E25" i="7"/>
  <c r="F25" i="7"/>
  <c r="O25" i="7"/>
  <c r="K42" i="7" s="1"/>
  <c r="B26" i="7"/>
  <c r="C26" i="7"/>
  <c r="E26" i="7"/>
  <c r="F26" i="7"/>
  <c r="O26" i="7"/>
  <c r="B27" i="7"/>
  <c r="C27" i="7"/>
  <c r="O27" i="7"/>
  <c r="B28" i="7"/>
  <c r="C28" i="7"/>
  <c r="O28" i="7"/>
  <c r="B29" i="7"/>
  <c r="C29" i="7"/>
  <c r="O29" i="7"/>
  <c r="B30" i="7"/>
  <c r="C30" i="7"/>
  <c r="O30" i="7"/>
  <c r="B31" i="7"/>
  <c r="C31" i="7"/>
  <c r="D31" i="7"/>
  <c r="D35" i="7" s="1"/>
  <c r="E31" i="7"/>
  <c r="F31" i="7"/>
  <c r="O31" i="7"/>
  <c r="B32" i="7"/>
  <c r="D32" i="7"/>
  <c r="E32" i="7"/>
  <c r="F32" i="7"/>
  <c r="O32" i="7"/>
  <c r="B33" i="7"/>
  <c r="D33" i="7"/>
  <c r="E33" i="7"/>
  <c r="F33" i="7"/>
  <c r="O33" i="7"/>
  <c r="O34" i="7"/>
  <c r="G35" i="7"/>
  <c r="O35" i="7"/>
  <c r="O36" i="7"/>
  <c r="O37" i="7"/>
  <c r="O38" i="7"/>
  <c r="O39" i="7"/>
  <c r="K40" i="7"/>
  <c r="E6" i="7" s="1"/>
  <c r="L40" i="7"/>
  <c r="E7" i="7" s="1"/>
  <c r="M40" i="7"/>
  <c r="E8" i="7" s="1"/>
  <c r="N40" i="7"/>
  <c r="B86" i="3"/>
  <c r="B83" i="3"/>
  <c r="B81" i="3"/>
  <c r="F85" i="3"/>
  <c r="F82" i="3"/>
  <c r="K84" i="3"/>
  <c r="G82" i="3"/>
  <c r="K31" i="3"/>
  <c r="H82" i="3"/>
  <c r="H85" i="3"/>
  <c r="F94" i="3"/>
  <c r="G94" i="3"/>
  <c r="H94" i="3"/>
  <c r="I94" i="3"/>
  <c r="J94" i="3"/>
  <c r="E94" i="3"/>
  <c r="K15" i="3"/>
  <c r="K63" i="3"/>
  <c r="K76" i="3"/>
  <c r="K43" i="3"/>
  <c r="K57" i="3"/>
  <c r="K51" i="3"/>
  <c r="K22" i="3"/>
  <c r="K6" i="3"/>
  <c r="K35" i="3"/>
  <c r="K24" i="3"/>
  <c r="K33" i="3"/>
  <c r="K26" i="3"/>
  <c r="K75" i="3"/>
  <c r="K21" i="3"/>
  <c r="K67" i="3"/>
  <c r="K73" i="3"/>
  <c r="K10" i="3"/>
  <c r="K42" i="3"/>
  <c r="K39" i="3"/>
  <c r="K56" i="3"/>
  <c r="K19" i="3"/>
  <c r="K37" i="3"/>
  <c r="K17" i="3"/>
  <c r="K50" i="3"/>
  <c r="K45" i="3"/>
  <c r="K8" i="3"/>
  <c r="K14" i="3"/>
  <c r="K30" i="3"/>
  <c r="K29" i="3"/>
  <c r="K41" i="3"/>
  <c r="K55" i="3"/>
  <c r="K12" i="3"/>
  <c r="K53" i="3"/>
  <c r="K47" i="3"/>
  <c r="K49" i="3"/>
  <c r="K71" i="3"/>
  <c r="K28" i="3"/>
  <c r="K74" i="3"/>
  <c r="K34" i="3"/>
  <c r="K23" i="3"/>
  <c r="K64" i="3"/>
  <c r="K65" i="3"/>
  <c r="K25" i="3"/>
  <c r="K9" i="3"/>
  <c r="K32" i="3"/>
  <c r="K38" i="3"/>
  <c r="K70" i="3"/>
  <c r="K72" i="3"/>
  <c r="K5" i="3"/>
  <c r="K44" i="3"/>
  <c r="K66" i="3"/>
  <c r="K20" i="3"/>
  <c r="K40" i="3"/>
  <c r="K54" i="3"/>
  <c r="K16" i="3"/>
  <c r="K18" i="3"/>
  <c r="K27" i="3"/>
  <c r="K48" i="3"/>
  <c r="K36" i="3"/>
  <c r="K7" i="3"/>
  <c r="K52" i="3"/>
  <c r="K46" i="3"/>
  <c r="K92" i="3"/>
  <c r="K91" i="3"/>
  <c r="K90" i="3"/>
  <c r="H8" i="7" l="1"/>
  <c r="D7" i="7"/>
  <c r="F35" i="7"/>
  <c r="C8" i="7"/>
  <c r="D8" i="7" s="1"/>
  <c r="C35" i="7"/>
  <c r="E35" i="7"/>
  <c r="H9" i="7"/>
  <c r="H10" i="7" s="1"/>
  <c r="C11" i="7" s="1"/>
  <c r="C10" i="7"/>
  <c r="D9" i="7"/>
  <c r="D6" i="7"/>
  <c r="E10" i="7"/>
  <c r="B35" i="7"/>
  <c r="K94" i="3"/>
  <c r="D10" i="7" l="1"/>
  <c r="E11" i="7"/>
  <c r="C12" i="7" l="1"/>
  <c r="C15" i="7" s="1"/>
  <c r="B100" i="3"/>
  <c r="K77" i="3" l="1"/>
  <c r="K78" i="3"/>
  <c r="H69" i="3" l="1"/>
  <c r="F69" i="3"/>
  <c r="H68" i="3"/>
  <c r="G58" i="3"/>
  <c r="K58" i="3" s="1"/>
  <c r="F11" i="3"/>
  <c r="K11" i="3" s="1"/>
  <c r="K69" i="3" l="1"/>
  <c r="H81" i="3"/>
  <c r="H86" i="3" s="1"/>
  <c r="K68" i="3"/>
  <c r="C81" i="3"/>
  <c r="G81" i="3"/>
  <c r="G86" i="3" s="1"/>
  <c r="F86" i="3"/>
  <c r="I81" i="3"/>
  <c r="J81" i="3"/>
  <c r="D13" i="3"/>
  <c r="D59" i="3"/>
  <c r="D60" i="3"/>
  <c r="D30" i="3"/>
  <c r="D14" i="3"/>
  <c r="D61" i="3"/>
  <c r="D62" i="3"/>
  <c r="F57" i="1"/>
  <c r="K57" i="1" s="1"/>
  <c r="L63" i="1"/>
  <c r="M63" i="1"/>
  <c r="N63" i="1"/>
  <c r="O63" i="1"/>
  <c r="P63" i="1"/>
  <c r="K51" i="1"/>
  <c r="K47" i="1"/>
  <c r="K46" i="1"/>
  <c r="K58" i="1"/>
  <c r="K59" i="1"/>
  <c r="K60" i="1"/>
  <c r="K45" i="1"/>
  <c r="O16" i="1"/>
  <c r="O19" i="1"/>
  <c r="O29" i="1"/>
  <c r="O26" i="1"/>
  <c r="O32" i="1"/>
  <c r="O30" i="1"/>
  <c r="O35" i="1"/>
  <c r="N27" i="1"/>
  <c r="E60" i="3" l="1"/>
  <c r="K60" i="3" s="1"/>
  <c r="E13" i="3"/>
  <c r="E62" i="3"/>
  <c r="E61" i="3"/>
  <c r="K61" i="3" s="1"/>
  <c r="E59" i="3"/>
  <c r="K59" i="3" s="1"/>
  <c r="D81" i="3"/>
  <c r="K62" i="3" l="1"/>
  <c r="E82" i="3"/>
  <c r="E81" i="3"/>
  <c r="K13" i="3"/>
  <c r="K81" i="3" s="1"/>
  <c r="L19" i="1"/>
  <c r="M11" i="1"/>
  <c r="L35" i="1"/>
  <c r="L30" i="1"/>
  <c r="L32" i="1"/>
  <c r="L29" i="1"/>
  <c r="L26" i="1"/>
  <c r="L27" i="1"/>
  <c r="M24" i="1"/>
  <c r="N39" i="1"/>
  <c r="O39" i="1"/>
  <c r="P39" i="1"/>
  <c r="L51" i="1"/>
  <c r="N51" i="1"/>
  <c r="O51" i="1"/>
  <c r="P51" i="1"/>
  <c r="M47" i="1"/>
  <c r="M51" i="1" s="1"/>
  <c r="M6" i="1"/>
  <c r="M20" i="1"/>
  <c r="M22" i="1"/>
  <c r="M18" i="1"/>
  <c r="M12" i="1"/>
  <c r="L16" i="1"/>
  <c r="M8" i="1"/>
  <c r="E85" i="3" l="1"/>
  <c r="K82" i="3"/>
  <c r="K86" i="3" s="1"/>
  <c r="M39" i="1"/>
  <c r="L39" i="1"/>
  <c r="M58" i="2"/>
  <c r="J53" i="2"/>
  <c r="J55" i="2" s="1"/>
  <c r="O54" i="2"/>
  <c r="O53" i="2"/>
  <c r="O58" i="2" s="1"/>
  <c r="I56" i="2"/>
  <c r="J47" i="2"/>
  <c r="J48" i="2" s="1"/>
  <c r="M50" i="2"/>
  <c r="M44" i="2"/>
  <c r="O47" i="2"/>
  <c r="O50" i="2" s="1"/>
  <c r="O41" i="2"/>
  <c r="O44" i="2" s="1"/>
  <c r="J41" i="2"/>
  <c r="J42" i="2" s="1"/>
  <c r="M38" i="2"/>
  <c r="J35" i="2"/>
  <c r="J36" i="2" s="1"/>
  <c r="O35" i="2"/>
  <c r="O38" i="2" s="1"/>
  <c r="K36" i="2"/>
  <c r="J29" i="2"/>
  <c r="J30" i="2" s="1"/>
  <c r="M32" i="2"/>
  <c r="O29" i="2"/>
  <c r="O32" i="2" s="1"/>
  <c r="M26" i="2"/>
  <c r="O23" i="2"/>
  <c r="O26" i="2" s="1"/>
  <c r="J23" i="2"/>
  <c r="J24" i="2" s="1"/>
  <c r="O17" i="2"/>
  <c r="O20" i="2" s="1"/>
  <c r="P62" i="2" s="1"/>
  <c r="M20" i="2"/>
  <c r="J17" i="2"/>
  <c r="J18" i="2" s="1"/>
  <c r="M13" i="2"/>
  <c r="O9" i="2"/>
  <c r="O8" i="2"/>
  <c r="D39" i="1"/>
  <c r="F39" i="1"/>
  <c r="G34" i="1"/>
  <c r="G47" i="1"/>
  <c r="H47" i="1" s="1"/>
  <c r="J47" i="1" s="1"/>
  <c r="Q47" i="1" s="1"/>
  <c r="G24" i="1"/>
  <c r="H23" i="1"/>
  <c r="J23" i="1" s="1"/>
  <c r="K23" i="1" s="1"/>
  <c r="Q23" i="1" s="1"/>
  <c r="H20" i="1"/>
  <c r="J20" i="1" s="1"/>
  <c r="K20" i="1" s="1"/>
  <c r="Q20" i="1" s="1"/>
  <c r="H18" i="1"/>
  <c r="J18" i="1" s="1"/>
  <c r="K18" i="1" s="1"/>
  <c r="Q18" i="1" s="1"/>
  <c r="H58" i="1"/>
  <c r="J58" i="1" s="1"/>
  <c r="Q58" i="1" s="1"/>
  <c r="H59" i="1"/>
  <c r="J59" i="1" s="1"/>
  <c r="Q59" i="1" s="1"/>
  <c r="H60" i="1"/>
  <c r="J60" i="1" s="1"/>
  <c r="Q60" i="1" s="1"/>
  <c r="H57" i="1"/>
  <c r="J57" i="1" s="1"/>
  <c r="Q57" i="1" s="1"/>
  <c r="H12" i="1"/>
  <c r="J12" i="1" s="1"/>
  <c r="K12" i="1" s="1"/>
  <c r="Q12" i="1" s="1"/>
  <c r="G11" i="1"/>
  <c r="H46" i="1"/>
  <c r="J46" i="1" s="1"/>
  <c r="Q46" i="1" s="1"/>
  <c r="H45" i="1"/>
  <c r="F63" i="1"/>
  <c r="D63" i="1"/>
  <c r="F51" i="1"/>
  <c r="D51" i="1"/>
  <c r="K63" i="1" l="1"/>
  <c r="Q63" i="1" s="1"/>
  <c r="J54" i="2"/>
  <c r="J56" i="2"/>
  <c r="O13" i="2"/>
  <c r="P61" i="2" s="1"/>
  <c r="P63" i="2" s="1"/>
  <c r="J63" i="1"/>
  <c r="H63" i="1"/>
  <c r="H51" i="1"/>
  <c r="J45" i="1"/>
  <c r="G8" i="1"/>
  <c r="H8" i="1" s="1"/>
  <c r="J8" i="1" s="1"/>
  <c r="K8" i="1" s="1"/>
  <c r="Q8" i="1" s="1"/>
  <c r="H7" i="1"/>
  <c r="J7" i="1" s="1"/>
  <c r="K7" i="1" s="1"/>
  <c r="Q7" i="1" s="1"/>
  <c r="H9" i="1"/>
  <c r="J9" i="1" s="1"/>
  <c r="K9" i="1" s="1"/>
  <c r="Q9" i="1" s="1"/>
  <c r="H10" i="1"/>
  <c r="J10" i="1" s="1"/>
  <c r="K10" i="1" s="1"/>
  <c r="Q10" i="1" s="1"/>
  <c r="H11" i="1"/>
  <c r="J11" i="1" s="1"/>
  <c r="K11" i="1" s="1"/>
  <c r="Q11" i="1" s="1"/>
  <c r="H13" i="1"/>
  <c r="J13" i="1" s="1"/>
  <c r="K13" i="1" s="1"/>
  <c r="Q13" i="1" s="1"/>
  <c r="H14" i="1"/>
  <c r="J14" i="1" s="1"/>
  <c r="K14" i="1" s="1"/>
  <c r="Q14" i="1" s="1"/>
  <c r="H15" i="1"/>
  <c r="J15" i="1" s="1"/>
  <c r="K15" i="1" s="1"/>
  <c r="Q15" i="1" s="1"/>
  <c r="H16" i="1"/>
  <c r="J16" i="1" s="1"/>
  <c r="K16" i="1" s="1"/>
  <c r="Q16" i="1" s="1"/>
  <c r="H17" i="1"/>
  <c r="J17" i="1" s="1"/>
  <c r="K17" i="1" s="1"/>
  <c r="Q17" i="1" s="1"/>
  <c r="H19" i="1"/>
  <c r="J19" i="1" s="1"/>
  <c r="K19" i="1" s="1"/>
  <c r="Q19" i="1" s="1"/>
  <c r="H21" i="1"/>
  <c r="J21" i="1" s="1"/>
  <c r="K21" i="1" s="1"/>
  <c r="Q21" i="1" s="1"/>
  <c r="H22" i="1"/>
  <c r="J22" i="1" s="1"/>
  <c r="K22" i="1" s="1"/>
  <c r="Q22" i="1" s="1"/>
  <c r="H24" i="1"/>
  <c r="J24" i="1" s="1"/>
  <c r="K24" i="1" s="1"/>
  <c r="Q24" i="1" s="1"/>
  <c r="H25" i="1"/>
  <c r="J25" i="1" s="1"/>
  <c r="K25" i="1" s="1"/>
  <c r="Q25" i="1" s="1"/>
  <c r="H26" i="1"/>
  <c r="J26" i="1" s="1"/>
  <c r="K26" i="1" s="1"/>
  <c r="Q26" i="1" s="1"/>
  <c r="H27" i="1"/>
  <c r="J27" i="1" s="1"/>
  <c r="K27" i="1" s="1"/>
  <c r="Q27" i="1" s="1"/>
  <c r="H28" i="1"/>
  <c r="J28" i="1" s="1"/>
  <c r="K28" i="1" s="1"/>
  <c r="Q28" i="1" s="1"/>
  <c r="H29" i="1"/>
  <c r="J29" i="1" s="1"/>
  <c r="K29" i="1" s="1"/>
  <c r="Q29" i="1" s="1"/>
  <c r="H30" i="1"/>
  <c r="J30" i="1" s="1"/>
  <c r="K30" i="1" s="1"/>
  <c r="Q30" i="1" s="1"/>
  <c r="H31" i="1"/>
  <c r="J31" i="1" s="1"/>
  <c r="K31" i="1" s="1"/>
  <c r="Q31" i="1" s="1"/>
  <c r="H32" i="1"/>
  <c r="J32" i="1" s="1"/>
  <c r="K32" i="1" s="1"/>
  <c r="Q32" i="1" s="1"/>
  <c r="H33" i="1"/>
  <c r="J33" i="1" s="1"/>
  <c r="K33" i="1" s="1"/>
  <c r="Q33" i="1" s="1"/>
  <c r="H34" i="1"/>
  <c r="J34" i="1" s="1"/>
  <c r="K34" i="1" s="1"/>
  <c r="Q34" i="1" s="1"/>
  <c r="H35" i="1"/>
  <c r="H6" i="1"/>
  <c r="J51" i="1" l="1"/>
  <c r="J35" i="1"/>
  <c r="K35" i="1" s="1"/>
  <c r="Q35" i="1" s="1"/>
  <c r="J6" i="1"/>
  <c r="K6" i="1" s="1"/>
  <c r="Q6" i="1" s="1"/>
  <c r="H39" i="1"/>
  <c r="Q45" i="1" l="1"/>
  <c r="Q51" i="1"/>
  <c r="J39" i="1"/>
  <c r="J68" i="1" s="1"/>
  <c r="K39" i="1"/>
  <c r="Q39" i="1" s="1"/>
  <c r="Q68" i="1" l="1"/>
</calcChain>
</file>

<file path=xl/sharedStrings.xml><?xml version="1.0" encoding="utf-8"?>
<sst xmlns="http://schemas.openxmlformats.org/spreadsheetml/2006/main" count="363" uniqueCount="191">
  <si>
    <t>Company</t>
  </si>
  <si>
    <t>ASX Code</t>
  </si>
  <si>
    <t>Shares @ 30/6/21</t>
  </si>
  <si>
    <t>Price @ 30/6/21</t>
  </si>
  <si>
    <t>Share values @ 30/6/21</t>
  </si>
  <si>
    <r>
      <rPr>
        <b/>
        <sz val="11"/>
        <color rgb="FFFF0000"/>
        <rFont val="Calibri"/>
        <family val="2"/>
        <scheme val="minor"/>
      </rPr>
      <t>Purchase</t>
    </r>
    <r>
      <rPr>
        <b/>
        <sz val="11"/>
        <color theme="1"/>
        <rFont val="Calibri"/>
        <family val="2"/>
        <scheme val="minor"/>
      </rPr>
      <t>/Sales</t>
    </r>
  </si>
  <si>
    <t>Shares @ 30/6/22</t>
  </si>
  <si>
    <t>Price @ 30/6/22</t>
  </si>
  <si>
    <t>Share values @ 30/6/22</t>
  </si>
  <si>
    <t>Movement</t>
  </si>
  <si>
    <t xml:space="preserve"> (+) Sold</t>
  </si>
  <si>
    <t>(-) Buy</t>
  </si>
  <si>
    <t>(-) CG</t>
  </si>
  <si>
    <t>(+) CL</t>
  </si>
  <si>
    <t>(+) / (-) Other</t>
  </si>
  <si>
    <t>Total Market Movement</t>
  </si>
  <si>
    <t>Notes</t>
  </si>
  <si>
    <t>AFI Company Limited</t>
  </si>
  <si>
    <t>AML3D Ltd</t>
  </si>
  <si>
    <t>Altium Ltd</t>
  </si>
  <si>
    <t>ANZ group limited</t>
  </si>
  <si>
    <t>Argo Investents limited</t>
  </si>
  <si>
    <t>BHP Group Limited</t>
  </si>
  <si>
    <t>Beach Energy limited</t>
  </si>
  <si>
    <t>Coles Group Ltd</t>
  </si>
  <si>
    <t>Collection House Ltd</t>
  </si>
  <si>
    <t>Commonwelath Bank of Australia</t>
  </si>
  <si>
    <t>Integrated Research Limited</t>
  </si>
  <si>
    <t>Jumbo Interactive Ltd</t>
  </si>
  <si>
    <t>Magellan Financial Group Ltd</t>
  </si>
  <si>
    <t>Macquarie Group Ltd</t>
  </si>
  <si>
    <t>NAB limited</t>
  </si>
  <si>
    <t>Navigator Global Investments Ltd</t>
  </si>
  <si>
    <t xml:space="preserve">Ramsay Health Care Ltd </t>
  </si>
  <si>
    <t>Santos Ltd</t>
  </si>
  <si>
    <t>St Barbara Ltd</t>
  </si>
  <si>
    <t>Service Stream Ltd</t>
  </si>
  <si>
    <t>Telstra</t>
  </si>
  <si>
    <t>Vita Group Ltd</t>
  </si>
  <si>
    <t>Wesfarmers</t>
  </si>
  <si>
    <t>Woodside Petroleum ltd</t>
  </si>
  <si>
    <t>Yield Maximiser Fund( Managed Fund)</t>
  </si>
  <si>
    <t>AFI</t>
  </si>
  <si>
    <t>AL3</t>
  </si>
  <si>
    <t>ALU</t>
  </si>
  <si>
    <t>ANZ</t>
  </si>
  <si>
    <t>ARG</t>
  </si>
  <si>
    <t>BHP</t>
  </si>
  <si>
    <t>BPT</t>
  </si>
  <si>
    <t>COL</t>
  </si>
  <si>
    <t>CLH</t>
  </si>
  <si>
    <t>CBA</t>
  </si>
  <si>
    <t>IRI</t>
  </si>
  <si>
    <t>JIN</t>
  </si>
  <si>
    <t>MFG</t>
  </si>
  <si>
    <t>MQG</t>
  </si>
  <si>
    <t>NAB</t>
  </si>
  <si>
    <t>NGI</t>
  </si>
  <si>
    <t>RHC</t>
  </si>
  <si>
    <t>STO</t>
  </si>
  <si>
    <t>SBM</t>
  </si>
  <si>
    <t>SSM</t>
  </si>
  <si>
    <t>TLS</t>
  </si>
  <si>
    <t>VTG</t>
  </si>
  <si>
    <t>WES</t>
  </si>
  <si>
    <t>YMAX</t>
  </si>
  <si>
    <t>ADH</t>
  </si>
  <si>
    <t>Adairs Limited</t>
  </si>
  <si>
    <t>UNIT TRUSTS</t>
  </si>
  <si>
    <t>NOTES</t>
  </si>
  <si>
    <t>APA Group</t>
  </si>
  <si>
    <t>APA</t>
  </si>
  <si>
    <t>Charter Hall group</t>
  </si>
  <si>
    <t>CHC</t>
  </si>
  <si>
    <t>Rural Funds Group</t>
  </si>
  <si>
    <t>RFF</t>
  </si>
  <si>
    <t>Commonwealth Bank of Australia (PERLS VIII)</t>
  </si>
  <si>
    <t>Macquarie Note (Cap notes 4)</t>
  </si>
  <si>
    <t>National Australia Bank note</t>
  </si>
  <si>
    <t>CBAPE</t>
  </si>
  <si>
    <t>MQGPD</t>
  </si>
  <si>
    <t>MBLPC</t>
  </si>
  <si>
    <t>NABPF</t>
  </si>
  <si>
    <t>Accent Group Limited</t>
  </si>
  <si>
    <t>AX1</t>
  </si>
  <si>
    <t>Integral Diagnostics Limited</t>
  </si>
  <si>
    <t>IDX</t>
  </si>
  <si>
    <t>JB Hi-Fi Limted</t>
  </si>
  <si>
    <t>JBH</t>
  </si>
  <si>
    <t>MFGO</t>
  </si>
  <si>
    <t>WDS</t>
  </si>
  <si>
    <t>Total portfolio holdings</t>
  </si>
  <si>
    <t>BUY</t>
  </si>
  <si>
    <t>SELL</t>
  </si>
  <si>
    <t>TOTAL</t>
  </si>
  <si>
    <t>Ramsay Health Care Limited</t>
  </si>
  <si>
    <t>Gain</t>
  </si>
  <si>
    <t>COST BASE</t>
  </si>
  <si>
    <t>Loss</t>
  </si>
  <si>
    <t>Total Losses</t>
  </si>
  <si>
    <t>Total Gains</t>
  </si>
  <si>
    <t>Net losses</t>
  </si>
  <si>
    <t>DATE</t>
  </si>
  <si>
    <t>COMPANY</t>
  </si>
  <si>
    <t>Buy 236 shares for $582.92</t>
  </si>
  <si>
    <t>Sold 300 shares on 05/01/22 for $501.00</t>
  </si>
  <si>
    <t>Sold 132 shares on 05/01/22 for $9,430.92</t>
  </si>
  <si>
    <t>Sold 250 shares on 17/03/22 for $1,962.5</t>
  </si>
  <si>
    <t>Sold 1000 shares on 07/01/22 for $775.00</t>
  </si>
  <si>
    <t>Sold 500 shares on 06/01/22 for $160.00</t>
  </si>
  <si>
    <t>Sold 500 shares on 05/01/22 for $690.00</t>
  </si>
  <si>
    <t>Sold 1000 shares on 02/08/21 for $1,915.00</t>
  </si>
  <si>
    <t>Sold 1400 shares on 27/07/21 for $265.00</t>
  </si>
  <si>
    <t>Buy 500 shares on 02/08/21 for $2,085.00</t>
  </si>
  <si>
    <t>Buy 2500 shares on 12/07/21 for $552.50</t>
  </si>
  <si>
    <t>SPP $5,000.00 on 31/03/22</t>
  </si>
  <si>
    <t>AUBREY SUPERANNUATION FUND</t>
  </si>
  <si>
    <t>Buy 100 shares for $5,194.00 on 28/07/21</t>
  </si>
  <si>
    <t>Buy 1000 shares for $2,545.00 on 28/07/21</t>
  </si>
  <si>
    <t>Buy 1000 shares for $5,285.00 on 28/07/21 and shares for $670.80 on 10/03/22</t>
  </si>
  <si>
    <t>Buy 200 shares for $9,913.00 on 30/07/21</t>
  </si>
  <si>
    <t>Return of capital, $2.00 per 98 shares</t>
  </si>
  <si>
    <t>36 shares received as part of BHP-WDS Merger on 01/06/22</t>
  </si>
  <si>
    <r>
      <t xml:space="preserve">Received 25 shares on 14/04/22 </t>
    </r>
    <r>
      <rPr>
        <sz val="11"/>
        <rFont val="Calibri"/>
        <family val="2"/>
        <scheme val="minor"/>
      </rPr>
      <t>- Options expiring 16/04/2027</t>
    </r>
  </si>
  <si>
    <t>Macquarie Note (Cap notes 3)</t>
  </si>
  <si>
    <t>Total marketment movement</t>
  </si>
  <si>
    <r>
      <t xml:space="preserve">SPP $19,893.12 on 03/12/21, </t>
    </r>
    <r>
      <rPr>
        <sz val="11"/>
        <rFont val="Calibri"/>
        <family val="2"/>
        <scheme val="minor"/>
      </rPr>
      <t>SPP refund of $106.88</t>
    </r>
  </si>
  <si>
    <t>CBAPE Redemption $7,500</t>
  </si>
  <si>
    <t>Income received via Bank statement</t>
  </si>
  <si>
    <t>Company Name</t>
  </si>
  <si>
    <t>Dis. Trust</t>
  </si>
  <si>
    <t>Unfranked Dividends</t>
  </si>
  <si>
    <t>Franked Dividends</t>
  </si>
  <si>
    <t>Franking Credits</t>
  </si>
  <si>
    <t>Withholding Tax</t>
  </si>
  <si>
    <t>Tax deferred</t>
  </si>
  <si>
    <t>Total</t>
  </si>
  <si>
    <t>CBA PERLS</t>
  </si>
  <si>
    <t>Remove from other debtors in 2021</t>
  </si>
  <si>
    <t>Total distribution</t>
  </si>
  <si>
    <t>NPP</t>
  </si>
  <si>
    <t>Capital gains</t>
  </si>
  <si>
    <t>CG Concession</t>
  </si>
  <si>
    <t>Foreign income</t>
  </si>
  <si>
    <t>Franking credits</t>
  </si>
  <si>
    <t>Tax withheld</t>
  </si>
  <si>
    <t>Foreign Tax credits</t>
  </si>
  <si>
    <t>RFF - Rural Funds</t>
  </si>
  <si>
    <t>CHC - Charter Hall</t>
  </si>
  <si>
    <t>Gross Distribution</t>
  </si>
  <si>
    <t>Tax Deferred</t>
  </si>
  <si>
    <t>Less: previous year's debtors</t>
  </si>
  <si>
    <t>Add: current year's debtors</t>
  </si>
  <si>
    <t>Summary of Annual Tax Statements</t>
  </si>
  <si>
    <t>11S - unfranked</t>
  </si>
  <si>
    <t>11T - franked</t>
  </si>
  <si>
    <t>11V - withholding tax deducted</t>
  </si>
  <si>
    <t>11U - franking credit</t>
  </si>
  <si>
    <t>13U - trust dist</t>
  </si>
  <si>
    <t>13L - share of net income from trusts</t>
  </si>
  <si>
    <t>13R - withholding tax deducted</t>
  </si>
  <si>
    <t>13C - franked dist from trust</t>
  </si>
  <si>
    <t>13Y - other deductions relating to NPP distributions</t>
  </si>
  <si>
    <t>13Q - share of franking credits from franked divs</t>
  </si>
  <si>
    <t>13A - share of credit for non-resident withholding amounts withheld</t>
  </si>
  <si>
    <t>18A - net capital gains</t>
  </si>
  <si>
    <t>18H - total capital gains</t>
  </si>
  <si>
    <t>20E - assessable foreign income</t>
  </si>
  <si>
    <t>20M - other net foreign source income</t>
  </si>
  <si>
    <t>20O - foreign income tax offset</t>
  </si>
  <si>
    <t>Gross Trust Dist - Goes into Tax Return</t>
  </si>
  <si>
    <t>Debtors 30/06/2021</t>
  </si>
  <si>
    <t>Debtors as at 30/06/2022</t>
  </si>
  <si>
    <t>To receive in 2023:</t>
  </si>
  <si>
    <t>Total Taxable</t>
  </si>
  <si>
    <t>**All information from Stock Doctor Portfolio Summary**</t>
  </si>
  <si>
    <t>Portfolio totals</t>
  </si>
  <si>
    <t>Other debtors from 2021 received in 2022</t>
  </si>
  <si>
    <t>Adjust for rounding</t>
  </si>
  <si>
    <t>not received in bank - in specie dividend (WDS shares for BHP dividend)</t>
  </si>
  <si>
    <t>In specie dividend payment</t>
  </si>
  <si>
    <t>Summary of income received in bank</t>
  </si>
  <si>
    <t>Total distribution reconciliation</t>
  </si>
  <si>
    <t xml:space="preserve">Summary of Other Debtors </t>
  </si>
  <si>
    <t>Income summary in financials:</t>
  </si>
  <si>
    <t>Franked divs</t>
  </si>
  <si>
    <t>Unfranked divs</t>
  </si>
  <si>
    <t>Dist from trusts</t>
  </si>
  <si>
    <t>Franking credits &amp; withholding tax</t>
  </si>
  <si>
    <t>Income summary in tax return:</t>
  </si>
  <si>
    <t>Withholding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</si>
</sst>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u val="singleAccounting"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11" borderId="0" applyNumberFormat="0" applyBorder="0" applyAlignment="0" applyProtection="0"/>
  </cellStyleXfs>
  <cellXfs count="1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44" fontId="3" fillId="3" borderId="3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44" fontId="0" fillId="0" borderId="0" xfId="1" applyFont="1"/>
    <xf numFmtId="44" fontId="0" fillId="0" borderId="4" xfId="1" applyFont="1" applyBorder="1"/>
    <xf numFmtId="44" fontId="0" fillId="0" borderId="0" xfId="1" applyFont="1" applyBorder="1"/>
    <xf numFmtId="44" fontId="0" fillId="0" borderId="4" xfId="1" applyFont="1" applyFill="1" applyBorder="1"/>
    <xf numFmtId="44" fontId="0" fillId="0" borderId="0" xfId="1" applyFont="1" applyFill="1" applyBorder="1"/>
    <xf numFmtId="0" fontId="0" fillId="0" borderId="6" xfId="0" applyBorder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 applyFill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2" borderId="0" xfId="0" applyNumberFormat="1" applyFill="1" applyAlignment="1">
      <alignment horizontal="center"/>
    </xf>
    <xf numFmtId="44" fontId="0" fillId="2" borderId="0" xfId="1" applyFont="1" applyFill="1" applyAlignment="1">
      <alignment horizontal="center"/>
    </xf>
    <xf numFmtId="44" fontId="0" fillId="3" borderId="0" xfId="1" applyFont="1" applyFill="1" applyAlignment="1">
      <alignment horizontal="center"/>
    </xf>
    <xf numFmtId="44" fontId="0" fillId="5" borderId="0" xfId="1" applyFont="1" applyFill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5" xfId="0" applyNumberFormat="1" applyBorder="1" applyAlignment="1">
      <alignment horizontal="center"/>
    </xf>
    <xf numFmtId="44" fontId="0" fillId="0" borderId="0" xfId="1" applyFont="1" applyFill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4" fontId="0" fillId="0" borderId="6" xfId="1" applyFont="1" applyBorder="1"/>
    <xf numFmtId="44" fontId="0" fillId="0" borderId="6" xfId="1" applyFont="1" applyFill="1" applyBorder="1"/>
    <xf numFmtId="44" fontId="0" fillId="0" borderId="6" xfId="1" applyFont="1" applyBorder="1" applyAlignment="1">
      <alignment horizontal="center"/>
    </xf>
    <xf numFmtId="44" fontId="0" fillId="0" borderId="10" xfId="1" applyFont="1" applyBorder="1" applyAlignment="1">
      <alignment horizontal="center"/>
    </xf>
    <xf numFmtId="0" fontId="0" fillId="8" borderId="0" xfId="0" applyFill="1"/>
    <xf numFmtId="0" fontId="2" fillId="0" borderId="0" xfId="0" applyFont="1"/>
    <xf numFmtId="0" fontId="0" fillId="8" borderId="0" xfId="0" applyFill="1" applyAlignment="1">
      <alignment horizontal="center"/>
    </xf>
    <xf numFmtId="0" fontId="2" fillId="0" borderId="0" xfId="0" applyFont="1" applyAlignment="1">
      <alignment horizontal="center"/>
    </xf>
    <xf numFmtId="44" fontId="0" fillId="8" borderId="0" xfId="1" applyFont="1" applyFill="1"/>
    <xf numFmtId="44" fontId="2" fillId="0" borderId="0" xfId="1" applyFont="1"/>
    <xf numFmtId="44" fontId="0" fillId="0" borderId="5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44" fontId="0" fillId="2" borderId="0" xfId="0" applyNumberFormat="1" applyFill="1"/>
    <xf numFmtId="0" fontId="6" fillId="8" borderId="4" xfId="0" applyFont="1" applyFill="1" applyBorder="1"/>
    <xf numFmtId="0" fontId="6" fillId="8" borderId="0" xfId="0" applyFont="1" applyFill="1" applyAlignment="1">
      <alignment horizontal="center"/>
    </xf>
    <xf numFmtId="44" fontId="0" fillId="8" borderId="0" xfId="1" applyFont="1" applyFill="1" applyAlignment="1">
      <alignment horizontal="center"/>
    </xf>
    <xf numFmtId="44" fontId="0" fillId="8" borderId="5" xfId="1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44" fontId="0" fillId="8" borderId="6" xfId="1" applyFont="1" applyFill="1" applyBorder="1"/>
    <xf numFmtId="0" fontId="0" fillId="8" borderId="6" xfId="0" applyFill="1" applyBorder="1" applyAlignment="1">
      <alignment horizontal="center"/>
    </xf>
    <xf numFmtId="0" fontId="0" fillId="8" borderId="0" xfId="0" applyFill="1" applyAlignment="1">
      <alignment horizontal="left"/>
    </xf>
    <xf numFmtId="0" fontId="2" fillId="0" borderId="4" xfId="0" applyFont="1" applyBorder="1"/>
    <xf numFmtId="44" fontId="2" fillId="0" borderId="0" xfId="1" applyFont="1" applyAlignment="1">
      <alignment horizontal="center"/>
    </xf>
    <xf numFmtId="44" fontId="2" fillId="0" borderId="5" xfId="1" applyFont="1" applyBorder="1" applyAlignment="1">
      <alignment horizontal="center"/>
    </xf>
    <xf numFmtId="44" fontId="2" fillId="0" borderId="4" xfId="1" applyFont="1" applyBorder="1"/>
    <xf numFmtId="44" fontId="2" fillId="0" borderId="0" xfId="1" applyFont="1" applyBorder="1"/>
    <xf numFmtId="44" fontId="2" fillId="0" borderId="6" xfId="1" applyFont="1" applyBorder="1"/>
    <xf numFmtId="0" fontId="2" fillId="0" borderId="5" xfId="0" applyFont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44" fontId="3" fillId="9" borderId="1" xfId="1" applyFont="1" applyFill="1" applyBorder="1" applyAlignment="1">
      <alignment horizontal="center"/>
    </xf>
    <xf numFmtId="0" fontId="6" fillId="8" borderId="0" xfId="0" applyFont="1" applyFill="1" applyAlignment="1">
      <alignment horizontal="left"/>
    </xf>
    <xf numFmtId="0" fontId="0" fillId="0" borderId="8" xfId="0" applyBorder="1"/>
    <xf numFmtId="44" fontId="0" fillId="0" borderId="8" xfId="1" applyFont="1" applyBorder="1"/>
    <xf numFmtId="14" fontId="0" fillId="0" borderId="0" xfId="0" applyNumberFormat="1" applyAlignment="1">
      <alignment horizontal="center"/>
    </xf>
    <xf numFmtId="44" fontId="8" fillId="7" borderId="0" xfId="3" applyNumberFormat="1"/>
    <xf numFmtId="44" fontId="7" fillId="6" borderId="0" xfId="2" applyNumberFormat="1"/>
    <xf numFmtId="44" fontId="0" fillId="0" borderId="8" xfId="0" applyNumberFormat="1" applyBorder="1" applyAlignment="1">
      <alignment horizontal="center"/>
    </xf>
    <xf numFmtId="44" fontId="8" fillId="7" borderId="0" xfId="3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4" fontId="2" fillId="0" borderId="0" xfId="1" applyFont="1" applyFill="1" applyAlignment="1">
      <alignment horizontal="center"/>
    </xf>
    <xf numFmtId="44" fontId="2" fillId="0" borderId="4" xfId="1" applyFont="1" applyFill="1" applyBorder="1"/>
    <xf numFmtId="44" fontId="2" fillId="0" borderId="0" xfId="1" applyFont="1" applyFill="1" applyBorder="1"/>
    <xf numFmtId="44" fontId="2" fillId="8" borderId="0" xfId="1" applyFont="1" applyFill="1" applyBorder="1"/>
    <xf numFmtId="0" fontId="6" fillId="10" borderId="4" xfId="0" applyFont="1" applyFill="1" applyBorder="1"/>
    <xf numFmtId="0" fontId="6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44" fontId="0" fillId="10" borderId="0" xfId="1" applyFont="1" applyFill="1" applyAlignment="1">
      <alignment horizontal="center"/>
    </xf>
    <xf numFmtId="44" fontId="0" fillId="10" borderId="5" xfId="1" applyFont="1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44" fontId="0" fillId="10" borderId="0" xfId="1" applyFont="1" applyFill="1"/>
    <xf numFmtId="44" fontId="2" fillId="10" borderId="0" xfId="1" applyFont="1" applyFill="1" applyBorder="1"/>
    <xf numFmtId="0" fontId="0" fillId="10" borderId="0" xfId="0" applyFill="1" applyAlignment="1">
      <alignment horizontal="left"/>
    </xf>
    <xf numFmtId="0" fontId="0" fillId="10" borderId="0" xfId="0" applyFill="1"/>
    <xf numFmtId="44" fontId="2" fillId="10" borderId="6" xfId="1" applyFont="1" applyFill="1" applyBorder="1"/>
    <xf numFmtId="44" fontId="0" fillId="0" borderId="11" xfId="1" applyFont="1" applyBorder="1"/>
    <xf numFmtId="44" fontId="0" fillId="0" borderId="0" xfId="0" applyNumberFormat="1"/>
    <xf numFmtId="44" fontId="1" fillId="0" borderId="4" xfId="1" applyFont="1" applyBorder="1"/>
    <xf numFmtId="44" fontId="1" fillId="0" borderId="0" xfId="1" applyFont="1" applyBorder="1"/>
    <xf numFmtId="44" fontId="1" fillId="8" borderId="4" xfId="1" applyFont="1" applyFill="1" applyBorder="1"/>
    <xf numFmtId="44" fontId="1" fillId="8" borderId="0" xfId="1" applyFont="1" applyFill="1" applyBorder="1"/>
    <xf numFmtId="44" fontId="1" fillId="0" borderId="4" xfId="1" applyFont="1" applyFill="1" applyBorder="1"/>
    <xf numFmtId="44" fontId="1" fillId="0" borderId="0" xfId="1" applyFont="1" applyFill="1" applyBorder="1"/>
    <xf numFmtId="44" fontId="1" fillId="10" borderId="4" xfId="1" applyFont="1" applyFill="1" applyBorder="1"/>
    <xf numFmtId="44" fontId="1" fillId="10" borderId="0" xfId="1" applyFont="1" applyFill="1" applyBorder="1"/>
    <xf numFmtId="44" fontId="6" fillId="0" borderId="0" xfId="1" applyFont="1" applyAlignment="1">
      <alignment horizontal="center"/>
    </xf>
    <xf numFmtId="44" fontId="6" fillId="0" borderId="5" xfId="1" applyFont="1" applyBorder="1" applyAlignment="1">
      <alignment horizontal="center"/>
    </xf>
    <xf numFmtId="44" fontId="6" fillId="0" borderId="0" xfId="1" applyFont="1" applyFill="1" applyAlignment="1">
      <alignment horizontal="center"/>
    </xf>
    <xf numFmtId="44" fontId="6" fillId="0" borderId="0" xfId="1" applyFont="1"/>
    <xf numFmtId="44" fontId="6" fillId="0" borderId="4" xfId="1" applyFont="1" applyFill="1" applyBorder="1"/>
    <xf numFmtId="44" fontId="6" fillId="0" borderId="0" xfId="1" applyFont="1" applyFill="1" applyBorder="1"/>
    <xf numFmtId="44" fontId="6" fillId="0" borderId="6" xfId="1" applyFont="1" applyBorder="1"/>
    <xf numFmtId="0" fontId="6" fillId="0" borderId="0" xfId="0" applyFont="1" applyAlignment="1">
      <alignment horizontal="left"/>
    </xf>
    <xf numFmtId="0" fontId="6" fillId="0" borderId="0" xfId="0" applyFont="1"/>
    <xf numFmtId="44" fontId="2" fillId="4" borderId="6" xfId="1" applyFont="1" applyFill="1" applyBorder="1"/>
    <xf numFmtId="44" fontId="6" fillId="0" borderId="4" xfId="1" applyFont="1" applyBorder="1"/>
    <xf numFmtId="44" fontId="6" fillId="0" borderId="0" xfId="1" applyFont="1" applyBorder="1"/>
    <xf numFmtId="44" fontId="6" fillId="10" borderId="0" xfId="1" applyFont="1" applyFill="1" applyBorder="1"/>
    <xf numFmtId="44" fontId="2" fillId="10" borderId="0" xfId="1" applyFont="1" applyFill="1"/>
    <xf numFmtId="0" fontId="5" fillId="3" borderId="0" xfId="0" applyFont="1" applyFill="1" applyAlignment="1">
      <alignment horizontal="center"/>
    </xf>
    <xf numFmtId="44" fontId="0" fillId="3" borderId="0" xfId="0" applyNumberFormat="1" applyFill="1"/>
    <xf numFmtId="44" fontId="2" fillId="0" borderId="6" xfId="1" applyFont="1" applyFill="1" applyBorder="1"/>
    <xf numFmtId="44" fontId="0" fillId="10" borderId="5" xfId="0" applyNumberFormat="1" applyFill="1" applyBorder="1" applyAlignment="1">
      <alignment horizontal="center"/>
    </xf>
    <xf numFmtId="44" fontId="3" fillId="3" borderId="1" xfId="1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44" fontId="0" fillId="12" borderId="0" xfId="1" applyFont="1" applyFill="1"/>
    <xf numFmtId="0" fontId="0" fillId="12" borderId="0" xfId="0" applyFill="1"/>
    <xf numFmtId="14" fontId="0" fillId="12" borderId="0" xfId="0" applyNumberForma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44" fontId="0" fillId="0" borderId="1" xfId="1" applyFont="1" applyFill="1" applyBorder="1"/>
    <xf numFmtId="44" fontId="2" fillId="0" borderId="1" xfId="1" applyFont="1" applyFill="1" applyBorder="1"/>
    <xf numFmtId="0" fontId="0" fillId="0" borderId="1" xfId="0" applyBorder="1"/>
    <xf numFmtId="0" fontId="3" fillId="0" borderId="0" xfId="0" applyFont="1"/>
    <xf numFmtId="44" fontId="3" fillId="0" borderId="0" xfId="1" applyFont="1" applyFill="1" applyBorder="1"/>
    <xf numFmtId="44" fontId="4" fillId="0" borderId="0" xfId="1" applyFont="1" applyFill="1" applyBorder="1"/>
    <xf numFmtId="44" fontId="0" fillId="9" borderId="0" xfId="0" applyNumberFormat="1" applyFill="1"/>
    <xf numFmtId="44" fontId="5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12" fillId="0" borderId="0" xfId="0" applyFont="1"/>
    <xf numFmtId="44" fontId="0" fillId="0" borderId="1" xfId="0" applyNumberFormat="1" applyBorder="1"/>
    <xf numFmtId="44" fontId="2" fillId="0" borderId="1" xfId="0" applyNumberFormat="1" applyFont="1" applyBorder="1"/>
    <xf numFmtId="0" fontId="2" fillId="0" borderId="1" xfId="0" applyFont="1" applyBorder="1"/>
    <xf numFmtId="44" fontId="3" fillId="0" borderId="0" xfId="0" applyNumberFormat="1" applyFont="1"/>
    <xf numFmtId="44" fontId="4" fillId="0" borderId="0" xfId="0" applyNumberFormat="1" applyFont="1"/>
    <xf numFmtId="44" fontId="0" fillId="0" borderId="8" xfId="1" applyFont="1" applyFill="1" applyBorder="1"/>
    <xf numFmtId="44" fontId="0" fillId="9" borderId="0" xfId="1" applyFont="1" applyFill="1" applyBorder="1"/>
    <xf numFmtId="44" fontId="13" fillId="0" borderId="0" xfId="1" applyFont="1"/>
    <xf numFmtId="44" fontId="9" fillId="3" borderId="1" xfId="1" applyFont="1" applyFill="1" applyBorder="1" applyAlignment="1">
      <alignment horizontal="center"/>
    </xf>
    <xf numFmtId="14" fontId="2" fillId="10" borderId="0" xfId="0" applyNumberFormat="1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0" xfId="0" applyFont="1" applyFill="1"/>
    <xf numFmtId="14" fontId="0" fillId="9" borderId="0" xfId="0" applyNumberFormat="1" applyFill="1" applyAlignment="1">
      <alignment horizontal="center"/>
    </xf>
    <xf numFmtId="44" fontId="0" fillId="9" borderId="0" xfId="1" applyFont="1" applyFill="1"/>
    <xf numFmtId="0" fontId="0" fillId="9" borderId="0" xfId="0" applyFill="1" applyAlignment="1">
      <alignment horizontal="center"/>
    </xf>
    <xf numFmtId="0" fontId="0" fillId="9" borderId="0" xfId="0" applyFill="1"/>
    <xf numFmtId="44" fontId="3" fillId="0" borderId="0" xfId="1" applyFont="1"/>
    <xf numFmtId="44" fontId="3" fillId="9" borderId="0" xfId="1" applyFont="1" applyFill="1"/>
    <xf numFmtId="44" fontId="4" fillId="10" borderId="0" xfId="1" applyFont="1" applyFill="1"/>
    <xf numFmtId="44" fontId="0" fillId="12" borderId="0" xfId="1" applyFont="1" applyFill="1" applyAlignment="1">
      <alignment horizontal="left"/>
    </xf>
    <xf numFmtId="0" fontId="0" fillId="13" borderId="0" xfId="0" applyFill="1" applyAlignment="1">
      <alignment horizontal="left"/>
    </xf>
    <xf numFmtId="0" fontId="3" fillId="0" borderId="0" xfId="0" applyFont="1" applyAlignment="1">
      <alignment horizontal="center"/>
    </xf>
    <xf numFmtId="44" fontId="0" fillId="13" borderId="12" xfId="1" applyFont="1" applyFill="1" applyBorder="1"/>
    <xf numFmtId="0" fontId="0" fillId="13" borderId="12" xfId="0" applyFill="1" applyBorder="1" applyAlignment="1">
      <alignment horizontal="center"/>
    </xf>
    <xf numFmtId="44" fontId="0" fillId="10" borderId="0" xfId="1" applyFont="1" applyFill="1" applyAlignment="1">
      <alignment horizontal="left"/>
    </xf>
    <xf numFmtId="0" fontId="0" fillId="0" borderId="5" xfId="0" applyBorder="1"/>
    <xf numFmtId="0" fontId="2" fillId="0" borderId="5" xfId="0" applyFont="1" applyBorder="1"/>
    <xf numFmtId="44" fontId="3" fillId="14" borderId="0" xfId="1" applyFont="1" applyFill="1" applyBorder="1"/>
    <xf numFmtId="44" fontId="3" fillId="10" borderId="0" xfId="0" applyNumberFormat="1" applyFont="1" applyFill="1"/>
    <xf numFmtId="44" fontId="0" fillId="0" borderId="5" xfId="0" applyNumberFormat="1" applyBorder="1"/>
    <xf numFmtId="44" fontId="0" fillId="10" borderId="1" xfId="0" applyNumberFormat="1" applyFill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5" xfId="0" applyFont="1" applyBorder="1"/>
    <xf numFmtId="44" fontId="5" fillId="10" borderId="0" xfId="0" applyNumberFormat="1" applyFont="1" applyFill="1" applyAlignment="1">
      <alignment horizontal="center"/>
    </xf>
    <xf numFmtId="0" fontId="2" fillId="0" borderId="8" xfId="0" applyFont="1" applyBorder="1"/>
    <xf numFmtId="44" fontId="0" fillId="0" borderId="8" xfId="0" applyNumberFormat="1" applyBorder="1"/>
    <xf numFmtId="44" fontId="3" fillId="15" borderId="0" xfId="1" applyFont="1" applyFill="1" applyBorder="1"/>
    <xf numFmtId="44" fontId="2" fillId="0" borderId="0" xfId="0" applyNumberFormat="1" applyFont="1"/>
    <xf numFmtId="44" fontId="3" fillId="10" borderId="0" xfId="1" applyFont="1" applyFill="1" applyBorder="1"/>
    <xf numFmtId="44" fontId="3" fillId="8" borderId="0" xfId="1" applyFont="1" applyFill="1" applyBorder="1"/>
    <xf numFmtId="44" fontId="0" fillId="0" borderId="9" xfId="1" applyFont="1" applyFill="1" applyBorder="1"/>
    <xf numFmtId="44" fontId="0" fillId="0" borderId="3" xfId="1" applyFont="1" applyFill="1" applyBorder="1"/>
    <xf numFmtId="44" fontId="0" fillId="14" borderId="1" xfId="1" applyFont="1" applyFill="1" applyBorder="1"/>
    <xf numFmtId="44" fontId="0" fillId="15" borderId="1" xfId="1" applyFont="1" applyFill="1" applyBorder="1"/>
    <xf numFmtId="44" fontId="0" fillId="10" borderId="1" xfId="1" applyFont="1" applyFill="1" applyBorder="1"/>
    <xf numFmtId="44" fontId="0" fillId="8" borderId="1" xfId="1" applyFont="1" applyFill="1" applyBorder="1"/>
    <xf numFmtId="0" fontId="0" fillId="14" borderId="0" xfId="0" applyFill="1"/>
    <xf numFmtId="0" fontId="0" fillId="15" borderId="0" xfId="0" applyFill="1"/>
    <xf numFmtId="0" fontId="5" fillId="14" borderId="0" xfId="0" applyFont="1" applyFill="1" applyAlignment="1">
      <alignment horizontal="center"/>
    </xf>
    <xf numFmtId="0" fontId="5" fillId="15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0" borderId="0" xfId="0" applyFont="1"/>
    <xf numFmtId="44" fontId="14" fillId="16" borderId="0" xfId="1" applyFont="1" applyFill="1"/>
    <xf numFmtId="44" fontId="6" fillId="16" borderId="0" xfId="1" applyFont="1" applyFill="1"/>
    <xf numFmtId="0" fontId="3" fillId="11" borderId="0" xfId="4" applyFont="1" applyAlignment="1">
      <alignment horizontal="center"/>
    </xf>
  </cellXfs>
  <cellStyles count="5">
    <cellStyle name="20% - Accent3" xfId="4" builtinId="38"/>
    <cellStyle name="Bad" xfId="3" builtinId="27"/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13</xdr:col>
      <xdr:colOff>399314</xdr:colOff>
      <xdr:row>58</xdr:row>
      <xdr:rowOff>37000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A7CFA2-1DBD-496A-8975-072D518F5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286000"/>
          <a:ext cx="5885714" cy="88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Portfolio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"/>
      <sheetName val="CGT"/>
      <sheetName val="Dividends"/>
      <sheetName val="Other debtors"/>
    </sheetNames>
    <sheetDataSet>
      <sheetData sheetId="0"/>
      <sheetData sheetId="1"/>
      <sheetData sheetId="2"/>
      <sheetData sheetId="3">
        <row r="3">
          <cell r="D3">
            <v>211.03</v>
          </cell>
        </row>
        <row r="4">
          <cell r="D4">
            <v>536.81000000000006</v>
          </cell>
        </row>
        <row r="5">
          <cell r="D5">
            <v>-104.67999999999996</v>
          </cell>
        </row>
        <row r="6">
          <cell r="D6">
            <v>488.50000000000006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499A-9711-454F-B773-C4A5D259C764}">
  <sheetPr>
    <tabColor rgb="FFFFC000"/>
  </sheetPr>
  <dimension ref="A2:R89"/>
  <sheetViews>
    <sheetView tabSelected="1" topLeftCell="D4" zoomScaleNormal="100" workbookViewId="0">
      <selection activeCell="P58" sqref="P58"/>
    </sheetView>
  </sheetViews>
  <sheetFormatPr defaultRowHeight="15" x14ac:dyDescent="0.25"/>
  <cols>
    <col min="1" max="1" width="9.140625" style="38"/>
    <col min="2" max="2" width="43.7109375" bestFit="1" customWidth="1"/>
    <col min="3" max="3" width="9.42578125" bestFit="1" customWidth="1"/>
    <col min="4" max="4" width="16.42578125" customWidth="1"/>
    <col min="5" max="5" width="15" customWidth="1"/>
    <col min="6" max="6" width="22" customWidth="1"/>
    <col min="7" max="7" width="14.5703125" style="1" customWidth="1"/>
    <col min="8" max="8" width="16.42578125" style="1" customWidth="1"/>
    <col min="9" max="9" width="16.42578125" customWidth="1"/>
    <col min="10" max="10" width="23.28515625" customWidth="1"/>
    <col min="11" max="11" width="12.28515625" customWidth="1"/>
    <col min="12" max="12" width="11.5703125" customWidth="1"/>
    <col min="13" max="13" width="12.42578125" customWidth="1"/>
    <col min="14" max="14" width="11.42578125" customWidth="1"/>
    <col min="15" max="15" width="14.85546875" customWidth="1"/>
    <col min="16" max="16" width="12.85546875" customWidth="1"/>
    <col min="17" max="17" width="27.5703125" bestFit="1" customWidth="1"/>
    <col min="18" max="18" width="70" bestFit="1" customWidth="1"/>
  </cols>
  <sheetData>
    <row r="2" spans="1:18" x14ac:dyDescent="0.25">
      <c r="B2" s="197" t="s">
        <v>116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18" x14ac:dyDescent="0.25">
      <c r="C3" s="1"/>
      <c r="D3" s="1"/>
      <c r="E3" s="1"/>
      <c r="F3" s="1"/>
      <c r="R3" s="2"/>
    </row>
    <row r="4" spans="1:18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4" t="s">
        <v>6</v>
      </c>
      <c r="I4" s="5" t="s">
        <v>7</v>
      </c>
      <c r="J4" s="5" t="s">
        <v>8</v>
      </c>
      <c r="K4" s="6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39" t="s">
        <v>14</v>
      </c>
      <c r="Q4" s="40" t="s">
        <v>15</v>
      </c>
      <c r="R4" s="8" t="s">
        <v>16</v>
      </c>
    </row>
    <row r="5" spans="1:18" x14ac:dyDescent="0.25">
      <c r="B5" s="9"/>
      <c r="C5" s="1"/>
      <c r="D5" s="1"/>
      <c r="E5" s="1"/>
      <c r="F5" s="10"/>
      <c r="G5" s="17"/>
      <c r="I5" s="12"/>
      <c r="J5" s="12"/>
      <c r="K5" s="12"/>
      <c r="L5" s="13"/>
      <c r="M5" s="14"/>
      <c r="N5" s="14"/>
      <c r="O5" s="14"/>
      <c r="P5" s="14"/>
      <c r="Q5" s="97"/>
      <c r="R5" s="2"/>
    </row>
    <row r="6" spans="1:18" s="46" customFormat="1" x14ac:dyDescent="0.25">
      <c r="A6" s="38">
        <v>2520.4899999999998</v>
      </c>
      <c r="B6" s="63" t="s">
        <v>67</v>
      </c>
      <c r="C6" s="48" t="s">
        <v>66</v>
      </c>
      <c r="D6" s="48"/>
      <c r="E6" s="48"/>
      <c r="F6" s="69"/>
      <c r="G6" s="36">
        <v>500</v>
      </c>
      <c r="H6" s="48">
        <f>D6+G6</f>
        <v>500</v>
      </c>
      <c r="I6" s="50">
        <v>1.91</v>
      </c>
      <c r="J6" s="50">
        <f>H6*I6</f>
        <v>955</v>
      </c>
      <c r="K6" s="50">
        <f>J6-F6</f>
        <v>955</v>
      </c>
      <c r="L6" s="66"/>
      <c r="M6" s="67">
        <f>-(2085)</f>
        <v>-2085</v>
      </c>
      <c r="N6" s="67"/>
      <c r="O6" s="67"/>
      <c r="P6" s="67"/>
      <c r="Q6" s="68">
        <f>SUM(K6:P6)</f>
        <v>-1130</v>
      </c>
      <c r="R6" s="35" t="s">
        <v>113</v>
      </c>
    </row>
    <row r="7" spans="1:18" s="115" customFormat="1" x14ac:dyDescent="0.25">
      <c r="A7" s="38">
        <v>2520.0100000000002</v>
      </c>
      <c r="B7" s="37" t="s">
        <v>17</v>
      </c>
      <c r="C7" s="38" t="s">
        <v>42</v>
      </c>
      <c r="D7" s="38">
        <v>2000</v>
      </c>
      <c r="E7" s="107">
        <v>7.82</v>
      </c>
      <c r="F7" s="108">
        <v>15640</v>
      </c>
      <c r="G7" s="52">
        <v>0</v>
      </c>
      <c r="H7" s="38">
        <f t="shared" ref="H7:H35" si="0">D7+G7</f>
        <v>2000</v>
      </c>
      <c r="I7" s="110">
        <v>7.51</v>
      </c>
      <c r="J7" s="110">
        <f t="shared" ref="J7:J34" si="1">H7*I7</f>
        <v>15020</v>
      </c>
      <c r="K7" s="110">
        <f t="shared" ref="K7:K35" si="2">J7-F7</f>
        <v>-620</v>
      </c>
      <c r="L7" s="117"/>
      <c r="M7" s="118"/>
      <c r="N7" s="118"/>
      <c r="O7" s="118"/>
      <c r="P7" s="118"/>
      <c r="Q7" s="113">
        <f t="shared" ref="Q7:Q35" si="3">SUM(K7:P7)</f>
        <v>-620</v>
      </c>
      <c r="R7" s="114"/>
    </row>
    <row r="8" spans="1:18" x14ac:dyDescent="0.25">
      <c r="A8" s="38">
        <v>2520.5</v>
      </c>
      <c r="B8" s="37" t="s">
        <v>18</v>
      </c>
      <c r="C8" s="38" t="s">
        <v>43</v>
      </c>
      <c r="D8" s="1">
        <v>2000</v>
      </c>
      <c r="E8" s="18">
        <v>0.20499999999999999</v>
      </c>
      <c r="F8" s="51">
        <v>410</v>
      </c>
      <c r="G8" s="36">
        <f>4500-D8</f>
        <v>2500</v>
      </c>
      <c r="H8" s="1">
        <f t="shared" si="0"/>
        <v>4500</v>
      </c>
      <c r="I8" s="12">
        <v>5.1999999999999998E-2</v>
      </c>
      <c r="J8" s="12">
        <f t="shared" si="1"/>
        <v>234</v>
      </c>
      <c r="K8" s="50">
        <f t="shared" si="2"/>
        <v>-176</v>
      </c>
      <c r="L8" s="99"/>
      <c r="M8" s="84">
        <f>-(552.5)</f>
        <v>-552.5</v>
      </c>
      <c r="N8" s="100"/>
      <c r="O8" s="100"/>
      <c r="P8" s="100"/>
      <c r="Q8" s="68">
        <f t="shared" si="3"/>
        <v>-728.5</v>
      </c>
      <c r="R8" s="35" t="s">
        <v>114</v>
      </c>
    </row>
    <row r="9" spans="1:18" s="115" customFormat="1" x14ac:dyDescent="0.25">
      <c r="A9" s="38">
        <v>2520.02</v>
      </c>
      <c r="B9" s="37" t="s">
        <v>19</v>
      </c>
      <c r="C9" s="38" t="s">
        <v>44</v>
      </c>
      <c r="D9" s="38">
        <v>250</v>
      </c>
      <c r="E9" s="107">
        <v>36.69</v>
      </c>
      <c r="F9" s="108">
        <v>9172.5</v>
      </c>
      <c r="G9" s="52">
        <v>0</v>
      </c>
      <c r="H9" s="38">
        <f t="shared" si="0"/>
        <v>250</v>
      </c>
      <c r="I9" s="110">
        <v>26.91</v>
      </c>
      <c r="J9" s="110">
        <f t="shared" si="1"/>
        <v>6727.5</v>
      </c>
      <c r="K9" s="110">
        <f t="shared" si="2"/>
        <v>-2445</v>
      </c>
      <c r="L9" s="117"/>
      <c r="M9" s="118"/>
      <c r="N9" s="118"/>
      <c r="O9" s="118"/>
      <c r="P9" s="118"/>
      <c r="Q9" s="113">
        <f t="shared" si="3"/>
        <v>-2445</v>
      </c>
      <c r="R9" s="114"/>
    </row>
    <row r="10" spans="1:18" s="115" customFormat="1" x14ac:dyDescent="0.25">
      <c r="A10" s="38">
        <v>2520.0300000000002</v>
      </c>
      <c r="B10" s="37" t="s">
        <v>20</v>
      </c>
      <c r="C10" s="38" t="s">
        <v>45</v>
      </c>
      <c r="D10" s="38">
        <v>300</v>
      </c>
      <c r="E10" s="107">
        <v>28.15</v>
      </c>
      <c r="F10" s="108">
        <v>8445</v>
      </c>
      <c r="G10" s="52">
        <v>0</v>
      </c>
      <c r="H10" s="38">
        <f t="shared" si="0"/>
        <v>300</v>
      </c>
      <c r="I10" s="110">
        <v>22.03</v>
      </c>
      <c r="J10" s="110">
        <f t="shared" si="1"/>
        <v>6609</v>
      </c>
      <c r="K10" s="110">
        <f t="shared" si="2"/>
        <v>-1836</v>
      </c>
      <c r="L10" s="117"/>
      <c r="M10" s="118"/>
      <c r="N10" s="118"/>
      <c r="O10" s="118"/>
      <c r="P10" s="118"/>
      <c r="Q10" s="113">
        <f t="shared" si="3"/>
        <v>-1836</v>
      </c>
      <c r="R10" s="114"/>
    </row>
    <row r="11" spans="1:18" x14ac:dyDescent="0.25">
      <c r="A11" s="38">
        <v>2520.0500000000002</v>
      </c>
      <c r="B11" s="37" t="s">
        <v>21</v>
      </c>
      <c r="C11" s="38" t="s">
        <v>46</v>
      </c>
      <c r="D11" s="1">
        <v>1983</v>
      </c>
      <c r="E11" s="18">
        <v>8.93</v>
      </c>
      <c r="F11" s="51">
        <v>17708.189999999999</v>
      </c>
      <c r="G11" s="36">
        <f>2521-D11</f>
        <v>538</v>
      </c>
      <c r="H11" s="1">
        <f t="shared" si="0"/>
        <v>2521</v>
      </c>
      <c r="I11" s="12">
        <v>8.8000000000000007</v>
      </c>
      <c r="J11" s="12">
        <f t="shared" si="1"/>
        <v>22184.800000000003</v>
      </c>
      <c r="K11" s="50">
        <f t="shared" si="2"/>
        <v>4476.6100000000042</v>
      </c>
      <c r="L11" s="99"/>
      <c r="M11" s="67">
        <f>-(5000)</f>
        <v>-5000</v>
      </c>
      <c r="N11" s="100"/>
      <c r="O11" s="100"/>
      <c r="P11" s="100"/>
      <c r="Q11" s="68">
        <f t="shared" si="3"/>
        <v>-523.38999999999578</v>
      </c>
      <c r="R11" s="35" t="s">
        <v>115</v>
      </c>
    </row>
    <row r="12" spans="1:18" s="46" customFormat="1" x14ac:dyDescent="0.25">
      <c r="A12" s="38">
        <v>2520.5100000000002</v>
      </c>
      <c r="B12" s="63" t="s">
        <v>83</v>
      </c>
      <c r="C12" s="48" t="s">
        <v>84</v>
      </c>
      <c r="D12" s="48"/>
      <c r="E12" s="64"/>
      <c r="F12" s="65"/>
      <c r="G12" s="36">
        <v>1000</v>
      </c>
      <c r="H12" s="48">
        <f t="shared" si="0"/>
        <v>1000</v>
      </c>
      <c r="I12" s="50">
        <v>1.24</v>
      </c>
      <c r="J12" s="50">
        <f t="shared" si="1"/>
        <v>1240</v>
      </c>
      <c r="K12" s="50">
        <f t="shared" si="2"/>
        <v>1240</v>
      </c>
      <c r="L12" s="66"/>
      <c r="M12" s="84">
        <f>-(2545)</f>
        <v>-2545</v>
      </c>
      <c r="N12" s="67"/>
      <c r="O12" s="67"/>
      <c r="P12" s="67"/>
      <c r="Q12" s="68">
        <f t="shared" si="3"/>
        <v>-1305</v>
      </c>
      <c r="R12" s="35" t="s">
        <v>118</v>
      </c>
    </row>
    <row r="13" spans="1:18" s="115" customFormat="1" x14ac:dyDescent="0.25">
      <c r="A13" s="38">
        <v>2520.09</v>
      </c>
      <c r="B13" s="37" t="s">
        <v>22</v>
      </c>
      <c r="C13" s="38" t="s">
        <v>47</v>
      </c>
      <c r="D13" s="38">
        <v>200</v>
      </c>
      <c r="E13" s="107">
        <v>48.57</v>
      </c>
      <c r="F13" s="108">
        <v>9714</v>
      </c>
      <c r="G13" s="52">
        <v>0</v>
      </c>
      <c r="H13" s="38">
        <f t="shared" si="0"/>
        <v>200</v>
      </c>
      <c r="I13" s="110">
        <v>41.25</v>
      </c>
      <c r="J13" s="110">
        <f t="shared" si="1"/>
        <v>8250</v>
      </c>
      <c r="K13" s="110">
        <f t="shared" si="2"/>
        <v>-1464</v>
      </c>
      <c r="L13" s="117"/>
      <c r="M13" s="118"/>
      <c r="N13" s="118"/>
      <c r="O13" s="118"/>
      <c r="P13" s="118"/>
      <c r="Q13" s="113">
        <f t="shared" si="3"/>
        <v>-1464</v>
      </c>
      <c r="R13" s="114"/>
    </row>
    <row r="14" spans="1:18" s="115" customFormat="1" x14ac:dyDescent="0.25">
      <c r="A14" s="38">
        <v>2520.08</v>
      </c>
      <c r="B14" s="37" t="s">
        <v>23</v>
      </c>
      <c r="C14" s="38" t="s">
        <v>48</v>
      </c>
      <c r="D14" s="38">
        <v>1579</v>
      </c>
      <c r="E14" s="107">
        <v>1.24</v>
      </c>
      <c r="F14" s="108">
        <v>1957.96</v>
      </c>
      <c r="G14" s="52">
        <v>0</v>
      </c>
      <c r="H14" s="38">
        <f t="shared" si="0"/>
        <v>1579</v>
      </c>
      <c r="I14" s="110">
        <v>1.7250000000000001</v>
      </c>
      <c r="J14" s="110">
        <f t="shared" si="1"/>
        <v>2723.7750000000001</v>
      </c>
      <c r="K14" s="110">
        <f t="shared" si="2"/>
        <v>765.81500000000005</v>
      </c>
      <c r="L14" s="117"/>
      <c r="M14" s="118"/>
      <c r="N14" s="118"/>
      <c r="O14" s="118"/>
      <c r="P14" s="118"/>
      <c r="Q14" s="113">
        <f t="shared" si="3"/>
        <v>765.81500000000005</v>
      </c>
      <c r="R14" s="114"/>
    </row>
    <row r="15" spans="1:18" s="115" customFormat="1" x14ac:dyDescent="0.25">
      <c r="A15" s="38">
        <v>2520.4</v>
      </c>
      <c r="B15" s="37" t="s">
        <v>24</v>
      </c>
      <c r="C15" s="38" t="s">
        <v>49</v>
      </c>
      <c r="D15" s="38">
        <v>98</v>
      </c>
      <c r="E15" s="107">
        <v>17.09</v>
      </c>
      <c r="F15" s="108">
        <v>1674.82</v>
      </c>
      <c r="G15" s="52">
        <v>0</v>
      </c>
      <c r="H15" s="38">
        <f t="shared" si="0"/>
        <v>98</v>
      </c>
      <c r="I15" s="110">
        <v>17.809999999999999</v>
      </c>
      <c r="J15" s="110">
        <f t="shared" si="1"/>
        <v>1745.3799999999999</v>
      </c>
      <c r="K15" s="110">
        <f t="shared" si="2"/>
        <v>70.559999999999945</v>
      </c>
      <c r="L15" s="117"/>
      <c r="M15" s="118"/>
      <c r="N15" s="118"/>
      <c r="O15" s="118"/>
      <c r="P15" s="118"/>
      <c r="Q15" s="113">
        <f t="shared" si="3"/>
        <v>70.559999999999945</v>
      </c>
      <c r="R15" s="114"/>
    </row>
    <row r="16" spans="1:18" s="45" customFormat="1" x14ac:dyDescent="0.25">
      <c r="A16" s="56">
        <v>2520.11</v>
      </c>
      <c r="B16" s="55" t="s">
        <v>25</v>
      </c>
      <c r="C16" s="56" t="s">
        <v>50</v>
      </c>
      <c r="D16" s="47">
        <v>1400</v>
      </c>
      <c r="E16" s="57">
        <v>0.15</v>
      </c>
      <c r="F16" s="58">
        <v>210</v>
      </c>
      <c r="G16" s="61"/>
      <c r="H16" s="47">
        <f t="shared" si="0"/>
        <v>1400</v>
      </c>
      <c r="I16" s="49"/>
      <c r="J16" s="49">
        <f t="shared" si="1"/>
        <v>0</v>
      </c>
      <c r="K16" s="49">
        <f t="shared" si="2"/>
        <v>-210</v>
      </c>
      <c r="L16" s="101">
        <f>265</f>
        <v>265</v>
      </c>
      <c r="M16" s="85"/>
      <c r="N16" s="102"/>
      <c r="O16" s="102">
        <f>CGT!O58</f>
        <v>2151.9499999999998</v>
      </c>
      <c r="P16" s="102"/>
      <c r="Q16" s="60">
        <f t="shared" si="3"/>
        <v>2206.9499999999998</v>
      </c>
      <c r="R16" s="62" t="s">
        <v>112</v>
      </c>
    </row>
    <row r="17" spans="1:18" s="115" customFormat="1" x14ac:dyDescent="0.25">
      <c r="A17" s="38">
        <v>2520.13</v>
      </c>
      <c r="B17" s="37" t="s">
        <v>26</v>
      </c>
      <c r="C17" s="38" t="s">
        <v>51</v>
      </c>
      <c r="D17" s="38">
        <v>400</v>
      </c>
      <c r="E17" s="107">
        <v>99.87</v>
      </c>
      <c r="F17" s="108">
        <v>39948</v>
      </c>
      <c r="G17" s="52">
        <v>0</v>
      </c>
      <c r="H17" s="38">
        <f t="shared" si="0"/>
        <v>400</v>
      </c>
      <c r="I17" s="110">
        <v>90.38</v>
      </c>
      <c r="J17" s="110">
        <f t="shared" si="1"/>
        <v>36152</v>
      </c>
      <c r="K17" s="110">
        <f t="shared" si="2"/>
        <v>-3796</v>
      </c>
      <c r="L17" s="117"/>
      <c r="M17" s="118"/>
      <c r="N17" s="118"/>
      <c r="O17" s="118"/>
      <c r="P17" s="118"/>
      <c r="Q17" s="113">
        <f t="shared" si="3"/>
        <v>-3796</v>
      </c>
      <c r="R17" s="114"/>
    </row>
    <row r="18" spans="1:18" s="46" customFormat="1" x14ac:dyDescent="0.25">
      <c r="A18" s="38">
        <v>2520.52</v>
      </c>
      <c r="B18" s="63" t="s">
        <v>85</v>
      </c>
      <c r="C18" s="48" t="s">
        <v>86</v>
      </c>
      <c r="D18" s="48"/>
      <c r="E18" s="64"/>
      <c r="F18" s="65"/>
      <c r="G18" s="36">
        <v>1195</v>
      </c>
      <c r="H18" s="48">
        <f t="shared" si="0"/>
        <v>1195</v>
      </c>
      <c r="I18" s="50">
        <v>3.03</v>
      </c>
      <c r="J18" s="50">
        <f t="shared" si="1"/>
        <v>3620.85</v>
      </c>
      <c r="K18" s="50">
        <f t="shared" si="2"/>
        <v>3620.85</v>
      </c>
      <c r="L18" s="66"/>
      <c r="M18" s="84">
        <f>-(5285+670.8)</f>
        <v>-5955.8</v>
      </c>
      <c r="N18" s="67"/>
      <c r="O18" s="67"/>
      <c r="P18" s="67"/>
      <c r="Q18" s="68">
        <f t="shared" si="3"/>
        <v>-2334.9500000000003</v>
      </c>
      <c r="R18" s="35" t="s">
        <v>119</v>
      </c>
    </row>
    <row r="19" spans="1:18" s="45" customFormat="1" x14ac:dyDescent="0.25">
      <c r="A19" s="56">
        <v>2520.2399999999998</v>
      </c>
      <c r="B19" s="55" t="s">
        <v>27</v>
      </c>
      <c r="C19" s="56" t="s">
        <v>52</v>
      </c>
      <c r="D19" s="47">
        <v>1000</v>
      </c>
      <c r="E19" s="57">
        <v>1.9450000000000001</v>
      </c>
      <c r="F19" s="58">
        <v>1945</v>
      </c>
      <c r="G19" s="61"/>
      <c r="H19" s="47">
        <f t="shared" si="0"/>
        <v>1000</v>
      </c>
      <c r="I19" s="49"/>
      <c r="J19" s="49">
        <f t="shared" si="1"/>
        <v>0</v>
      </c>
      <c r="K19" s="49">
        <f t="shared" si="2"/>
        <v>-1945</v>
      </c>
      <c r="L19" s="101">
        <f>1910.7+4.3</f>
        <v>1915</v>
      </c>
      <c r="M19" s="85"/>
      <c r="N19" s="102"/>
      <c r="O19" s="102">
        <f>CGT!O50</f>
        <v>2080</v>
      </c>
      <c r="P19" s="102"/>
      <c r="Q19" s="60">
        <f t="shared" si="3"/>
        <v>2050</v>
      </c>
      <c r="R19" s="62" t="s">
        <v>111</v>
      </c>
    </row>
    <row r="20" spans="1:18" s="46" customFormat="1" x14ac:dyDescent="0.25">
      <c r="A20" s="38">
        <v>2520.5300000000002</v>
      </c>
      <c r="B20" s="63" t="s">
        <v>87</v>
      </c>
      <c r="C20" s="48" t="s">
        <v>88</v>
      </c>
      <c r="D20" s="48"/>
      <c r="E20" s="64"/>
      <c r="F20" s="65"/>
      <c r="G20" s="36">
        <v>200</v>
      </c>
      <c r="H20" s="48">
        <f t="shared" si="0"/>
        <v>200</v>
      </c>
      <c r="I20" s="50">
        <v>38.46</v>
      </c>
      <c r="J20" s="50">
        <f t="shared" si="1"/>
        <v>7692</v>
      </c>
      <c r="K20" s="50">
        <f t="shared" si="2"/>
        <v>7692</v>
      </c>
      <c r="L20" s="66"/>
      <c r="M20" s="67">
        <f>-(9913)</f>
        <v>-9913</v>
      </c>
      <c r="N20" s="67"/>
      <c r="O20" s="67"/>
      <c r="P20" s="67"/>
      <c r="Q20" s="68">
        <f t="shared" si="3"/>
        <v>-2221</v>
      </c>
      <c r="R20" s="35" t="s">
        <v>120</v>
      </c>
    </row>
    <row r="21" spans="1:18" s="115" customFormat="1" x14ac:dyDescent="0.25">
      <c r="A21" s="38">
        <v>2520.44</v>
      </c>
      <c r="B21" s="37" t="s">
        <v>28</v>
      </c>
      <c r="C21" s="38" t="s">
        <v>53</v>
      </c>
      <c r="D21" s="38">
        <v>200</v>
      </c>
      <c r="E21" s="107">
        <v>17.77</v>
      </c>
      <c r="F21" s="108">
        <v>3554</v>
      </c>
      <c r="G21" s="52">
        <v>0</v>
      </c>
      <c r="H21" s="38">
        <f t="shared" si="0"/>
        <v>200</v>
      </c>
      <c r="I21" s="110">
        <v>14.22</v>
      </c>
      <c r="J21" s="110">
        <f t="shared" si="1"/>
        <v>2844</v>
      </c>
      <c r="K21" s="110">
        <f t="shared" si="2"/>
        <v>-710</v>
      </c>
      <c r="L21" s="117"/>
      <c r="M21" s="118"/>
      <c r="N21" s="118"/>
      <c r="O21" s="118"/>
      <c r="P21" s="118"/>
      <c r="Q21" s="113">
        <f t="shared" si="3"/>
        <v>-710</v>
      </c>
      <c r="R21" s="114"/>
    </row>
    <row r="22" spans="1:18" x14ac:dyDescent="0.25">
      <c r="A22" s="38">
        <v>2520.4699999999998</v>
      </c>
      <c r="B22" s="37" t="s">
        <v>29</v>
      </c>
      <c r="C22" s="38" t="s">
        <v>54</v>
      </c>
      <c r="D22" s="1">
        <v>100</v>
      </c>
      <c r="E22" s="18">
        <v>53.86</v>
      </c>
      <c r="F22" s="51">
        <v>5386</v>
      </c>
      <c r="G22" s="36">
        <v>100</v>
      </c>
      <c r="H22" s="1">
        <f t="shared" si="0"/>
        <v>200</v>
      </c>
      <c r="I22" s="12">
        <v>12.92</v>
      </c>
      <c r="J22" s="12">
        <f t="shared" si="1"/>
        <v>2584</v>
      </c>
      <c r="K22" s="50">
        <f t="shared" si="2"/>
        <v>-2802</v>
      </c>
      <c r="L22" s="99"/>
      <c r="M22" s="67">
        <f>-(5194)</f>
        <v>-5194</v>
      </c>
      <c r="N22" s="100"/>
      <c r="O22" s="100"/>
      <c r="P22" s="100"/>
      <c r="Q22" s="68">
        <f t="shared" si="3"/>
        <v>-7996</v>
      </c>
      <c r="R22" s="35" t="s">
        <v>117</v>
      </c>
    </row>
    <row r="23" spans="1:18" s="46" customFormat="1" x14ac:dyDescent="0.25">
      <c r="A23" s="38">
        <v>2520.54</v>
      </c>
      <c r="B23" s="63" t="s">
        <v>29</v>
      </c>
      <c r="C23" s="48" t="s">
        <v>89</v>
      </c>
      <c r="D23" s="48"/>
      <c r="E23" s="64"/>
      <c r="F23" s="65"/>
      <c r="G23" s="36">
        <v>25</v>
      </c>
      <c r="H23" s="48">
        <f t="shared" si="0"/>
        <v>25</v>
      </c>
      <c r="I23" s="50">
        <v>0.73499999999999999</v>
      </c>
      <c r="J23" s="50">
        <f t="shared" si="1"/>
        <v>18.375</v>
      </c>
      <c r="K23" s="50">
        <f t="shared" si="2"/>
        <v>18.375</v>
      </c>
      <c r="L23" s="66">
        <v>0</v>
      </c>
      <c r="M23" s="67">
        <v>0</v>
      </c>
      <c r="N23" s="67">
        <v>0</v>
      </c>
      <c r="O23" s="67">
        <v>0</v>
      </c>
      <c r="P23" s="67">
        <v>0</v>
      </c>
      <c r="Q23" s="116">
        <f t="shared" si="3"/>
        <v>18.375</v>
      </c>
      <c r="R23" s="35" t="s">
        <v>123</v>
      </c>
    </row>
    <row r="24" spans="1:18" x14ac:dyDescent="0.25">
      <c r="A24" s="38">
        <v>2520.41</v>
      </c>
      <c r="B24" s="37" t="s">
        <v>30</v>
      </c>
      <c r="C24" s="38" t="s">
        <v>55</v>
      </c>
      <c r="D24" s="1">
        <v>325</v>
      </c>
      <c r="E24" s="18">
        <v>156.43</v>
      </c>
      <c r="F24" s="51">
        <v>50839.75</v>
      </c>
      <c r="G24" s="36">
        <f>429-D24</f>
        <v>104</v>
      </c>
      <c r="H24" s="1">
        <f t="shared" si="0"/>
        <v>429</v>
      </c>
      <c r="I24" s="19">
        <v>164.51</v>
      </c>
      <c r="J24" s="12">
        <f t="shared" si="1"/>
        <v>70574.789999999994</v>
      </c>
      <c r="K24" s="50">
        <f t="shared" si="2"/>
        <v>19735.039999999994</v>
      </c>
      <c r="L24" s="103"/>
      <c r="M24" s="84">
        <f>-(10000+10000)</f>
        <v>-20000</v>
      </c>
      <c r="N24" s="104"/>
      <c r="O24" s="104"/>
      <c r="P24" s="84">
        <v>106.88</v>
      </c>
      <c r="Q24" s="68">
        <f t="shared" si="3"/>
        <v>-158.08000000000641</v>
      </c>
      <c r="R24" s="35" t="s">
        <v>126</v>
      </c>
    </row>
    <row r="25" spans="1:18" s="115" customFormat="1" x14ac:dyDescent="0.25">
      <c r="A25" s="38">
        <v>2520.25</v>
      </c>
      <c r="B25" s="37" t="s">
        <v>31</v>
      </c>
      <c r="C25" s="38" t="s">
        <v>56</v>
      </c>
      <c r="D25" s="38">
        <v>895</v>
      </c>
      <c r="E25" s="107">
        <v>26.22</v>
      </c>
      <c r="F25" s="108">
        <v>23466.899999999998</v>
      </c>
      <c r="G25" s="52">
        <v>0</v>
      </c>
      <c r="H25" s="38">
        <f t="shared" si="0"/>
        <v>895</v>
      </c>
      <c r="I25" s="109">
        <v>27.39</v>
      </c>
      <c r="J25" s="110">
        <f t="shared" si="1"/>
        <v>24514.05</v>
      </c>
      <c r="K25" s="110">
        <f t="shared" si="2"/>
        <v>1047.1500000000015</v>
      </c>
      <c r="L25" s="111"/>
      <c r="M25" s="112"/>
      <c r="N25" s="112"/>
      <c r="O25" s="112"/>
      <c r="P25" s="112"/>
      <c r="Q25" s="113">
        <f t="shared" si="3"/>
        <v>1047.1500000000015</v>
      </c>
      <c r="R25" s="114"/>
    </row>
    <row r="26" spans="1:18" s="45" customFormat="1" x14ac:dyDescent="0.25">
      <c r="A26" s="56">
        <v>2520.4499999999998</v>
      </c>
      <c r="B26" s="55" t="s">
        <v>32</v>
      </c>
      <c r="C26" s="56" t="s">
        <v>57</v>
      </c>
      <c r="D26" s="47">
        <v>300</v>
      </c>
      <c r="E26" s="57">
        <v>1.7849999999999999</v>
      </c>
      <c r="F26" s="58">
        <v>535.5</v>
      </c>
      <c r="G26" s="61"/>
      <c r="H26" s="47">
        <f t="shared" si="0"/>
        <v>300</v>
      </c>
      <c r="I26" s="57"/>
      <c r="J26" s="49">
        <f t="shared" si="1"/>
        <v>0</v>
      </c>
      <c r="K26" s="49">
        <f t="shared" si="2"/>
        <v>-535.5</v>
      </c>
      <c r="L26" s="101">
        <f>501</f>
        <v>501</v>
      </c>
      <c r="M26" s="85"/>
      <c r="N26" s="102"/>
      <c r="O26" s="102">
        <f>CGT!O38</f>
        <v>702</v>
      </c>
      <c r="P26" s="102"/>
      <c r="Q26" s="60">
        <f t="shared" si="3"/>
        <v>667.5</v>
      </c>
      <c r="R26" s="62" t="s">
        <v>105</v>
      </c>
    </row>
    <row r="27" spans="1:18" s="45" customFormat="1" x14ac:dyDescent="0.25">
      <c r="A27" s="56">
        <v>2520.3000000000002</v>
      </c>
      <c r="B27" s="55" t="s">
        <v>33</v>
      </c>
      <c r="C27" s="56" t="s">
        <v>58</v>
      </c>
      <c r="D27" s="47">
        <v>132</v>
      </c>
      <c r="E27" s="57">
        <v>62.95</v>
      </c>
      <c r="F27" s="58">
        <v>8309.4</v>
      </c>
      <c r="G27" s="61"/>
      <c r="H27" s="47">
        <f t="shared" si="0"/>
        <v>132</v>
      </c>
      <c r="I27" s="57"/>
      <c r="J27" s="49">
        <f t="shared" si="1"/>
        <v>0</v>
      </c>
      <c r="K27" s="49">
        <f t="shared" si="2"/>
        <v>-8309.4</v>
      </c>
      <c r="L27" s="101">
        <f>9430.92</f>
        <v>9430.92</v>
      </c>
      <c r="M27" s="85"/>
      <c r="N27" s="102">
        <f>CGT!O13</f>
        <v>-1274.9200000000005</v>
      </c>
      <c r="O27" s="102"/>
      <c r="P27" s="102"/>
      <c r="Q27" s="60">
        <f t="shared" si="3"/>
        <v>-153.40000000000009</v>
      </c>
      <c r="R27" s="62" t="s">
        <v>106</v>
      </c>
    </row>
    <row r="28" spans="1:18" s="115" customFormat="1" x14ac:dyDescent="0.25">
      <c r="A28" s="38">
        <v>2520.42</v>
      </c>
      <c r="B28" s="37" t="s">
        <v>34</v>
      </c>
      <c r="C28" s="38" t="s">
        <v>59</v>
      </c>
      <c r="D28" s="38">
        <v>600</v>
      </c>
      <c r="E28" s="107">
        <v>7.09</v>
      </c>
      <c r="F28" s="108">
        <v>4254</v>
      </c>
      <c r="G28" s="52">
        <v>0</v>
      </c>
      <c r="H28" s="38">
        <f t="shared" si="0"/>
        <v>600</v>
      </c>
      <c r="I28" s="109">
        <v>7.42</v>
      </c>
      <c r="J28" s="110">
        <f t="shared" si="1"/>
        <v>4452</v>
      </c>
      <c r="K28" s="110">
        <f t="shared" si="2"/>
        <v>198</v>
      </c>
      <c r="L28" s="111"/>
      <c r="M28" s="112"/>
      <c r="N28" s="112"/>
      <c r="O28" s="112"/>
      <c r="P28" s="112"/>
      <c r="Q28" s="113">
        <f t="shared" si="3"/>
        <v>198</v>
      </c>
      <c r="R28" s="114"/>
    </row>
    <row r="29" spans="1:18" s="45" customFormat="1" x14ac:dyDescent="0.25">
      <c r="A29" s="56">
        <v>2520.4299999999998</v>
      </c>
      <c r="B29" s="55" t="s">
        <v>35</v>
      </c>
      <c r="C29" s="56" t="s">
        <v>60</v>
      </c>
      <c r="D29" s="47">
        <v>500</v>
      </c>
      <c r="E29" s="57">
        <v>1.7050000000000001</v>
      </c>
      <c r="F29" s="58">
        <v>852.5</v>
      </c>
      <c r="G29" s="61"/>
      <c r="H29" s="47">
        <f t="shared" si="0"/>
        <v>500</v>
      </c>
      <c r="I29" s="57"/>
      <c r="J29" s="49">
        <f t="shared" si="1"/>
        <v>0</v>
      </c>
      <c r="K29" s="49">
        <f t="shared" si="2"/>
        <v>-852.5</v>
      </c>
      <c r="L29" s="101">
        <f>690</f>
        <v>690</v>
      </c>
      <c r="M29" s="85"/>
      <c r="N29" s="102"/>
      <c r="O29" s="102">
        <f>CGT!O44</f>
        <v>730</v>
      </c>
      <c r="P29" s="102"/>
      <c r="Q29" s="60">
        <f t="shared" si="3"/>
        <v>567.5</v>
      </c>
      <c r="R29" s="62" t="s">
        <v>110</v>
      </c>
    </row>
    <row r="30" spans="1:18" s="45" customFormat="1" x14ac:dyDescent="0.25">
      <c r="A30" s="56">
        <v>2520.48</v>
      </c>
      <c r="B30" s="55" t="s">
        <v>36</v>
      </c>
      <c r="C30" s="56" t="s">
        <v>61</v>
      </c>
      <c r="D30" s="47">
        <v>1000</v>
      </c>
      <c r="E30" s="57">
        <v>0.87</v>
      </c>
      <c r="F30" s="58">
        <v>870</v>
      </c>
      <c r="G30" s="61"/>
      <c r="H30" s="47">
        <f t="shared" si="0"/>
        <v>1000</v>
      </c>
      <c r="I30" s="57"/>
      <c r="J30" s="49">
        <f t="shared" si="1"/>
        <v>0</v>
      </c>
      <c r="K30" s="49">
        <f t="shared" si="2"/>
        <v>-870</v>
      </c>
      <c r="L30" s="101">
        <f>775</f>
        <v>775</v>
      </c>
      <c r="M30" s="85"/>
      <c r="N30" s="102"/>
      <c r="O30" s="102">
        <f>CGT!O26</f>
        <v>1400</v>
      </c>
      <c r="P30" s="102"/>
      <c r="Q30" s="60">
        <f t="shared" si="3"/>
        <v>1305</v>
      </c>
      <c r="R30" s="62" t="s">
        <v>108</v>
      </c>
    </row>
    <row r="31" spans="1:18" x14ac:dyDescent="0.25">
      <c r="A31" s="38">
        <v>2520.33</v>
      </c>
      <c r="B31" s="37" t="s">
        <v>37</v>
      </c>
      <c r="C31" s="38" t="s">
        <v>62</v>
      </c>
      <c r="D31" s="1">
        <v>2000</v>
      </c>
      <c r="E31" s="18">
        <v>3.76</v>
      </c>
      <c r="F31" s="51">
        <v>7520</v>
      </c>
      <c r="G31" s="52">
        <v>0</v>
      </c>
      <c r="H31" s="1">
        <f t="shared" si="0"/>
        <v>2000</v>
      </c>
      <c r="I31" s="19">
        <v>3.85</v>
      </c>
      <c r="J31" s="12">
        <f t="shared" si="1"/>
        <v>7700</v>
      </c>
      <c r="K31" s="12">
        <f t="shared" si="2"/>
        <v>180</v>
      </c>
      <c r="L31" s="103"/>
      <c r="M31" s="84"/>
      <c r="N31" s="104"/>
      <c r="O31" s="104"/>
      <c r="P31" s="104"/>
      <c r="Q31" s="42">
        <f t="shared" si="3"/>
        <v>180</v>
      </c>
      <c r="R31" s="2"/>
    </row>
    <row r="32" spans="1:18" s="45" customFormat="1" x14ac:dyDescent="0.25">
      <c r="A32" s="56">
        <v>2520.35</v>
      </c>
      <c r="B32" s="55" t="s">
        <v>38</v>
      </c>
      <c r="C32" s="56" t="s">
        <v>63</v>
      </c>
      <c r="D32" s="47">
        <v>500</v>
      </c>
      <c r="E32" s="57">
        <v>0.95</v>
      </c>
      <c r="F32" s="58">
        <v>475</v>
      </c>
      <c r="G32" s="59"/>
      <c r="H32" s="47">
        <f t="shared" si="0"/>
        <v>500</v>
      </c>
      <c r="I32" s="57"/>
      <c r="J32" s="49">
        <f t="shared" si="1"/>
        <v>0</v>
      </c>
      <c r="K32" s="49">
        <f t="shared" si="2"/>
        <v>-475</v>
      </c>
      <c r="L32" s="101">
        <f>160</f>
        <v>160</v>
      </c>
      <c r="M32" s="85"/>
      <c r="N32" s="102"/>
      <c r="O32" s="102">
        <f>CGT!O32</f>
        <v>2025</v>
      </c>
      <c r="P32" s="102"/>
      <c r="Q32" s="60">
        <f t="shared" si="3"/>
        <v>1710</v>
      </c>
      <c r="R32" s="72" t="s">
        <v>109</v>
      </c>
    </row>
    <row r="33" spans="1:18" s="95" customFormat="1" x14ac:dyDescent="0.25">
      <c r="A33" s="87">
        <v>2520.36</v>
      </c>
      <c r="B33" s="86" t="s">
        <v>39</v>
      </c>
      <c r="C33" s="87" t="s">
        <v>64</v>
      </c>
      <c r="D33" s="88">
        <v>98</v>
      </c>
      <c r="E33" s="89">
        <v>59.1</v>
      </c>
      <c r="F33" s="90">
        <v>5791.8</v>
      </c>
      <c r="G33" s="91">
        <v>0</v>
      </c>
      <c r="H33" s="88">
        <f t="shared" si="0"/>
        <v>98</v>
      </c>
      <c r="I33" s="89">
        <v>41.91</v>
      </c>
      <c r="J33" s="92">
        <f t="shared" si="1"/>
        <v>4107.1799999999994</v>
      </c>
      <c r="K33" s="120">
        <f t="shared" si="2"/>
        <v>-1684.6200000000008</v>
      </c>
      <c r="L33" s="105"/>
      <c r="M33" s="93"/>
      <c r="N33" s="106"/>
      <c r="O33" s="106"/>
      <c r="P33" s="119">
        <v>196</v>
      </c>
      <c r="Q33" s="96">
        <f t="shared" si="3"/>
        <v>-1488.6200000000008</v>
      </c>
      <c r="R33" s="94" t="s">
        <v>121</v>
      </c>
    </row>
    <row r="34" spans="1:18" s="115" customFormat="1" x14ac:dyDescent="0.25">
      <c r="A34" s="38">
        <v>2520.37</v>
      </c>
      <c r="B34" s="37" t="s">
        <v>40</v>
      </c>
      <c r="C34" s="38" t="s">
        <v>90</v>
      </c>
      <c r="D34" s="38">
        <v>100</v>
      </c>
      <c r="E34" s="107">
        <v>22.21</v>
      </c>
      <c r="F34" s="108">
        <v>2221</v>
      </c>
      <c r="G34" s="36">
        <f>136-D34</f>
        <v>36</v>
      </c>
      <c r="H34" s="38">
        <f t="shared" si="0"/>
        <v>136</v>
      </c>
      <c r="I34" s="109">
        <v>31.84</v>
      </c>
      <c r="J34" s="110">
        <f t="shared" si="1"/>
        <v>4330.24</v>
      </c>
      <c r="K34" s="50">
        <f t="shared" si="2"/>
        <v>2109.2399999999998</v>
      </c>
      <c r="L34" s="111">
        <v>0</v>
      </c>
      <c r="M34" s="112">
        <v>0</v>
      </c>
      <c r="N34" s="112">
        <v>0</v>
      </c>
      <c r="O34" s="112">
        <v>0</v>
      </c>
      <c r="P34" s="112">
        <v>0</v>
      </c>
      <c r="Q34" s="68">
        <f t="shared" si="3"/>
        <v>2109.2399999999998</v>
      </c>
      <c r="R34" s="35" t="s">
        <v>122</v>
      </c>
    </row>
    <row r="35" spans="1:18" s="45" customFormat="1" x14ac:dyDescent="0.25">
      <c r="A35" s="56">
        <v>2520.39</v>
      </c>
      <c r="B35" s="55" t="s">
        <v>41</v>
      </c>
      <c r="C35" s="56" t="s">
        <v>65</v>
      </c>
      <c r="D35" s="47">
        <v>250</v>
      </c>
      <c r="E35" s="57">
        <v>8.25</v>
      </c>
      <c r="F35" s="58">
        <v>2062.5</v>
      </c>
      <c r="G35" s="59"/>
      <c r="H35" s="47">
        <f t="shared" si="0"/>
        <v>250</v>
      </c>
      <c r="I35" s="57"/>
      <c r="J35" s="49">
        <f>H35*I35</f>
        <v>0</v>
      </c>
      <c r="K35" s="49">
        <f t="shared" si="2"/>
        <v>-2062.5</v>
      </c>
      <c r="L35" s="101">
        <f>1962.5</f>
        <v>1962.5</v>
      </c>
      <c r="M35" s="85"/>
      <c r="N35" s="102"/>
      <c r="O35" s="102">
        <f>CGT!O20</f>
        <v>977.5</v>
      </c>
      <c r="P35" s="102"/>
      <c r="Q35" s="60">
        <f t="shared" si="3"/>
        <v>877.5</v>
      </c>
      <c r="R35" s="72" t="s">
        <v>107</v>
      </c>
    </row>
    <row r="36" spans="1:18" x14ac:dyDescent="0.25">
      <c r="B36" s="9"/>
      <c r="C36" s="1"/>
      <c r="D36" s="1"/>
      <c r="E36" s="18"/>
      <c r="F36" s="51"/>
      <c r="G36" s="17"/>
      <c r="I36" s="19"/>
      <c r="J36" s="12"/>
      <c r="K36" s="12"/>
      <c r="L36" s="15"/>
      <c r="M36" s="16"/>
      <c r="N36" s="16"/>
      <c r="O36" s="16"/>
      <c r="P36" s="16"/>
      <c r="Q36" s="42"/>
      <c r="R36" s="2"/>
    </row>
    <row r="37" spans="1:18" x14ac:dyDescent="0.25">
      <c r="B37" s="9"/>
      <c r="C37" s="1"/>
      <c r="D37" s="1"/>
      <c r="E37" s="18"/>
      <c r="F37" s="51"/>
      <c r="G37" s="36"/>
      <c r="I37" s="19"/>
      <c r="J37" s="12"/>
      <c r="K37" s="12"/>
      <c r="L37" s="15"/>
      <c r="M37" s="16"/>
      <c r="N37" s="16"/>
      <c r="O37" s="16"/>
      <c r="P37" s="16"/>
      <c r="Q37" s="42"/>
      <c r="R37" s="35"/>
    </row>
    <row r="38" spans="1:18" x14ac:dyDescent="0.25">
      <c r="B38" s="22"/>
      <c r="C38" s="23"/>
      <c r="D38" s="23"/>
      <c r="E38" s="23"/>
      <c r="F38" s="24"/>
      <c r="G38" s="25"/>
      <c r="H38" s="23"/>
      <c r="I38" s="26"/>
      <c r="J38" s="26"/>
      <c r="K38" s="26"/>
      <c r="L38" s="27"/>
      <c r="M38" s="26"/>
      <c r="N38" s="26"/>
      <c r="O38" s="26"/>
      <c r="P38" s="26"/>
      <c r="Q38" s="44"/>
      <c r="R38" s="2"/>
    </row>
    <row r="39" spans="1:18" x14ac:dyDescent="0.25">
      <c r="C39" s="1"/>
      <c r="D39" s="1">
        <f>SUM(D6:D38)</f>
        <v>18210</v>
      </c>
      <c r="E39" s="1"/>
      <c r="F39" s="28">
        <f>SUM(F6:F38)</f>
        <v>222963.81999999998</v>
      </c>
      <c r="H39" s="1">
        <f>SUM(H6:H38)</f>
        <v>24408</v>
      </c>
      <c r="I39" s="18"/>
      <c r="J39" s="29">
        <f>SUM(J6:J38)</f>
        <v>234278.93999999997</v>
      </c>
      <c r="K39" s="30">
        <f>SUM(K6:K38)</f>
        <v>11315.12</v>
      </c>
      <c r="L39" s="31">
        <f>SUM(L6:L38)</f>
        <v>15699.42</v>
      </c>
      <c r="M39" s="31">
        <f>SUM(M6:M38)</f>
        <v>-51245.3</v>
      </c>
      <c r="N39" s="31">
        <f t="shared" ref="N39:P39" si="4">SUM(N6:N38)</f>
        <v>-1274.9200000000005</v>
      </c>
      <c r="O39" s="31">
        <f t="shared" si="4"/>
        <v>10066.450000000001</v>
      </c>
      <c r="P39" s="31">
        <f t="shared" si="4"/>
        <v>302.88</v>
      </c>
      <c r="Q39" s="30">
        <f>SUM(K39:P39)</f>
        <v>-15136.350000000004</v>
      </c>
      <c r="R39" s="2"/>
    </row>
    <row r="43" spans="1:18" x14ac:dyDescent="0.25">
      <c r="B43" s="3" t="s">
        <v>68</v>
      </c>
      <c r="C43" s="3" t="s">
        <v>1</v>
      </c>
      <c r="D43" s="3" t="s">
        <v>2</v>
      </c>
      <c r="E43" s="3" t="s">
        <v>3</v>
      </c>
      <c r="F43" s="3" t="s">
        <v>4</v>
      </c>
      <c r="G43" s="3" t="s">
        <v>5</v>
      </c>
      <c r="H43" s="4" t="s">
        <v>6</v>
      </c>
      <c r="I43" s="5" t="s">
        <v>7</v>
      </c>
      <c r="J43" s="5" t="s">
        <v>8</v>
      </c>
      <c r="K43" s="6" t="s">
        <v>9</v>
      </c>
      <c r="L43" s="7" t="s">
        <v>10</v>
      </c>
      <c r="M43" s="7" t="s">
        <v>11</v>
      </c>
      <c r="N43" s="7" t="s">
        <v>12</v>
      </c>
      <c r="O43" s="7" t="s">
        <v>13</v>
      </c>
      <c r="P43" s="39" t="s">
        <v>14</v>
      </c>
      <c r="Q43" s="40" t="s">
        <v>15</v>
      </c>
      <c r="R43" s="8" t="s">
        <v>16</v>
      </c>
    </row>
    <row r="44" spans="1:18" x14ac:dyDescent="0.25">
      <c r="B44" s="9"/>
      <c r="C44" s="1"/>
      <c r="D44" s="1"/>
      <c r="E44" s="1"/>
      <c r="F44" s="10"/>
      <c r="G44" s="11"/>
      <c r="H44"/>
      <c r="I44" s="12"/>
      <c r="J44" s="12"/>
      <c r="K44" s="12"/>
      <c r="L44" s="13"/>
      <c r="M44" s="14"/>
      <c r="N44" s="14"/>
      <c r="O44" s="14"/>
      <c r="P44" s="14"/>
      <c r="Q44" s="41"/>
      <c r="R44" s="2"/>
    </row>
    <row r="45" spans="1:18" x14ac:dyDescent="0.25">
      <c r="A45" s="38">
        <v>2640.01</v>
      </c>
      <c r="B45" s="9" t="s">
        <v>70</v>
      </c>
      <c r="C45" s="1" t="s">
        <v>71</v>
      </c>
      <c r="D45" s="1">
        <v>1333</v>
      </c>
      <c r="E45" s="32">
        <v>8.9</v>
      </c>
      <c r="F45" s="33">
        <v>11863.7</v>
      </c>
      <c r="G45" s="17">
        <v>0</v>
      </c>
      <c r="H45" s="1">
        <f>D45+G45</f>
        <v>1333</v>
      </c>
      <c r="I45" s="19">
        <v>11.27</v>
      </c>
      <c r="J45" s="19">
        <f>H45*I45</f>
        <v>15022.91</v>
      </c>
      <c r="K45" s="34">
        <f>J45-F45</f>
        <v>3159.2099999999991</v>
      </c>
      <c r="L45" s="15"/>
      <c r="M45" s="84"/>
      <c r="N45" s="16"/>
      <c r="O45" s="16"/>
      <c r="P45" s="16"/>
      <c r="Q45" s="42">
        <f>SUM(K45:P45)</f>
        <v>3159.2099999999991</v>
      </c>
      <c r="R45" s="2"/>
    </row>
    <row r="46" spans="1:18" x14ac:dyDescent="0.25">
      <c r="A46" s="38">
        <v>2640.02</v>
      </c>
      <c r="B46" s="9" t="s">
        <v>72</v>
      </c>
      <c r="C46" s="1" t="s">
        <v>73</v>
      </c>
      <c r="D46" s="1">
        <v>800</v>
      </c>
      <c r="E46" s="32">
        <v>15.52</v>
      </c>
      <c r="F46" s="33">
        <v>12416</v>
      </c>
      <c r="G46" s="17">
        <v>0</v>
      </c>
      <c r="H46" s="1">
        <f t="shared" ref="H46:H47" si="5">D46+G46</f>
        <v>800</v>
      </c>
      <c r="I46" s="19">
        <v>10.83</v>
      </c>
      <c r="J46" s="19">
        <f t="shared" ref="J46:J47" si="6">H46*I46</f>
        <v>8664</v>
      </c>
      <c r="K46" s="34">
        <f>J46-F46</f>
        <v>-3752</v>
      </c>
      <c r="L46" s="15"/>
      <c r="M46" s="84"/>
      <c r="N46" s="16"/>
      <c r="O46" s="16"/>
      <c r="P46" s="16"/>
      <c r="Q46" s="42">
        <f t="shared" ref="Q46:Q47" si="7">SUM(K46:P46)</f>
        <v>-3752</v>
      </c>
      <c r="R46" s="35"/>
    </row>
    <row r="47" spans="1:18" s="46" customFormat="1" x14ac:dyDescent="0.25">
      <c r="A47" s="38">
        <v>2640.04</v>
      </c>
      <c r="B47" s="63" t="s">
        <v>74</v>
      </c>
      <c r="C47" s="48" t="s">
        <v>75</v>
      </c>
      <c r="D47" s="48">
        <v>1985</v>
      </c>
      <c r="E47" s="80">
        <v>2.65</v>
      </c>
      <c r="F47" s="81">
        <v>5260.25</v>
      </c>
      <c r="G47" s="36">
        <f>2221-D47</f>
        <v>236</v>
      </c>
      <c r="H47" s="48">
        <f t="shared" si="5"/>
        <v>2221</v>
      </c>
      <c r="I47" s="82">
        <v>2.5099999999999998</v>
      </c>
      <c r="J47" s="82">
        <f t="shared" si="6"/>
        <v>5574.7099999999991</v>
      </c>
      <c r="K47" s="34">
        <f>J47-F47</f>
        <v>314.45999999999913</v>
      </c>
      <c r="L47" s="83"/>
      <c r="M47" s="84">
        <f>-(582.92)</f>
        <v>-582.91999999999996</v>
      </c>
      <c r="N47" s="84"/>
      <c r="O47" s="84"/>
      <c r="P47" s="84"/>
      <c r="Q47" s="123">
        <f t="shared" si="7"/>
        <v>-268.46000000000083</v>
      </c>
      <c r="R47" s="35" t="s">
        <v>104</v>
      </c>
    </row>
    <row r="48" spans="1:18" x14ac:dyDescent="0.25">
      <c r="B48" s="9"/>
      <c r="C48" s="1"/>
      <c r="D48" s="1"/>
      <c r="E48" s="32"/>
      <c r="F48" s="33"/>
      <c r="G48" s="17"/>
      <c r="I48" s="19"/>
      <c r="J48" s="19"/>
      <c r="K48" s="34"/>
      <c r="L48" s="15"/>
      <c r="M48" s="16"/>
      <c r="N48" s="16"/>
      <c r="O48" s="16"/>
      <c r="P48" s="16"/>
      <c r="Q48" s="42"/>
      <c r="R48" s="2"/>
    </row>
    <row r="49" spans="1:18" x14ac:dyDescent="0.25">
      <c r="B49" s="9"/>
      <c r="C49" s="1"/>
      <c r="D49" s="1"/>
      <c r="E49" s="1"/>
      <c r="F49" s="10"/>
      <c r="G49" s="17"/>
      <c r="I49" s="18"/>
      <c r="J49" s="18"/>
      <c r="K49" s="18"/>
      <c r="L49" s="20"/>
      <c r="M49" s="21"/>
      <c r="N49" s="21"/>
      <c r="O49" s="21"/>
      <c r="P49" s="21"/>
      <c r="Q49" s="43"/>
      <c r="R49" s="2"/>
    </row>
    <row r="50" spans="1:18" x14ac:dyDescent="0.25">
      <c r="B50" s="22"/>
      <c r="C50" s="23"/>
      <c r="D50" s="23"/>
      <c r="E50" s="23"/>
      <c r="F50" s="24"/>
      <c r="G50" s="25"/>
      <c r="H50" s="23"/>
      <c r="I50" s="26"/>
      <c r="J50" s="26"/>
      <c r="K50" s="26"/>
      <c r="L50" s="27"/>
      <c r="M50" s="26"/>
      <c r="N50" s="26"/>
      <c r="O50" s="26"/>
      <c r="P50" s="26"/>
      <c r="Q50" s="44"/>
      <c r="R50" s="2"/>
    </row>
    <row r="51" spans="1:18" x14ac:dyDescent="0.25">
      <c r="C51" s="1"/>
      <c r="D51" s="1">
        <f>SUM(D45:D50)</f>
        <v>4118</v>
      </c>
      <c r="E51" s="1"/>
      <c r="F51" s="28">
        <f>SUM(F45:F50)</f>
        <v>29539.95</v>
      </c>
      <c r="H51" s="1">
        <f>SUM(H45:H50)</f>
        <v>4354</v>
      </c>
      <c r="I51" s="18"/>
      <c r="J51" s="29">
        <f>SUM(J45:J50)</f>
        <v>29261.62</v>
      </c>
      <c r="K51" s="30">
        <f>SUM(K45:K50)</f>
        <v>-278.33000000000175</v>
      </c>
      <c r="L51" s="31">
        <f>SUM(L45:L50)</f>
        <v>0</v>
      </c>
      <c r="M51" s="31">
        <f>SUM(M45:M50)</f>
        <v>-582.91999999999996</v>
      </c>
      <c r="N51" s="31">
        <f t="shared" ref="N51:P51" si="8">SUM(N45:N50)</f>
        <v>0</v>
      </c>
      <c r="O51" s="31">
        <f t="shared" si="8"/>
        <v>0</v>
      </c>
      <c r="P51" s="31">
        <f t="shared" si="8"/>
        <v>0</v>
      </c>
      <c r="Q51" s="30">
        <f>SUM(K51:P51)</f>
        <v>-861.25000000000171</v>
      </c>
      <c r="R51" s="2"/>
    </row>
    <row r="52" spans="1:18" x14ac:dyDescent="0.25">
      <c r="C52" s="1"/>
      <c r="D52" s="1"/>
      <c r="E52" s="1"/>
      <c r="F52" s="32"/>
      <c r="I52" s="19"/>
      <c r="J52" s="19"/>
      <c r="K52" s="19"/>
      <c r="L52" s="19"/>
      <c r="M52" s="19"/>
      <c r="N52" s="19"/>
      <c r="O52" s="19"/>
      <c r="P52" s="19"/>
      <c r="Q52" s="19"/>
      <c r="R52" s="2"/>
    </row>
    <row r="55" spans="1:18" x14ac:dyDescent="0.25">
      <c r="B55" s="3" t="s">
        <v>69</v>
      </c>
      <c r="C55" s="3" t="s">
        <v>1</v>
      </c>
      <c r="D55" s="3" t="s">
        <v>2</v>
      </c>
      <c r="E55" s="3" t="s">
        <v>3</v>
      </c>
      <c r="F55" s="3" t="s">
        <v>4</v>
      </c>
      <c r="G55" s="3" t="s">
        <v>5</v>
      </c>
      <c r="H55" s="4" t="s">
        <v>6</v>
      </c>
      <c r="I55" s="5" t="s">
        <v>7</v>
      </c>
      <c r="J55" s="5" t="s">
        <v>8</v>
      </c>
      <c r="K55" s="6" t="s">
        <v>9</v>
      </c>
      <c r="L55" s="7" t="s">
        <v>10</v>
      </c>
      <c r="M55" s="7" t="s">
        <v>11</v>
      </c>
      <c r="N55" s="7" t="s">
        <v>12</v>
      </c>
      <c r="O55" s="7" t="s">
        <v>13</v>
      </c>
      <c r="P55" s="39" t="s">
        <v>14</v>
      </c>
      <c r="Q55" s="40" t="s">
        <v>15</v>
      </c>
      <c r="R55" s="8" t="s">
        <v>16</v>
      </c>
    </row>
    <row r="56" spans="1:18" x14ac:dyDescent="0.25">
      <c r="B56" s="9"/>
      <c r="C56" s="1"/>
      <c r="D56" s="1"/>
      <c r="E56" s="1"/>
      <c r="F56" s="10"/>
      <c r="G56" s="11"/>
      <c r="H56"/>
      <c r="I56" s="12"/>
      <c r="J56" s="12"/>
      <c r="K56" s="12"/>
      <c r="L56" s="13"/>
      <c r="M56" s="14"/>
      <c r="N56" s="14"/>
      <c r="O56" s="14"/>
      <c r="P56" s="14"/>
      <c r="Q56" s="41"/>
      <c r="R56" s="2"/>
    </row>
    <row r="57" spans="1:18" x14ac:dyDescent="0.25">
      <c r="A57" s="38">
        <v>2620.06</v>
      </c>
      <c r="B57" s="9" t="s">
        <v>76</v>
      </c>
      <c r="C57" s="1" t="s">
        <v>79</v>
      </c>
      <c r="D57" s="1">
        <v>75</v>
      </c>
      <c r="E57" s="32">
        <v>101.449</v>
      </c>
      <c r="F57" s="124">
        <f>7608.68-7500</f>
        <v>108.68000000000029</v>
      </c>
      <c r="G57" s="17">
        <v>0</v>
      </c>
      <c r="H57" s="1">
        <f>D57+G57</f>
        <v>75</v>
      </c>
      <c r="I57" s="19">
        <v>100.14</v>
      </c>
      <c r="J57" s="19">
        <f>H57*I57</f>
        <v>7510.5</v>
      </c>
      <c r="K57" s="34">
        <f>J57-F57</f>
        <v>7401.82</v>
      </c>
      <c r="L57" s="15"/>
      <c r="M57" s="16"/>
      <c r="N57" s="16"/>
      <c r="O57" s="16"/>
      <c r="P57" s="16">
        <f>-J57</f>
        <v>-7510.5</v>
      </c>
      <c r="Q57" s="42">
        <f>SUM(K57:P57)</f>
        <v>-108.68000000000029</v>
      </c>
      <c r="R57" s="94" t="s">
        <v>127</v>
      </c>
    </row>
    <row r="58" spans="1:18" x14ac:dyDescent="0.25">
      <c r="A58" s="38">
        <v>2620.0300000000002</v>
      </c>
      <c r="B58" s="9" t="s">
        <v>77</v>
      </c>
      <c r="C58" s="1" t="s">
        <v>80</v>
      </c>
      <c r="D58" s="1">
        <v>50</v>
      </c>
      <c r="E58" s="32">
        <v>107.71</v>
      </c>
      <c r="F58" s="33">
        <v>5385.5</v>
      </c>
      <c r="G58" s="17">
        <v>0</v>
      </c>
      <c r="H58" s="1">
        <f t="shared" ref="H58:H60" si="9">D58+G58</f>
        <v>50</v>
      </c>
      <c r="I58" s="19">
        <v>103.14</v>
      </c>
      <c r="J58" s="19">
        <f t="shared" ref="J58:J60" si="10">H58*I58</f>
        <v>5157</v>
      </c>
      <c r="K58" s="34">
        <f t="shared" ref="K58:K60" si="11">J58-F58</f>
        <v>-228.5</v>
      </c>
      <c r="L58" s="15"/>
      <c r="M58" s="16"/>
      <c r="N58" s="16"/>
      <c r="O58" s="16"/>
      <c r="P58" s="16"/>
      <c r="Q58" s="42">
        <f t="shared" ref="Q58:Q60" si="12">SUM(K58:P58)</f>
        <v>-228.5</v>
      </c>
      <c r="R58" s="35"/>
    </row>
    <row r="59" spans="1:18" x14ac:dyDescent="0.25">
      <c r="A59" s="38">
        <v>2620.0500000000002</v>
      </c>
      <c r="B59" s="37" t="s">
        <v>124</v>
      </c>
      <c r="C59" s="38" t="s">
        <v>81</v>
      </c>
      <c r="D59" s="1">
        <v>50</v>
      </c>
      <c r="E59" s="32">
        <v>108.85</v>
      </c>
      <c r="F59" s="33">
        <v>5442.5</v>
      </c>
      <c r="G59" s="17">
        <v>0</v>
      </c>
      <c r="H59" s="1">
        <f t="shared" si="9"/>
        <v>50</v>
      </c>
      <c r="I59" s="19">
        <v>104.24</v>
      </c>
      <c r="J59" s="19">
        <f t="shared" si="10"/>
        <v>5212</v>
      </c>
      <c r="K59" s="34">
        <f t="shared" si="11"/>
        <v>-230.5</v>
      </c>
      <c r="L59" s="15"/>
      <c r="M59" s="16"/>
      <c r="N59" s="16"/>
      <c r="O59" s="16"/>
      <c r="P59" s="16"/>
      <c r="Q59" s="42">
        <f t="shared" si="12"/>
        <v>-230.5</v>
      </c>
      <c r="R59" s="2"/>
    </row>
    <row r="60" spans="1:18" x14ac:dyDescent="0.25">
      <c r="A60" s="38">
        <v>2620.04</v>
      </c>
      <c r="B60" s="9" t="s">
        <v>78</v>
      </c>
      <c r="C60" s="1" t="s">
        <v>82</v>
      </c>
      <c r="D60" s="1">
        <v>100</v>
      </c>
      <c r="E60" s="32">
        <v>107.89</v>
      </c>
      <c r="F60" s="33">
        <v>10789</v>
      </c>
      <c r="G60" s="17">
        <v>0</v>
      </c>
      <c r="H60" s="1">
        <f t="shared" si="9"/>
        <v>100</v>
      </c>
      <c r="I60" s="19">
        <v>103.41</v>
      </c>
      <c r="J60" s="19">
        <f t="shared" si="10"/>
        <v>10341</v>
      </c>
      <c r="K60" s="34">
        <f t="shared" si="11"/>
        <v>-448</v>
      </c>
      <c r="L60" s="15"/>
      <c r="M60" s="16"/>
      <c r="N60" s="16"/>
      <c r="O60" s="16"/>
      <c r="P60" s="16"/>
      <c r="Q60" s="42">
        <f t="shared" si="12"/>
        <v>-448</v>
      </c>
      <c r="R60" s="2"/>
    </row>
    <row r="61" spans="1:18" x14ac:dyDescent="0.25">
      <c r="B61" s="9"/>
      <c r="C61" s="1"/>
      <c r="D61" s="1"/>
      <c r="E61" s="1"/>
      <c r="F61" s="10"/>
      <c r="G61" s="17"/>
      <c r="I61" s="18"/>
      <c r="J61" s="18"/>
      <c r="K61" s="18"/>
      <c r="L61" s="20"/>
      <c r="M61" s="21"/>
      <c r="N61" s="21"/>
      <c r="O61" s="21"/>
      <c r="P61" s="21"/>
      <c r="Q61" s="43"/>
      <c r="R61" s="2"/>
    </row>
    <row r="62" spans="1:18" x14ac:dyDescent="0.25">
      <c r="B62" s="22"/>
      <c r="C62" s="23"/>
      <c r="D62" s="23"/>
      <c r="E62" s="23"/>
      <c r="F62" s="24"/>
      <c r="G62" s="25"/>
      <c r="H62" s="23"/>
      <c r="I62" s="26"/>
      <c r="J62" s="26"/>
      <c r="K62" s="26"/>
      <c r="L62" s="27"/>
      <c r="M62" s="26"/>
      <c r="N62" s="26"/>
      <c r="O62" s="26"/>
      <c r="P62" s="26"/>
      <c r="Q62" s="44"/>
      <c r="R62" s="2"/>
    </row>
    <row r="63" spans="1:18" x14ac:dyDescent="0.25">
      <c r="C63" s="1"/>
      <c r="D63" s="1">
        <f>SUM(D57:D62)</f>
        <v>275</v>
      </c>
      <c r="E63" s="1"/>
      <c r="F63" s="28">
        <f>SUM(F57:F62)</f>
        <v>21725.68</v>
      </c>
      <c r="H63" s="1">
        <f>SUM(H57:H62)</f>
        <v>275</v>
      </c>
      <c r="I63" s="18"/>
      <c r="J63" s="29">
        <f>SUM(J57:J62)</f>
        <v>28220.5</v>
      </c>
      <c r="K63" s="30">
        <f>SUM(K57:K62)</f>
        <v>6494.82</v>
      </c>
      <c r="L63" s="31">
        <f t="shared" ref="L63:O63" si="13">SUM(L57:L62)</f>
        <v>0</v>
      </c>
      <c r="M63" s="31">
        <f t="shared" si="13"/>
        <v>0</v>
      </c>
      <c r="N63" s="31">
        <f t="shared" si="13"/>
        <v>0</v>
      </c>
      <c r="O63" s="31">
        <f t="shared" si="13"/>
        <v>0</v>
      </c>
      <c r="P63" s="31">
        <f>SUM(P57:P62)</f>
        <v>-7510.5</v>
      </c>
      <c r="Q63" s="30">
        <f>SUM(K63:P63)</f>
        <v>-1015.6800000000003</v>
      </c>
      <c r="R63" s="2"/>
    </row>
    <row r="67" spans="10:17" x14ac:dyDescent="0.25">
      <c r="J67" s="53" t="s">
        <v>91</v>
      </c>
      <c r="Q67" s="121" t="s">
        <v>125</v>
      </c>
    </row>
    <row r="68" spans="10:17" x14ac:dyDescent="0.25">
      <c r="J68" s="54">
        <f>J39+J51+J63</f>
        <v>291761.06</v>
      </c>
      <c r="Q68" s="122">
        <f>Q39+Q51+Q63</f>
        <v>-17013.280000000006</v>
      </c>
    </row>
    <row r="89" spans="14:14" x14ac:dyDescent="0.25">
      <c r="N89" s="98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BCD2-EDAB-4628-A392-D467E1849683}">
  <sheetPr>
    <tabColor rgb="FF92D050"/>
  </sheetPr>
  <dimension ref="I5:P63"/>
  <sheetViews>
    <sheetView topLeftCell="A31" workbookViewId="0">
      <selection activeCell="T73" sqref="T73"/>
    </sheetView>
  </sheetViews>
  <sheetFormatPr defaultRowHeight="15" x14ac:dyDescent="0.25"/>
  <cols>
    <col min="9" max="9" width="10.7109375" style="1" bestFit="1" customWidth="1"/>
    <col min="10" max="10" width="35.7109375" bestFit="1" customWidth="1"/>
    <col min="11" max="11" width="9.140625" style="1"/>
    <col min="12" max="12" width="5" style="1" bestFit="1" customWidth="1"/>
    <col min="13" max="13" width="5.7109375" style="1" bestFit="1" customWidth="1"/>
    <col min="14" max="14" width="14.5703125" style="12" bestFit="1" customWidth="1"/>
    <col min="15" max="15" width="15" style="12" bestFit="1" customWidth="1"/>
    <col min="16" max="16" width="11.5703125" style="1" bestFit="1" customWidth="1"/>
  </cols>
  <sheetData>
    <row r="5" spans="9:16" x14ac:dyDescent="0.25">
      <c r="I5" s="70" t="s">
        <v>102</v>
      </c>
      <c r="J5" s="70" t="s">
        <v>103</v>
      </c>
      <c r="K5" s="70"/>
      <c r="L5" s="70" t="s">
        <v>92</v>
      </c>
      <c r="M5" s="70" t="s">
        <v>93</v>
      </c>
      <c r="N5" s="71" t="s">
        <v>97</v>
      </c>
      <c r="O5" s="71" t="s">
        <v>94</v>
      </c>
    </row>
    <row r="8" spans="9:16" x14ac:dyDescent="0.25">
      <c r="I8" s="75">
        <v>42354</v>
      </c>
      <c r="J8" t="s">
        <v>95</v>
      </c>
      <c r="K8" s="1" t="s">
        <v>58</v>
      </c>
      <c r="L8" s="1">
        <v>100</v>
      </c>
      <c r="N8" s="12">
        <v>6364</v>
      </c>
      <c r="O8" s="12">
        <f>N8</f>
        <v>6364</v>
      </c>
    </row>
    <row r="9" spans="9:16" x14ac:dyDescent="0.25">
      <c r="I9" s="75">
        <v>43978</v>
      </c>
      <c r="J9" t="s">
        <v>95</v>
      </c>
      <c r="K9" s="1" t="s">
        <v>58</v>
      </c>
      <c r="L9" s="1">
        <v>32</v>
      </c>
      <c r="N9" s="12">
        <v>1792</v>
      </c>
      <c r="O9" s="12">
        <f t="shared" ref="O9" si="0">N9</f>
        <v>1792</v>
      </c>
    </row>
    <row r="10" spans="9:16" x14ac:dyDescent="0.25">
      <c r="I10" s="75">
        <v>44566</v>
      </c>
      <c r="J10" t="s">
        <v>95</v>
      </c>
      <c r="K10" s="1" t="s">
        <v>58</v>
      </c>
      <c r="M10" s="1">
        <v>-100</v>
      </c>
      <c r="O10" s="12">
        <v>-7144.64</v>
      </c>
    </row>
    <row r="11" spans="9:16" x14ac:dyDescent="0.25">
      <c r="I11" s="75">
        <v>44566</v>
      </c>
      <c r="J11" t="s">
        <v>95</v>
      </c>
      <c r="K11" s="1" t="s">
        <v>58</v>
      </c>
      <c r="M11" s="1">
        <v>-32</v>
      </c>
      <c r="O11" s="12">
        <v>-2286.2800000000002</v>
      </c>
    </row>
    <row r="12" spans="9:16" x14ac:dyDescent="0.25">
      <c r="J12" s="73"/>
      <c r="K12" s="23"/>
      <c r="L12" s="23"/>
      <c r="M12" s="23"/>
      <c r="N12" s="74"/>
      <c r="O12" s="74"/>
    </row>
    <row r="13" spans="9:16" x14ac:dyDescent="0.25">
      <c r="M13" s="1">
        <f>SUM(L8:L9)+SUM(M10:M11)</f>
        <v>0</v>
      </c>
      <c r="O13" s="77">
        <f>SUM(O8:O12)</f>
        <v>-1274.9200000000005</v>
      </c>
      <c r="P13" s="1" t="s">
        <v>96</v>
      </c>
    </row>
    <row r="17" spans="9:16" x14ac:dyDescent="0.25">
      <c r="I17" s="75">
        <v>41591</v>
      </c>
      <c r="J17" t="str">
        <f>Movement!B35</f>
        <v>Yield Maximiser Fund( Managed Fund)</v>
      </c>
      <c r="K17" s="1" t="s">
        <v>65</v>
      </c>
      <c r="L17" s="1">
        <v>250</v>
      </c>
      <c r="N17" s="12">
        <v>2940</v>
      </c>
      <c r="O17" s="12">
        <f>N17</f>
        <v>2940</v>
      </c>
    </row>
    <row r="18" spans="9:16" x14ac:dyDescent="0.25">
      <c r="I18" s="75">
        <v>44637</v>
      </c>
      <c r="J18" t="str">
        <f>J17</f>
        <v>Yield Maximiser Fund( Managed Fund)</v>
      </c>
      <c r="K18" s="1" t="s">
        <v>65</v>
      </c>
      <c r="M18" s="1">
        <v>-250</v>
      </c>
      <c r="O18" s="12">
        <v>-1962.5</v>
      </c>
    </row>
    <row r="19" spans="9:16" x14ac:dyDescent="0.25">
      <c r="J19" s="73"/>
      <c r="K19" s="23"/>
      <c r="L19" s="23"/>
      <c r="M19" s="23"/>
      <c r="N19" s="74"/>
      <c r="O19" s="74"/>
    </row>
    <row r="20" spans="9:16" x14ac:dyDescent="0.25">
      <c r="M20" s="1">
        <f>L17+M18</f>
        <v>0</v>
      </c>
      <c r="O20" s="76">
        <f>SUM(O17:O19)</f>
        <v>977.5</v>
      </c>
      <c r="P20" s="1" t="s">
        <v>98</v>
      </c>
    </row>
    <row r="23" spans="9:16" x14ac:dyDescent="0.25">
      <c r="I23" s="75">
        <v>44126</v>
      </c>
      <c r="J23" t="str">
        <f>Movement!B30</f>
        <v>Service Stream Ltd</v>
      </c>
      <c r="K23" s="1" t="s">
        <v>61</v>
      </c>
      <c r="L23" s="1">
        <v>1000</v>
      </c>
      <c r="N23" s="12">
        <v>2175</v>
      </c>
      <c r="O23" s="12">
        <f>SUM(N23)</f>
        <v>2175</v>
      </c>
    </row>
    <row r="24" spans="9:16" x14ac:dyDescent="0.25">
      <c r="I24" s="75">
        <v>44568</v>
      </c>
      <c r="J24" t="str">
        <f>J23</f>
        <v>Service Stream Ltd</v>
      </c>
      <c r="K24" s="1" t="s">
        <v>61</v>
      </c>
      <c r="M24" s="1">
        <v>-1000</v>
      </c>
      <c r="O24" s="12">
        <v>-775</v>
      </c>
    </row>
    <row r="25" spans="9:16" x14ac:dyDescent="0.25">
      <c r="J25" s="73"/>
      <c r="K25" s="23"/>
      <c r="L25" s="23"/>
      <c r="M25" s="23"/>
      <c r="N25" s="74"/>
      <c r="O25" s="74"/>
    </row>
    <row r="26" spans="9:16" x14ac:dyDescent="0.25">
      <c r="M26" s="1">
        <f>L23+M24</f>
        <v>0</v>
      </c>
      <c r="O26" s="76">
        <f>SUM(O23:O25)</f>
        <v>1400</v>
      </c>
      <c r="P26" s="1" t="s">
        <v>98</v>
      </c>
    </row>
    <row r="29" spans="9:16" x14ac:dyDescent="0.25">
      <c r="I29" s="75">
        <v>42569</v>
      </c>
      <c r="J29" t="str">
        <f>Movement!B32</f>
        <v>Vita Group Ltd</v>
      </c>
      <c r="K29" s="1" t="s">
        <v>63</v>
      </c>
      <c r="L29" s="1">
        <v>500</v>
      </c>
      <c r="N29" s="12">
        <v>2185</v>
      </c>
      <c r="O29" s="12">
        <f>SUM(N29)</f>
        <v>2185</v>
      </c>
    </row>
    <row r="30" spans="9:16" x14ac:dyDescent="0.25">
      <c r="I30" s="75">
        <v>44567</v>
      </c>
      <c r="J30" t="str">
        <f>J29</f>
        <v>Vita Group Ltd</v>
      </c>
      <c r="K30" s="1" t="s">
        <v>63</v>
      </c>
      <c r="M30" s="1">
        <v>-500</v>
      </c>
      <c r="O30" s="12">
        <v>-160</v>
      </c>
    </row>
    <row r="31" spans="9:16" x14ac:dyDescent="0.25">
      <c r="J31" s="73"/>
      <c r="K31" s="23"/>
      <c r="L31" s="23"/>
      <c r="M31" s="23"/>
      <c r="N31" s="74"/>
      <c r="O31" s="74"/>
    </row>
    <row r="32" spans="9:16" x14ac:dyDescent="0.25">
      <c r="M32" s="1">
        <f>SUM(L29:M31)</f>
        <v>0</v>
      </c>
      <c r="O32" s="76">
        <f>SUM(O29:O31)</f>
        <v>2025</v>
      </c>
      <c r="P32" s="1" t="s">
        <v>98</v>
      </c>
    </row>
    <row r="35" spans="9:16" x14ac:dyDescent="0.25">
      <c r="I35" s="75">
        <v>43647</v>
      </c>
      <c r="J35" t="str">
        <f>Movement!B26</f>
        <v>Navigator Global Investments Ltd</v>
      </c>
      <c r="K35" s="1" t="s">
        <v>57</v>
      </c>
      <c r="L35" s="1">
        <v>300</v>
      </c>
      <c r="N35" s="12">
        <v>1203</v>
      </c>
      <c r="O35" s="12">
        <f>SUM(N35)</f>
        <v>1203</v>
      </c>
    </row>
    <row r="36" spans="9:16" x14ac:dyDescent="0.25">
      <c r="I36" s="75">
        <v>44566</v>
      </c>
      <c r="J36" t="str">
        <f>J35</f>
        <v>Navigator Global Investments Ltd</v>
      </c>
      <c r="K36" s="1" t="str">
        <f>K35</f>
        <v>NGI</v>
      </c>
      <c r="M36" s="1">
        <v>-300</v>
      </c>
      <c r="O36" s="12">
        <v>-501</v>
      </c>
    </row>
    <row r="37" spans="9:16" x14ac:dyDescent="0.25">
      <c r="J37" s="73"/>
      <c r="K37" s="23"/>
      <c r="L37" s="23"/>
      <c r="M37" s="23"/>
      <c r="N37" s="74"/>
      <c r="O37" s="74"/>
    </row>
    <row r="38" spans="9:16" x14ac:dyDescent="0.25">
      <c r="M38" s="1">
        <f>SUM(L35:M37)</f>
        <v>0</v>
      </c>
      <c r="O38" s="76">
        <f>SUM(O35:O37)</f>
        <v>702</v>
      </c>
      <c r="P38" s="1" t="s">
        <v>98</v>
      </c>
    </row>
    <row r="41" spans="9:16" x14ac:dyDescent="0.25">
      <c r="I41" s="75">
        <v>43602</v>
      </c>
      <c r="J41" t="str">
        <f>Movement!B29</f>
        <v>St Barbara Ltd</v>
      </c>
      <c r="K41" s="1" t="s">
        <v>60</v>
      </c>
      <c r="L41" s="1">
        <v>500</v>
      </c>
      <c r="N41" s="12">
        <v>1420</v>
      </c>
      <c r="O41" s="12">
        <f>SUM(N41)</f>
        <v>1420</v>
      </c>
    </row>
    <row r="42" spans="9:16" x14ac:dyDescent="0.25">
      <c r="I42" s="75">
        <v>44566</v>
      </c>
      <c r="J42" t="str">
        <f>J41</f>
        <v>St Barbara Ltd</v>
      </c>
      <c r="K42" s="1" t="s">
        <v>60</v>
      </c>
      <c r="M42" s="1">
        <v>-500</v>
      </c>
      <c r="O42" s="12">
        <v>-690</v>
      </c>
    </row>
    <row r="43" spans="9:16" x14ac:dyDescent="0.25">
      <c r="J43" s="73"/>
      <c r="K43" s="23"/>
      <c r="L43" s="23"/>
      <c r="M43" s="23"/>
      <c r="N43" s="74"/>
      <c r="O43" s="74"/>
    </row>
    <row r="44" spans="9:16" x14ac:dyDescent="0.25">
      <c r="M44" s="1">
        <f>SUM(L41:M43)</f>
        <v>0</v>
      </c>
      <c r="O44" s="76">
        <f>SUM(O41:O43)</f>
        <v>730</v>
      </c>
      <c r="P44" s="1" t="s">
        <v>98</v>
      </c>
    </row>
    <row r="47" spans="9:16" x14ac:dyDescent="0.25">
      <c r="I47" s="75">
        <v>43119</v>
      </c>
      <c r="J47" t="str">
        <f>Movement!B19</f>
        <v>Integrated Research Limited</v>
      </c>
      <c r="K47" s="1" t="s">
        <v>52</v>
      </c>
      <c r="L47" s="1">
        <v>1000</v>
      </c>
      <c r="N47" s="12">
        <v>3995</v>
      </c>
      <c r="O47" s="12">
        <f>SUM(N47)</f>
        <v>3995</v>
      </c>
    </row>
    <row r="48" spans="9:16" x14ac:dyDescent="0.25">
      <c r="I48" s="75">
        <v>44410</v>
      </c>
      <c r="J48" t="str">
        <f>J47</f>
        <v>Integrated Research Limited</v>
      </c>
      <c r="K48" s="1" t="s">
        <v>52</v>
      </c>
      <c r="M48" s="1">
        <v>-1000</v>
      </c>
      <c r="O48" s="12">
        <v>-1915</v>
      </c>
    </row>
    <row r="49" spans="9:16" x14ac:dyDescent="0.25">
      <c r="J49" s="73"/>
      <c r="K49" s="23"/>
      <c r="L49" s="23"/>
      <c r="M49" s="23"/>
      <c r="N49" s="74"/>
      <c r="O49" s="74"/>
    </row>
    <row r="50" spans="9:16" x14ac:dyDescent="0.25">
      <c r="M50" s="1">
        <f>SUM(L47:M49)</f>
        <v>0</v>
      </c>
      <c r="O50" s="76">
        <f>SUM(O47:O49)</f>
        <v>2080</v>
      </c>
      <c r="P50" s="1" t="s">
        <v>98</v>
      </c>
    </row>
    <row r="53" spans="9:16" x14ac:dyDescent="0.25">
      <c r="I53" s="75">
        <v>41977</v>
      </c>
      <c r="J53" t="str">
        <f>Movement!B16</f>
        <v>Collection House Ltd</v>
      </c>
      <c r="K53" s="1" t="s">
        <v>50</v>
      </c>
      <c r="L53" s="1">
        <v>700</v>
      </c>
      <c r="N53" s="12">
        <v>1421.95</v>
      </c>
      <c r="O53" s="12">
        <f>SUM(N53)</f>
        <v>1421.95</v>
      </c>
    </row>
    <row r="54" spans="9:16" x14ac:dyDescent="0.25">
      <c r="I54" s="75">
        <v>43056</v>
      </c>
      <c r="J54" t="str">
        <f>J53</f>
        <v>Collection House Ltd</v>
      </c>
      <c r="K54" s="1" t="s">
        <v>50</v>
      </c>
      <c r="L54" s="1">
        <v>700</v>
      </c>
      <c r="N54" s="12">
        <v>995</v>
      </c>
      <c r="O54" s="12">
        <f>SUM(N54)</f>
        <v>995</v>
      </c>
    </row>
    <row r="55" spans="9:16" x14ac:dyDescent="0.25">
      <c r="I55" s="75">
        <v>44404</v>
      </c>
      <c r="J55" t="str">
        <f>J53</f>
        <v>Collection House Ltd</v>
      </c>
      <c r="K55" s="1" t="s">
        <v>50</v>
      </c>
      <c r="M55" s="1">
        <v>-700</v>
      </c>
      <c r="O55" s="12">
        <v>-132.5</v>
      </c>
    </row>
    <row r="56" spans="9:16" x14ac:dyDescent="0.25">
      <c r="I56" s="75">
        <f>I55</f>
        <v>44404</v>
      </c>
      <c r="J56" t="str">
        <f>J53</f>
        <v>Collection House Ltd</v>
      </c>
      <c r="K56" s="1" t="s">
        <v>50</v>
      </c>
      <c r="M56" s="1">
        <v>-700</v>
      </c>
      <c r="O56" s="12">
        <v>-132.5</v>
      </c>
    </row>
    <row r="57" spans="9:16" x14ac:dyDescent="0.25">
      <c r="I57" s="23"/>
      <c r="J57" s="73"/>
      <c r="K57" s="23"/>
      <c r="L57" s="23"/>
      <c r="M57" s="23"/>
      <c r="N57" s="74"/>
      <c r="O57" s="74"/>
    </row>
    <row r="58" spans="9:16" x14ac:dyDescent="0.25">
      <c r="M58" s="1">
        <f>SUM(L53:M56)</f>
        <v>0</v>
      </c>
      <c r="O58" s="76">
        <f>SUM(O53:O57)</f>
        <v>2151.9499999999998</v>
      </c>
      <c r="P58" s="1" t="s">
        <v>98</v>
      </c>
    </row>
    <row r="61" spans="9:16" x14ac:dyDescent="0.25">
      <c r="O61" s="12" t="s">
        <v>100</v>
      </c>
      <c r="P61" s="32">
        <f>O13</f>
        <v>-1274.9200000000005</v>
      </c>
    </row>
    <row r="62" spans="9:16" x14ac:dyDescent="0.25">
      <c r="O62" s="12" t="s">
        <v>99</v>
      </c>
      <c r="P62" s="78">
        <f>O20+O26+O32+O38+O44+O50+O58</f>
        <v>10066.450000000001</v>
      </c>
    </row>
    <row r="63" spans="9:16" x14ac:dyDescent="0.25">
      <c r="O63" s="79" t="s">
        <v>101</v>
      </c>
      <c r="P63" s="79">
        <f>SUM(P61:P62)</f>
        <v>8791.5300000000007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CF8D-33BB-4C7B-9759-22B1BBE1B878}">
  <sheetPr>
    <tabColor theme="5" tint="-0.249977111117893"/>
  </sheetPr>
  <dimension ref="A1:L108"/>
  <sheetViews>
    <sheetView zoomScaleNormal="100" workbookViewId="0">
      <pane ySplit="3" topLeftCell="A61" activePane="bottomLeft" state="frozen"/>
      <selection pane="bottomLeft" activeCell="H100" sqref="H100"/>
    </sheetView>
  </sheetViews>
  <sheetFormatPr defaultRowHeight="15" x14ac:dyDescent="0.25"/>
  <cols>
    <col min="1" max="1" width="42.140625" style="1" customWidth="1"/>
    <col min="2" max="2" width="35.28515625" style="12" bestFit="1" customWidth="1"/>
    <col min="3" max="3" width="15.140625" style="1" bestFit="1" customWidth="1"/>
    <col min="4" max="4" width="41.140625" style="12" hidden="1" customWidth="1"/>
    <col min="5" max="5" width="11.140625" style="12" bestFit="1" customWidth="1"/>
    <col min="6" max="6" width="19.140625" style="12" bestFit="1" customWidth="1"/>
    <col min="7" max="7" width="21.5703125" style="12" bestFit="1" customWidth="1"/>
    <col min="8" max="8" width="16.85546875" style="12" bestFit="1" customWidth="1"/>
    <col min="9" max="9" width="17.28515625" style="12" bestFit="1" customWidth="1"/>
    <col min="10" max="10" width="13.85546875" style="12" bestFit="1" customWidth="1"/>
    <col min="11" max="11" width="14.28515625" style="12" bestFit="1" customWidth="1"/>
    <col min="12" max="12" width="36" customWidth="1"/>
  </cols>
  <sheetData>
    <row r="1" spans="1:12" s="46" customFormat="1" x14ac:dyDescent="0.25">
      <c r="A1" s="35" t="s">
        <v>175</v>
      </c>
      <c r="B1" s="50"/>
      <c r="C1" s="48"/>
      <c r="D1" s="50"/>
      <c r="E1" s="50"/>
      <c r="F1" s="50"/>
      <c r="G1" s="50"/>
      <c r="H1" s="50"/>
      <c r="I1" s="50"/>
      <c r="J1" s="50"/>
      <c r="K1" s="50"/>
    </row>
    <row r="2" spans="1:12" x14ac:dyDescent="0.25">
      <c r="A2" s="2"/>
    </row>
    <row r="3" spans="1:12" x14ac:dyDescent="0.25">
      <c r="B3" s="150" t="s">
        <v>128</v>
      </c>
      <c r="C3" s="40" t="s">
        <v>129</v>
      </c>
      <c r="D3" s="125" t="s">
        <v>149</v>
      </c>
      <c r="E3" s="125" t="s">
        <v>130</v>
      </c>
      <c r="F3" s="125" t="s">
        <v>132</v>
      </c>
      <c r="G3" s="125" t="s">
        <v>131</v>
      </c>
      <c r="H3" s="125" t="s">
        <v>133</v>
      </c>
      <c r="I3" s="125" t="s">
        <v>134</v>
      </c>
      <c r="J3" s="125" t="s">
        <v>135</v>
      </c>
      <c r="K3" s="125" t="s">
        <v>174</v>
      </c>
    </row>
    <row r="5" spans="1:12" x14ac:dyDescent="0.25">
      <c r="A5" s="75">
        <v>44462</v>
      </c>
      <c r="B5" s="12">
        <v>50</v>
      </c>
      <c r="C5" s="1" t="s">
        <v>66</v>
      </c>
      <c r="F5" s="158">
        <v>50</v>
      </c>
      <c r="H5" s="158">
        <v>21.43</v>
      </c>
      <c r="K5" s="158">
        <f t="shared" ref="K5:K12" si="0">SUM(F5:J5)</f>
        <v>71.430000000000007</v>
      </c>
    </row>
    <row r="6" spans="1:12" x14ac:dyDescent="0.25">
      <c r="A6" s="75">
        <v>44665</v>
      </c>
      <c r="B6" s="12">
        <v>40</v>
      </c>
      <c r="C6" s="1" t="s">
        <v>66</v>
      </c>
      <c r="F6" s="158">
        <v>40</v>
      </c>
      <c r="H6" s="158">
        <v>17.14</v>
      </c>
      <c r="K6" s="158">
        <f t="shared" si="0"/>
        <v>57.14</v>
      </c>
    </row>
    <row r="7" spans="1:12" x14ac:dyDescent="0.25">
      <c r="A7" s="75">
        <v>44439</v>
      </c>
      <c r="B7" s="12">
        <v>280</v>
      </c>
      <c r="C7" s="1" t="s">
        <v>42</v>
      </c>
      <c r="F7" s="158">
        <v>280</v>
      </c>
      <c r="H7" s="158">
        <v>120</v>
      </c>
      <c r="K7" s="158">
        <f t="shared" si="0"/>
        <v>400</v>
      </c>
    </row>
    <row r="8" spans="1:12" x14ac:dyDescent="0.25">
      <c r="A8" s="75">
        <v>44617</v>
      </c>
      <c r="B8" s="12">
        <v>200</v>
      </c>
      <c r="C8" s="1" t="s">
        <v>42</v>
      </c>
      <c r="F8" s="158">
        <v>200</v>
      </c>
      <c r="H8" s="158">
        <v>85.71</v>
      </c>
      <c r="K8" s="158">
        <f t="shared" si="0"/>
        <v>285.70999999999998</v>
      </c>
    </row>
    <row r="9" spans="1:12" x14ac:dyDescent="0.25">
      <c r="A9" s="75">
        <v>44467</v>
      </c>
      <c r="B9" s="12">
        <v>52.5</v>
      </c>
      <c r="C9" s="1" t="s">
        <v>44</v>
      </c>
      <c r="F9" s="158">
        <v>7.88</v>
      </c>
      <c r="G9" s="158">
        <v>44.63</v>
      </c>
      <c r="H9" s="158">
        <v>3.38</v>
      </c>
      <c r="K9" s="158">
        <f t="shared" si="0"/>
        <v>55.890000000000008</v>
      </c>
    </row>
    <row r="10" spans="1:12" x14ac:dyDescent="0.25">
      <c r="A10" s="75">
        <v>44642</v>
      </c>
      <c r="B10" s="12">
        <v>52.5</v>
      </c>
      <c r="C10" s="1" t="s">
        <v>44</v>
      </c>
      <c r="F10" s="158">
        <v>52.5</v>
      </c>
      <c r="H10" s="158">
        <v>22.5</v>
      </c>
      <c r="K10" s="158">
        <f t="shared" si="0"/>
        <v>75</v>
      </c>
    </row>
    <row r="11" spans="1:12" x14ac:dyDescent="0.25">
      <c r="A11" s="75">
        <v>44378</v>
      </c>
      <c r="B11" s="12">
        <v>210</v>
      </c>
      <c r="C11" s="1" t="s">
        <v>45</v>
      </c>
      <c r="F11" s="158">
        <f>B11</f>
        <v>210</v>
      </c>
      <c r="H11" s="158">
        <v>90</v>
      </c>
      <c r="K11" s="158">
        <f t="shared" si="0"/>
        <v>300</v>
      </c>
    </row>
    <row r="12" spans="1:12" x14ac:dyDescent="0.25">
      <c r="A12" s="75">
        <v>44546</v>
      </c>
      <c r="B12" s="12">
        <v>216</v>
      </c>
      <c r="C12" s="1" t="s">
        <v>45</v>
      </c>
      <c r="F12" s="158">
        <v>216</v>
      </c>
      <c r="H12" s="158">
        <v>92.57</v>
      </c>
      <c r="K12" s="158">
        <f t="shared" si="0"/>
        <v>308.57</v>
      </c>
    </row>
    <row r="13" spans="1:12" s="128" customFormat="1" x14ac:dyDescent="0.25">
      <c r="A13" s="129">
        <v>44377</v>
      </c>
      <c r="B13" s="127">
        <v>359.91</v>
      </c>
      <c r="C13" s="126" t="s">
        <v>71</v>
      </c>
      <c r="D13" s="127">
        <f>B13</f>
        <v>359.91</v>
      </c>
      <c r="E13" s="127">
        <f>D13</f>
        <v>359.91</v>
      </c>
      <c r="F13" s="127"/>
      <c r="G13" s="127"/>
      <c r="H13" s="127"/>
      <c r="I13" s="127"/>
      <c r="J13" s="127"/>
      <c r="K13" s="127">
        <f>SUM(E13:J13)</f>
        <v>359.91</v>
      </c>
      <c r="L13" s="128" t="s">
        <v>138</v>
      </c>
    </row>
    <row r="14" spans="1:12" x14ac:dyDescent="0.25">
      <c r="A14" s="75">
        <v>44561</v>
      </c>
      <c r="B14" s="12">
        <v>333.25</v>
      </c>
      <c r="C14" s="1" t="s">
        <v>71</v>
      </c>
      <c r="D14" s="12">
        <f>B14</f>
        <v>333.25</v>
      </c>
      <c r="E14" s="158">
        <v>207.55</v>
      </c>
      <c r="F14" s="158">
        <v>179.57</v>
      </c>
      <c r="H14" s="158">
        <v>53.87</v>
      </c>
      <c r="K14" s="158">
        <f>SUM(E14:F14)</f>
        <v>387.12</v>
      </c>
    </row>
    <row r="15" spans="1:12" s="157" customFormat="1" x14ac:dyDescent="0.25">
      <c r="A15" s="154">
        <v>44742</v>
      </c>
      <c r="B15" s="155">
        <v>0</v>
      </c>
      <c r="C15" s="156" t="s">
        <v>71</v>
      </c>
      <c r="D15" s="155">
        <v>373.24</v>
      </c>
      <c r="E15" s="159">
        <v>289.14999999999998</v>
      </c>
      <c r="F15" s="159">
        <v>120.13</v>
      </c>
      <c r="G15" s="155"/>
      <c r="H15" s="159">
        <v>36.04</v>
      </c>
      <c r="I15" s="155"/>
      <c r="J15" s="155"/>
      <c r="K15" s="159">
        <f>SUM(E15:F15)</f>
        <v>409.28</v>
      </c>
    </row>
    <row r="16" spans="1:12" x14ac:dyDescent="0.25">
      <c r="A16" s="75">
        <v>44456</v>
      </c>
      <c r="B16" s="12">
        <v>277.62</v>
      </c>
      <c r="C16" s="1" t="s">
        <v>46</v>
      </c>
      <c r="F16" s="158">
        <v>277.62</v>
      </c>
      <c r="H16" s="158">
        <v>118.98</v>
      </c>
      <c r="K16" s="158">
        <f t="shared" ref="K16:K28" si="1">SUM(F16:J16)</f>
        <v>396.6</v>
      </c>
    </row>
    <row r="17" spans="1:12" x14ac:dyDescent="0.25">
      <c r="A17" s="75">
        <v>44631</v>
      </c>
      <c r="B17" s="12">
        <v>317.27999999999997</v>
      </c>
      <c r="C17" s="1" t="s">
        <v>46</v>
      </c>
      <c r="F17" s="158">
        <v>317.27999999999997</v>
      </c>
      <c r="H17" s="158">
        <v>135.97999999999999</v>
      </c>
      <c r="K17" s="158">
        <f t="shared" si="1"/>
        <v>453.26</v>
      </c>
    </row>
    <row r="18" spans="1:12" x14ac:dyDescent="0.25">
      <c r="A18" s="75">
        <v>44455</v>
      </c>
      <c r="B18" s="12">
        <v>32.5</v>
      </c>
      <c r="C18" s="1" t="s">
        <v>84</v>
      </c>
      <c r="F18" s="158">
        <v>32.5</v>
      </c>
      <c r="H18" s="158">
        <v>13.93</v>
      </c>
      <c r="K18" s="158">
        <f t="shared" si="1"/>
        <v>46.43</v>
      </c>
    </row>
    <row r="19" spans="1:12" x14ac:dyDescent="0.25">
      <c r="A19" s="75">
        <v>44637</v>
      </c>
      <c r="B19" s="12">
        <v>25</v>
      </c>
      <c r="C19" s="1" t="s">
        <v>84</v>
      </c>
      <c r="F19" s="158">
        <v>25</v>
      </c>
      <c r="H19" s="158">
        <v>10.71</v>
      </c>
      <c r="K19" s="158">
        <f t="shared" si="1"/>
        <v>35.71</v>
      </c>
    </row>
    <row r="20" spans="1:12" x14ac:dyDescent="0.25">
      <c r="A20" s="75">
        <v>44460</v>
      </c>
      <c r="B20" s="12">
        <v>543.04999999999995</v>
      </c>
      <c r="C20" s="1" t="s">
        <v>47</v>
      </c>
      <c r="F20" s="158">
        <v>543.04999999999995</v>
      </c>
      <c r="H20" s="158">
        <v>232.74</v>
      </c>
      <c r="K20" s="158">
        <f t="shared" si="1"/>
        <v>775.79</v>
      </c>
    </row>
    <row r="21" spans="1:12" x14ac:dyDescent="0.25">
      <c r="A21" s="75">
        <v>44648</v>
      </c>
      <c r="B21" s="12">
        <v>416.11</v>
      </c>
      <c r="C21" s="1" t="s">
        <v>47</v>
      </c>
      <c r="F21" s="158">
        <v>416.11</v>
      </c>
      <c r="H21" s="158">
        <v>178.33</v>
      </c>
      <c r="K21" s="158">
        <f t="shared" si="1"/>
        <v>594.44000000000005</v>
      </c>
    </row>
    <row r="22" spans="1:12" s="153" customFormat="1" x14ac:dyDescent="0.25">
      <c r="A22" s="151">
        <v>44713</v>
      </c>
      <c r="B22" s="120">
        <v>0</v>
      </c>
      <c r="C22" s="152" t="s">
        <v>47</v>
      </c>
      <c r="D22" s="120"/>
      <c r="E22" s="120"/>
      <c r="F22" s="160">
        <v>1071.3599999999999</v>
      </c>
      <c r="G22" s="120"/>
      <c r="H22" s="160">
        <v>459.15</v>
      </c>
      <c r="I22" s="120"/>
      <c r="J22" s="120"/>
      <c r="K22" s="160">
        <f t="shared" si="1"/>
        <v>1530.5099999999998</v>
      </c>
      <c r="L22" s="153" t="s">
        <v>179</v>
      </c>
    </row>
    <row r="23" spans="1:12" x14ac:dyDescent="0.25">
      <c r="A23" s="75">
        <v>44469</v>
      </c>
      <c r="B23" s="12">
        <v>15.79</v>
      </c>
      <c r="C23" s="1" t="s">
        <v>48</v>
      </c>
      <c r="F23" s="158">
        <v>15.79</v>
      </c>
      <c r="H23" s="158">
        <v>6.77</v>
      </c>
      <c r="K23" s="158">
        <f t="shared" si="1"/>
        <v>22.56</v>
      </c>
    </row>
    <row r="24" spans="1:12" x14ac:dyDescent="0.25">
      <c r="A24" s="75">
        <v>44651</v>
      </c>
      <c r="B24" s="12">
        <v>15.79</v>
      </c>
      <c r="C24" s="1" t="s">
        <v>48</v>
      </c>
      <c r="F24" s="158">
        <v>15.79</v>
      </c>
      <c r="H24" s="158">
        <v>6.77</v>
      </c>
      <c r="K24" s="158">
        <f t="shared" si="1"/>
        <v>22.56</v>
      </c>
    </row>
    <row r="25" spans="1:12" x14ac:dyDescent="0.25">
      <c r="A25" s="75">
        <v>44468</v>
      </c>
      <c r="B25" s="12">
        <v>800</v>
      </c>
      <c r="C25" s="1" t="s">
        <v>51</v>
      </c>
      <c r="F25" s="158">
        <v>800</v>
      </c>
      <c r="H25" s="158">
        <v>342.86</v>
      </c>
      <c r="K25" s="158">
        <f t="shared" si="1"/>
        <v>1142.8600000000001</v>
      </c>
    </row>
    <row r="26" spans="1:12" x14ac:dyDescent="0.25">
      <c r="A26" s="75">
        <v>44650</v>
      </c>
      <c r="B26" s="12">
        <v>700</v>
      </c>
      <c r="C26" s="1" t="s">
        <v>51</v>
      </c>
      <c r="F26" s="158">
        <v>700</v>
      </c>
      <c r="H26" s="158">
        <v>300</v>
      </c>
      <c r="K26" s="158">
        <f t="shared" si="1"/>
        <v>1000</v>
      </c>
    </row>
    <row r="27" spans="1:12" x14ac:dyDescent="0.25">
      <c r="A27" s="75">
        <v>44454</v>
      </c>
      <c r="B27" s="12">
        <v>69.14</v>
      </c>
      <c r="C27" s="1" t="s">
        <v>137</v>
      </c>
      <c r="F27" s="158">
        <v>69.14</v>
      </c>
      <c r="H27" s="158">
        <v>29.63</v>
      </c>
      <c r="K27" s="158">
        <f t="shared" si="1"/>
        <v>98.77</v>
      </c>
    </row>
    <row r="28" spans="1:12" x14ac:dyDescent="0.25">
      <c r="A28" s="75">
        <v>44484</v>
      </c>
      <c r="B28" s="12">
        <v>22.49</v>
      </c>
      <c r="C28" s="1" t="s">
        <v>137</v>
      </c>
      <c r="F28" s="158">
        <v>22.49</v>
      </c>
      <c r="H28" s="158">
        <v>9.64</v>
      </c>
      <c r="K28" s="158">
        <f t="shared" si="1"/>
        <v>32.129999999999995</v>
      </c>
    </row>
    <row r="29" spans="1:12" s="128" customFormat="1" x14ac:dyDescent="0.25">
      <c r="A29" s="129">
        <v>44377</v>
      </c>
      <c r="B29" s="127">
        <v>154.47999999999999</v>
      </c>
      <c r="C29" s="126" t="s">
        <v>73</v>
      </c>
      <c r="D29" s="127">
        <v>180.88</v>
      </c>
      <c r="E29" s="127">
        <v>92.88</v>
      </c>
      <c r="F29" s="127">
        <v>61.6</v>
      </c>
      <c r="G29" s="127"/>
      <c r="H29" s="127">
        <v>26.4</v>
      </c>
      <c r="I29" s="127"/>
      <c r="J29" s="127"/>
      <c r="K29" s="127">
        <f>SUM(E29:J29)</f>
        <v>180.88</v>
      </c>
    </row>
    <row r="30" spans="1:12" x14ac:dyDescent="0.25">
      <c r="A30" s="75">
        <v>44561</v>
      </c>
      <c r="B30" s="12">
        <v>157.28</v>
      </c>
      <c r="C30" s="1" t="s">
        <v>73</v>
      </c>
      <c r="D30" s="12">
        <f>B30</f>
        <v>157.28</v>
      </c>
      <c r="E30" s="158">
        <v>90.64</v>
      </c>
      <c r="F30" s="158">
        <v>95.2</v>
      </c>
      <c r="H30" s="158">
        <v>28.56</v>
      </c>
      <c r="K30" s="158">
        <f>SUM(E30:F30)</f>
        <v>185.84</v>
      </c>
    </row>
    <row r="31" spans="1:12" s="157" customFormat="1" x14ac:dyDescent="0.25">
      <c r="A31" s="154">
        <v>44742</v>
      </c>
      <c r="B31" s="155">
        <v>0</v>
      </c>
      <c r="C31" s="156" t="s">
        <v>73</v>
      </c>
      <c r="D31" s="155">
        <v>163.76</v>
      </c>
      <c r="E31" s="159">
        <v>90.17</v>
      </c>
      <c r="F31" s="159">
        <v>105.13</v>
      </c>
      <c r="G31" s="155"/>
      <c r="H31" s="159">
        <v>31.54</v>
      </c>
      <c r="I31" s="155"/>
      <c r="J31" s="155"/>
      <c r="K31" s="159">
        <f>SUM(E31:F31)</f>
        <v>195.3</v>
      </c>
    </row>
    <row r="32" spans="1:12" x14ac:dyDescent="0.25">
      <c r="A32" s="75">
        <v>44467</v>
      </c>
      <c r="B32" s="12">
        <v>27.44</v>
      </c>
      <c r="C32" s="1" t="s">
        <v>49</v>
      </c>
      <c r="F32" s="158">
        <v>27.44</v>
      </c>
      <c r="H32" s="158">
        <v>11.76</v>
      </c>
      <c r="K32" s="158">
        <f t="shared" ref="K32:K58" si="2">SUM(F32:J32)</f>
        <v>39.200000000000003</v>
      </c>
    </row>
    <row r="33" spans="1:11" x14ac:dyDescent="0.25">
      <c r="A33" s="75">
        <v>44651</v>
      </c>
      <c r="B33" s="12">
        <v>32.340000000000003</v>
      </c>
      <c r="C33" s="1" t="s">
        <v>49</v>
      </c>
      <c r="F33" s="158">
        <v>32.340000000000003</v>
      </c>
      <c r="H33" s="158">
        <v>13.86</v>
      </c>
      <c r="K33" s="158">
        <f t="shared" si="2"/>
        <v>46.2</v>
      </c>
    </row>
    <row r="34" spans="1:11" x14ac:dyDescent="0.25">
      <c r="A34" s="75">
        <v>44475</v>
      </c>
      <c r="B34" s="12">
        <v>70</v>
      </c>
      <c r="C34" s="1" t="s">
        <v>86</v>
      </c>
      <c r="F34" s="158">
        <v>70</v>
      </c>
      <c r="H34" s="158">
        <v>30</v>
      </c>
      <c r="K34" s="158">
        <f t="shared" si="2"/>
        <v>100</v>
      </c>
    </row>
    <row r="35" spans="1:11" x14ac:dyDescent="0.25">
      <c r="A35" s="75">
        <v>44655</v>
      </c>
      <c r="B35" s="12">
        <v>40</v>
      </c>
      <c r="C35" s="1" t="s">
        <v>86</v>
      </c>
      <c r="F35" s="158">
        <v>40</v>
      </c>
      <c r="H35" s="158">
        <v>17.14</v>
      </c>
      <c r="K35" s="158">
        <f t="shared" si="2"/>
        <v>57.14</v>
      </c>
    </row>
    <row r="36" spans="1:11" x14ac:dyDescent="0.25">
      <c r="A36" s="75">
        <v>44449</v>
      </c>
      <c r="B36" s="12">
        <v>214</v>
      </c>
      <c r="C36" s="1" t="s">
        <v>88</v>
      </c>
      <c r="F36" s="158">
        <v>214</v>
      </c>
      <c r="H36" s="158">
        <v>91.71</v>
      </c>
      <c r="K36" s="158">
        <f t="shared" si="2"/>
        <v>305.70999999999998</v>
      </c>
    </row>
    <row r="37" spans="1:11" x14ac:dyDescent="0.25">
      <c r="A37" s="75">
        <v>44631</v>
      </c>
      <c r="B37" s="12">
        <v>326</v>
      </c>
      <c r="C37" s="1" t="s">
        <v>88</v>
      </c>
      <c r="F37" s="158">
        <v>326</v>
      </c>
      <c r="H37" s="158">
        <v>139.71</v>
      </c>
      <c r="K37" s="158">
        <f t="shared" si="2"/>
        <v>465.71000000000004</v>
      </c>
    </row>
    <row r="38" spans="1:11" x14ac:dyDescent="0.25">
      <c r="A38" s="75">
        <v>44463</v>
      </c>
      <c r="B38" s="12">
        <v>37</v>
      </c>
      <c r="C38" s="1" t="s">
        <v>53</v>
      </c>
      <c r="F38" s="158">
        <v>37</v>
      </c>
      <c r="H38" s="158">
        <v>15.86</v>
      </c>
      <c r="K38" s="158">
        <f t="shared" si="2"/>
        <v>52.86</v>
      </c>
    </row>
    <row r="39" spans="1:11" x14ac:dyDescent="0.25">
      <c r="A39" s="75">
        <v>44638</v>
      </c>
      <c r="B39" s="12">
        <v>44</v>
      </c>
      <c r="C39" s="1" t="s">
        <v>53</v>
      </c>
      <c r="F39" s="158">
        <v>44</v>
      </c>
      <c r="H39" s="158">
        <v>18.86</v>
      </c>
      <c r="K39" s="158">
        <f t="shared" si="2"/>
        <v>62.86</v>
      </c>
    </row>
    <row r="40" spans="1:11" x14ac:dyDescent="0.25">
      <c r="A40" s="75">
        <v>44460</v>
      </c>
      <c r="B40" s="12">
        <v>50.86</v>
      </c>
      <c r="C40" s="1" t="s">
        <v>81</v>
      </c>
      <c r="F40" s="158">
        <v>20.350000000000001</v>
      </c>
      <c r="G40" s="158">
        <v>30.52</v>
      </c>
      <c r="H40" s="158">
        <v>8.7200000000000006</v>
      </c>
      <c r="K40" s="158">
        <f t="shared" si="2"/>
        <v>59.59</v>
      </c>
    </row>
    <row r="41" spans="1:11" x14ac:dyDescent="0.25">
      <c r="A41" s="75">
        <v>44551</v>
      </c>
      <c r="B41" s="12">
        <v>50.14</v>
      </c>
      <c r="C41" s="1" t="s">
        <v>81</v>
      </c>
      <c r="F41" s="158">
        <v>20.059999999999999</v>
      </c>
      <c r="G41" s="158">
        <v>30.09</v>
      </c>
      <c r="H41" s="158">
        <v>8.6</v>
      </c>
      <c r="K41" s="158">
        <f t="shared" si="2"/>
        <v>58.75</v>
      </c>
    </row>
    <row r="42" spans="1:11" x14ac:dyDescent="0.25">
      <c r="A42" s="75">
        <v>44641</v>
      </c>
      <c r="B42" s="12">
        <v>50.19</v>
      </c>
      <c r="C42" s="1" t="s">
        <v>81</v>
      </c>
      <c r="F42" s="158">
        <v>20.079999999999998</v>
      </c>
      <c r="G42" s="158">
        <v>30.11</v>
      </c>
      <c r="H42" s="158">
        <v>8.6</v>
      </c>
      <c r="K42" s="158">
        <f t="shared" si="2"/>
        <v>58.79</v>
      </c>
    </row>
    <row r="43" spans="1:11" x14ac:dyDescent="0.25">
      <c r="A43" s="75">
        <v>44733</v>
      </c>
      <c r="B43" s="12">
        <v>52.5</v>
      </c>
      <c r="C43" s="1" t="s">
        <v>81</v>
      </c>
      <c r="F43" s="158">
        <v>21</v>
      </c>
      <c r="G43" s="158">
        <v>31.51</v>
      </c>
      <c r="H43" s="158">
        <v>9</v>
      </c>
      <c r="K43" s="158">
        <f t="shared" si="2"/>
        <v>61.510000000000005</v>
      </c>
    </row>
    <row r="44" spans="1:11" x14ac:dyDescent="0.25">
      <c r="A44" s="75">
        <v>44462</v>
      </c>
      <c r="B44" s="12">
        <v>228.2</v>
      </c>
      <c r="C44" s="1" t="s">
        <v>54</v>
      </c>
      <c r="F44" s="158">
        <v>171.15</v>
      </c>
      <c r="G44" s="158">
        <v>57.05</v>
      </c>
      <c r="H44" s="158">
        <v>73.349999999999994</v>
      </c>
      <c r="K44" s="158">
        <f t="shared" si="2"/>
        <v>301.54999999999995</v>
      </c>
    </row>
    <row r="45" spans="1:11" x14ac:dyDescent="0.25">
      <c r="A45" s="75">
        <v>44628</v>
      </c>
      <c r="B45" s="12">
        <v>220.2</v>
      </c>
      <c r="C45" s="1" t="s">
        <v>54</v>
      </c>
      <c r="F45" s="158">
        <v>165.15</v>
      </c>
      <c r="G45" s="158">
        <v>55.05</v>
      </c>
      <c r="H45" s="158">
        <v>70.78</v>
      </c>
      <c r="K45" s="158">
        <f t="shared" si="2"/>
        <v>290.98</v>
      </c>
    </row>
    <row r="46" spans="1:11" x14ac:dyDescent="0.25">
      <c r="A46" s="75">
        <v>44379</v>
      </c>
      <c r="B46" s="12">
        <v>1088.75</v>
      </c>
      <c r="C46" s="1" t="s">
        <v>55</v>
      </c>
      <c r="F46" s="158">
        <v>435.5</v>
      </c>
      <c r="G46" s="158">
        <v>653.25</v>
      </c>
      <c r="H46" s="158">
        <v>186.64</v>
      </c>
      <c r="K46" s="158">
        <f t="shared" si="2"/>
        <v>1275.3899999999999</v>
      </c>
    </row>
    <row r="47" spans="1:11" x14ac:dyDescent="0.25">
      <c r="A47" s="75">
        <v>44544</v>
      </c>
      <c r="B47" s="12">
        <v>884</v>
      </c>
      <c r="C47" s="1" t="s">
        <v>55</v>
      </c>
      <c r="F47" s="158">
        <v>353.6</v>
      </c>
      <c r="G47" s="158">
        <v>530.4</v>
      </c>
      <c r="H47" s="158">
        <v>151.54</v>
      </c>
      <c r="K47" s="158">
        <f t="shared" si="2"/>
        <v>1035.54</v>
      </c>
    </row>
    <row r="48" spans="1:11" x14ac:dyDescent="0.25">
      <c r="A48" s="75">
        <v>44449</v>
      </c>
      <c r="B48" s="12">
        <v>44.91</v>
      </c>
      <c r="C48" s="1" t="s">
        <v>80</v>
      </c>
      <c r="F48" s="158">
        <v>17.96</v>
      </c>
      <c r="G48" s="158">
        <v>26.95</v>
      </c>
      <c r="H48" s="158">
        <v>7.7</v>
      </c>
      <c r="K48" s="158">
        <f t="shared" si="2"/>
        <v>52.61</v>
      </c>
    </row>
    <row r="49" spans="1:12" x14ac:dyDescent="0.25">
      <c r="A49" s="75">
        <v>44540</v>
      </c>
      <c r="B49" s="12">
        <v>44.3</v>
      </c>
      <c r="C49" s="1" t="s">
        <v>80</v>
      </c>
      <c r="F49" s="158">
        <v>17.72</v>
      </c>
      <c r="G49" s="158">
        <v>26.58</v>
      </c>
      <c r="H49" s="158">
        <v>7.59</v>
      </c>
      <c r="K49" s="158">
        <f t="shared" si="2"/>
        <v>51.89</v>
      </c>
    </row>
    <row r="50" spans="1:12" x14ac:dyDescent="0.25">
      <c r="A50" s="75">
        <v>44630</v>
      </c>
      <c r="B50" s="12">
        <v>44.32</v>
      </c>
      <c r="C50" s="1" t="s">
        <v>80</v>
      </c>
      <c r="F50" s="158">
        <v>17.73</v>
      </c>
      <c r="G50" s="158">
        <v>26.6</v>
      </c>
      <c r="H50" s="158">
        <v>7.6</v>
      </c>
      <c r="K50" s="158">
        <f t="shared" si="2"/>
        <v>51.93</v>
      </c>
    </row>
    <row r="51" spans="1:12" x14ac:dyDescent="0.25">
      <c r="A51" s="75">
        <v>44722</v>
      </c>
      <c r="B51" s="12">
        <v>46.21</v>
      </c>
      <c r="C51" s="1" t="s">
        <v>80</v>
      </c>
      <c r="F51" s="158">
        <v>18.48</v>
      </c>
      <c r="G51" s="158">
        <v>27.73</v>
      </c>
      <c r="H51" s="158">
        <v>7.92</v>
      </c>
      <c r="K51" s="158">
        <f t="shared" si="2"/>
        <v>54.13</v>
      </c>
    </row>
    <row r="52" spans="1:12" x14ac:dyDescent="0.25">
      <c r="A52" s="75">
        <v>44379</v>
      </c>
      <c r="B52" s="12">
        <v>537</v>
      </c>
      <c r="C52" s="1" t="s">
        <v>56</v>
      </c>
      <c r="F52" s="158">
        <v>537</v>
      </c>
      <c r="H52" s="158">
        <v>230.14</v>
      </c>
      <c r="K52" s="158">
        <f t="shared" si="2"/>
        <v>767.14</v>
      </c>
    </row>
    <row r="53" spans="1:12" x14ac:dyDescent="0.25">
      <c r="A53" s="75">
        <v>44545</v>
      </c>
      <c r="B53" s="12">
        <v>599.65</v>
      </c>
      <c r="C53" s="1" t="s">
        <v>56</v>
      </c>
      <c r="F53" s="158">
        <v>599.65</v>
      </c>
      <c r="H53" s="158">
        <v>256.99</v>
      </c>
      <c r="K53" s="158">
        <f t="shared" si="2"/>
        <v>856.64</v>
      </c>
    </row>
    <row r="54" spans="1:12" x14ac:dyDescent="0.25">
      <c r="A54" s="75">
        <v>44456</v>
      </c>
      <c r="B54" s="12">
        <v>70.900000000000006</v>
      </c>
      <c r="C54" s="1" t="s">
        <v>82</v>
      </c>
      <c r="F54" s="158">
        <v>70.900000000000006</v>
      </c>
      <c r="H54" s="158">
        <v>30.39</v>
      </c>
      <c r="K54" s="158">
        <f t="shared" si="2"/>
        <v>101.29</v>
      </c>
    </row>
    <row r="55" spans="1:12" x14ac:dyDescent="0.25">
      <c r="A55" s="75">
        <v>44547</v>
      </c>
      <c r="B55" s="12">
        <v>70.040000000000006</v>
      </c>
      <c r="C55" s="1" t="s">
        <v>82</v>
      </c>
      <c r="F55" s="158">
        <v>70.040000000000006</v>
      </c>
      <c r="H55" s="158">
        <v>30.02</v>
      </c>
      <c r="K55" s="158">
        <f t="shared" si="2"/>
        <v>100.06</v>
      </c>
    </row>
    <row r="56" spans="1:12" x14ac:dyDescent="0.25">
      <c r="A56" s="75">
        <v>44637</v>
      </c>
      <c r="B56" s="12">
        <v>70.260000000000005</v>
      </c>
      <c r="C56" s="1" t="s">
        <v>82</v>
      </c>
      <c r="F56" s="158">
        <v>70.260000000000005</v>
      </c>
      <c r="H56" s="158">
        <v>30.11</v>
      </c>
      <c r="K56" s="158">
        <f t="shared" si="2"/>
        <v>100.37</v>
      </c>
    </row>
    <row r="57" spans="1:12" x14ac:dyDescent="0.25">
      <c r="A57" s="75">
        <v>44729</v>
      </c>
      <c r="B57" s="12">
        <v>73.39</v>
      </c>
      <c r="C57" s="1" t="s">
        <v>82</v>
      </c>
      <c r="F57" s="158">
        <v>73.39</v>
      </c>
      <c r="H57" s="158">
        <v>31.45</v>
      </c>
      <c r="K57" s="158">
        <f t="shared" si="2"/>
        <v>104.84</v>
      </c>
    </row>
    <row r="58" spans="1:12" x14ac:dyDescent="0.25">
      <c r="A58" s="75">
        <v>44449</v>
      </c>
      <c r="B58" s="12">
        <v>24.78</v>
      </c>
      <c r="C58" s="1" t="s">
        <v>57</v>
      </c>
      <c r="G58" s="158">
        <f>B58</f>
        <v>24.78</v>
      </c>
      <c r="K58" s="158">
        <f t="shared" si="2"/>
        <v>24.78</v>
      </c>
    </row>
    <row r="59" spans="1:12" x14ac:dyDescent="0.25">
      <c r="A59" s="75">
        <v>44469</v>
      </c>
      <c r="B59" s="12">
        <v>65.14</v>
      </c>
      <c r="C59" s="1" t="s">
        <v>75</v>
      </c>
      <c r="D59" s="12">
        <f>B59</f>
        <v>65.14</v>
      </c>
      <c r="E59" s="158">
        <f>D59</f>
        <v>65.14</v>
      </c>
      <c r="K59" s="158">
        <f>SUM(E59:J59)</f>
        <v>65.14</v>
      </c>
    </row>
    <row r="60" spans="1:12" x14ac:dyDescent="0.25">
      <c r="A60" s="75">
        <v>44561</v>
      </c>
      <c r="B60" s="12">
        <v>65.14</v>
      </c>
      <c r="C60" s="1" t="s">
        <v>75</v>
      </c>
      <c r="D60" s="12">
        <f>B60</f>
        <v>65.14</v>
      </c>
      <c r="E60" s="158">
        <f t="shared" ref="E60:E62" si="3">D60</f>
        <v>65.14</v>
      </c>
      <c r="K60" s="158">
        <f>SUM(E60:J60)</f>
        <v>65.14</v>
      </c>
    </row>
    <row r="61" spans="1:12" x14ac:dyDescent="0.25">
      <c r="A61" s="75">
        <v>44651</v>
      </c>
      <c r="B61" s="12">
        <v>65.14</v>
      </c>
      <c r="C61" s="1" t="s">
        <v>75</v>
      </c>
      <c r="D61" s="12">
        <f>B61</f>
        <v>65.14</v>
      </c>
      <c r="E61" s="158">
        <f t="shared" si="3"/>
        <v>65.14</v>
      </c>
      <c r="K61" s="158">
        <f>SUM(E61:J61)</f>
        <v>65.14</v>
      </c>
    </row>
    <row r="62" spans="1:12" s="128" customFormat="1" x14ac:dyDescent="0.25">
      <c r="A62" s="129">
        <v>44377</v>
      </c>
      <c r="B62" s="127">
        <v>55.98</v>
      </c>
      <c r="C62" s="126" t="s">
        <v>75</v>
      </c>
      <c r="D62" s="127">
        <f>B62</f>
        <v>55.98</v>
      </c>
      <c r="E62" s="127">
        <f t="shared" si="3"/>
        <v>55.98</v>
      </c>
      <c r="F62" s="127"/>
      <c r="G62" s="127"/>
      <c r="H62" s="127"/>
      <c r="I62" s="127"/>
      <c r="J62" s="127"/>
      <c r="K62" s="127">
        <f>SUM(E62:J62)</f>
        <v>55.98</v>
      </c>
      <c r="L62" s="128" t="s">
        <v>138</v>
      </c>
    </row>
    <row r="63" spans="1:12" s="157" customFormat="1" x14ac:dyDescent="0.25">
      <c r="A63" s="154">
        <v>44742</v>
      </c>
      <c r="B63" s="155">
        <v>0</v>
      </c>
      <c r="C63" s="156" t="s">
        <v>75</v>
      </c>
      <c r="D63" s="155">
        <v>65.14</v>
      </c>
      <c r="E63" s="159">
        <v>65.14</v>
      </c>
      <c r="F63" s="155"/>
      <c r="G63" s="155"/>
      <c r="H63" s="155"/>
      <c r="I63" s="155"/>
      <c r="J63" s="155"/>
      <c r="K63" s="159">
        <f>SUM(E63:J63)</f>
        <v>65.14</v>
      </c>
    </row>
    <row r="64" spans="1:12" x14ac:dyDescent="0.25">
      <c r="A64" s="75">
        <v>44469</v>
      </c>
      <c r="B64" s="12">
        <v>135.96</v>
      </c>
      <c r="C64" s="1" t="s">
        <v>58</v>
      </c>
      <c r="F64" s="158">
        <v>135.96</v>
      </c>
      <c r="H64" s="158">
        <v>58.27</v>
      </c>
      <c r="K64" s="158">
        <f t="shared" ref="K64:K78" si="4">SUM(F64:J64)</f>
        <v>194.23000000000002</v>
      </c>
    </row>
    <row r="65" spans="1:12" x14ac:dyDescent="0.25">
      <c r="A65" s="75">
        <v>44469</v>
      </c>
      <c r="B65" s="12">
        <v>10</v>
      </c>
      <c r="C65" s="1" t="s">
        <v>60</v>
      </c>
      <c r="F65" s="158">
        <v>10</v>
      </c>
      <c r="H65" s="158">
        <v>4.29</v>
      </c>
      <c r="K65" s="158">
        <f t="shared" si="4"/>
        <v>14.29</v>
      </c>
    </row>
    <row r="66" spans="1:12" x14ac:dyDescent="0.25">
      <c r="A66" s="75">
        <v>44460</v>
      </c>
      <c r="B66" s="12">
        <v>46.16</v>
      </c>
      <c r="C66" s="1" t="s">
        <v>59</v>
      </c>
      <c r="F66" s="158">
        <v>46.16</v>
      </c>
      <c r="H66" s="158">
        <v>19.78</v>
      </c>
      <c r="K66" s="158">
        <f t="shared" si="4"/>
        <v>65.94</v>
      </c>
    </row>
    <row r="67" spans="1:12" x14ac:dyDescent="0.25">
      <c r="A67" s="75">
        <v>44644</v>
      </c>
      <c r="B67" s="12">
        <v>70.849999999999994</v>
      </c>
      <c r="C67" s="1" t="s">
        <v>59</v>
      </c>
      <c r="F67" s="158">
        <v>49.6</v>
      </c>
      <c r="G67" s="158">
        <v>21.26</v>
      </c>
      <c r="H67" s="158">
        <v>21.26</v>
      </c>
      <c r="K67" s="158">
        <f t="shared" si="4"/>
        <v>92.12</v>
      </c>
    </row>
    <row r="68" spans="1:12" x14ac:dyDescent="0.25">
      <c r="A68" s="75">
        <v>44462</v>
      </c>
      <c r="B68" s="12">
        <v>160</v>
      </c>
      <c r="C68" s="1" t="s">
        <v>62</v>
      </c>
      <c r="F68" s="158">
        <v>160</v>
      </c>
      <c r="H68" s="158">
        <f>42.86+25.71</f>
        <v>68.569999999999993</v>
      </c>
      <c r="K68" s="158">
        <f t="shared" si="4"/>
        <v>228.57</v>
      </c>
    </row>
    <row r="69" spans="1:12" x14ac:dyDescent="0.25">
      <c r="A69" s="75">
        <v>44652</v>
      </c>
      <c r="B69" s="12">
        <v>160</v>
      </c>
      <c r="C69" s="1" t="s">
        <v>62</v>
      </c>
      <c r="F69" s="158">
        <f>120+40</f>
        <v>160</v>
      </c>
      <c r="H69" s="158">
        <f>51.43+17.14</f>
        <v>68.569999999999993</v>
      </c>
      <c r="K69" s="158">
        <f t="shared" si="4"/>
        <v>228.57</v>
      </c>
    </row>
    <row r="70" spans="1:12" x14ac:dyDescent="0.25">
      <c r="A70" s="75">
        <v>44463</v>
      </c>
      <c r="B70" s="12">
        <v>12</v>
      </c>
      <c r="C70" s="1" t="s">
        <v>63</v>
      </c>
      <c r="F70" s="158">
        <v>12</v>
      </c>
      <c r="H70" s="158">
        <v>5.14</v>
      </c>
      <c r="K70" s="158">
        <f t="shared" si="4"/>
        <v>17.14</v>
      </c>
    </row>
    <row r="71" spans="1:12" x14ac:dyDescent="0.25">
      <c r="A71" s="75">
        <v>44526</v>
      </c>
      <c r="B71" s="12">
        <v>195</v>
      </c>
      <c r="C71" s="1" t="s">
        <v>63</v>
      </c>
      <c r="F71" s="158">
        <v>195</v>
      </c>
      <c r="H71" s="158">
        <v>83.57</v>
      </c>
      <c r="K71" s="158">
        <f t="shared" si="4"/>
        <v>278.57</v>
      </c>
    </row>
    <row r="72" spans="1:12" x14ac:dyDescent="0.25">
      <c r="A72" s="75">
        <v>44463</v>
      </c>
      <c r="B72" s="12">
        <v>41.03</v>
      </c>
      <c r="C72" s="1" t="s">
        <v>90</v>
      </c>
      <c r="F72" s="158">
        <v>41.03</v>
      </c>
      <c r="H72" s="158">
        <v>17.579999999999998</v>
      </c>
      <c r="K72" s="158">
        <f t="shared" si="4"/>
        <v>58.61</v>
      </c>
    </row>
    <row r="73" spans="1:12" x14ac:dyDescent="0.25">
      <c r="A73" s="75">
        <v>44643</v>
      </c>
      <c r="B73" s="12">
        <v>146.16</v>
      </c>
      <c r="C73" s="1" t="s">
        <v>90</v>
      </c>
      <c r="F73" s="158">
        <v>146.16</v>
      </c>
      <c r="H73" s="158">
        <v>62.64</v>
      </c>
      <c r="K73" s="158">
        <f t="shared" si="4"/>
        <v>208.8</v>
      </c>
    </row>
    <row r="74" spans="1:12" x14ac:dyDescent="0.25">
      <c r="A74" s="75">
        <v>44476</v>
      </c>
      <c r="B74" s="12">
        <v>88.2</v>
      </c>
      <c r="C74" s="1" t="s">
        <v>64</v>
      </c>
      <c r="F74" s="158">
        <v>88.2</v>
      </c>
      <c r="H74" s="158">
        <v>37.799999999999997</v>
      </c>
      <c r="K74" s="158">
        <f t="shared" si="4"/>
        <v>126</v>
      </c>
    </row>
    <row r="75" spans="1:12" x14ac:dyDescent="0.25">
      <c r="A75" s="75">
        <v>44650</v>
      </c>
      <c r="B75" s="12">
        <v>78.400000000000006</v>
      </c>
      <c r="C75" s="1" t="s">
        <v>64</v>
      </c>
      <c r="F75" s="158">
        <v>78.400000000000006</v>
      </c>
      <c r="H75" s="158">
        <v>33.6</v>
      </c>
      <c r="K75" s="158">
        <f t="shared" si="4"/>
        <v>112</v>
      </c>
    </row>
    <row r="76" spans="1:12" s="128" customFormat="1" x14ac:dyDescent="0.25">
      <c r="A76" s="129">
        <v>44377</v>
      </c>
      <c r="B76" s="127">
        <v>30.89</v>
      </c>
      <c r="C76" s="126" t="s">
        <v>65</v>
      </c>
      <c r="D76" s="127">
        <v>34.24</v>
      </c>
      <c r="E76" s="127">
        <v>30.89</v>
      </c>
      <c r="F76" s="127">
        <v>7.83</v>
      </c>
      <c r="G76" s="127">
        <v>23.06</v>
      </c>
      <c r="H76" s="127">
        <v>3.35</v>
      </c>
      <c r="I76" s="127"/>
      <c r="J76" s="127"/>
      <c r="K76" s="127">
        <f t="shared" si="4"/>
        <v>34.24</v>
      </c>
      <c r="L76" s="128" t="s">
        <v>138</v>
      </c>
    </row>
    <row r="77" spans="1:12" x14ac:dyDescent="0.25">
      <c r="A77" s="75">
        <v>44469</v>
      </c>
      <c r="B77" s="12">
        <v>60.49</v>
      </c>
      <c r="C77" s="1" t="s">
        <v>65</v>
      </c>
      <c r="D77" s="12">
        <v>77.3</v>
      </c>
      <c r="F77" s="158">
        <v>39.229999999999997</v>
      </c>
      <c r="G77" s="158">
        <v>21.26</v>
      </c>
      <c r="H77" s="158">
        <v>16.809999999999999</v>
      </c>
      <c r="K77" s="158">
        <f t="shared" si="4"/>
        <v>77.3</v>
      </c>
    </row>
    <row r="78" spans="1:12" x14ac:dyDescent="0.25">
      <c r="A78" s="75">
        <v>44561</v>
      </c>
      <c r="B78" s="12">
        <v>34.71</v>
      </c>
      <c r="C78" s="1" t="s">
        <v>65</v>
      </c>
      <c r="D78" s="12">
        <v>40.71</v>
      </c>
      <c r="F78" s="158">
        <v>14</v>
      </c>
      <c r="G78" s="158">
        <v>20.71</v>
      </c>
      <c r="H78" s="158">
        <v>6</v>
      </c>
      <c r="K78" s="158">
        <f t="shared" si="4"/>
        <v>40.71</v>
      </c>
    </row>
    <row r="80" spans="1:12" x14ac:dyDescent="0.25">
      <c r="B80" s="74"/>
      <c r="C80" s="23"/>
      <c r="D80" s="74"/>
      <c r="E80" s="74"/>
      <c r="F80" s="74"/>
      <c r="G80" s="74"/>
      <c r="H80" s="74"/>
      <c r="I80" s="74"/>
      <c r="J80" s="74"/>
      <c r="K80" s="74"/>
    </row>
    <row r="81" spans="1:11" x14ac:dyDescent="0.25">
      <c r="B81" s="12">
        <f t="shared" ref="B81:K81" si="5">SUM(B5:B80)</f>
        <v>11903.319999999994</v>
      </c>
      <c r="C81" s="12">
        <f t="shared" si="5"/>
        <v>0</v>
      </c>
      <c r="D81" s="12">
        <f t="shared" si="5"/>
        <v>2037.1100000000006</v>
      </c>
      <c r="E81" s="12">
        <f t="shared" si="5"/>
        <v>1477.7300000000007</v>
      </c>
      <c r="F81" s="12">
        <f t="shared" si="5"/>
        <v>10598.51</v>
      </c>
      <c r="G81" s="12">
        <f t="shared" si="5"/>
        <v>1681.54</v>
      </c>
      <c r="H81" s="12">
        <f t="shared" si="5"/>
        <v>4477.9000000000015</v>
      </c>
      <c r="I81" s="12">
        <f t="shared" si="5"/>
        <v>0</v>
      </c>
      <c r="J81" s="12">
        <f t="shared" si="5"/>
        <v>0</v>
      </c>
      <c r="K81" s="12">
        <f t="shared" si="5"/>
        <v>18054.779999999995</v>
      </c>
    </row>
    <row r="82" spans="1:11" x14ac:dyDescent="0.25">
      <c r="A82" s="161" t="s">
        <v>177</v>
      </c>
      <c r="B82" s="127"/>
      <c r="C82" s="127"/>
      <c r="E82" s="127">
        <f>E76+E62+E29+E13</f>
        <v>539.66000000000008</v>
      </c>
      <c r="F82" s="127">
        <f>F76+F29</f>
        <v>69.430000000000007</v>
      </c>
      <c r="G82" s="127">
        <f>G76</f>
        <v>23.06</v>
      </c>
      <c r="H82" s="127">
        <f>H76+H62+H29</f>
        <v>29.75</v>
      </c>
      <c r="I82" s="127"/>
      <c r="J82" s="127"/>
      <c r="K82" s="127">
        <f>K76+K62+K29+K13</f>
        <v>631.01</v>
      </c>
    </row>
    <row r="83" spans="1:11" x14ac:dyDescent="0.25">
      <c r="A83" s="166" t="s">
        <v>180</v>
      </c>
      <c r="B83" s="92">
        <f>F22</f>
        <v>1071.3599999999999</v>
      </c>
      <c r="C83" s="34"/>
      <c r="D83" s="34"/>
      <c r="E83" s="34"/>
      <c r="F83" s="34"/>
      <c r="G83" s="34"/>
      <c r="H83" s="34"/>
      <c r="I83" s="34"/>
      <c r="J83" s="34"/>
      <c r="K83" s="34"/>
    </row>
    <row r="84" spans="1:11" x14ac:dyDescent="0.25">
      <c r="A84" s="2" t="s">
        <v>178</v>
      </c>
      <c r="B84" s="12">
        <v>0.92</v>
      </c>
      <c r="E84" s="12">
        <v>0.01</v>
      </c>
      <c r="G84" s="12">
        <v>0.02</v>
      </c>
      <c r="K84" s="12">
        <f>G84</f>
        <v>0.02</v>
      </c>
    </row>
    <row r="85" spans="1:11" ht="15.75" thickBot="1" x14ac:dyDescent="0.3">
      <c r="A85" s="162" t="s">
        <v>176</v>
      </c>
      <c r="B85" s="164">
        <v>12975.6</v>
      </c>
      <c r="C85" s="165"/>
      <c r="D85" s="164"/>
      <c r="E85" s="164">
        <f>(E81-(E82+E84))</f>
        <v>938.06000000000063</v>
      </c>
      <c r="F85" s="164">
        <f>10029.05+500.03</f>
        <v>10529.08</v>
      </c>
      <c r="G85" s="164">
        <v>1658.46</v>
      </c>
      <c r="H85" s="164">
        <f>4298.14+150.01</f>
        <v>4448.1500000000005</v>
      </c>
      <c r="I85" s="164"/>
      <c r="J85" s="164"/>
      <c r="K85" s="164">
        <v>17423.75</v>
      </c>
    </row>
    <row r="86" spans="1:11" s="135" customFormat="1" ht="15.75" thickTop="1" x14ac:dyDescent="0.25">
      <c r="A86" s="163"/>
      <c r="B86" s="158" t="b">
        <f>SUM(B81:B84)=B85</f>
        <v>1</v>
      </c>
      <c r="C86" s="163"/>
      <c r="D86" s="158"/>
      <c r="E86" s="158" t="b">
        <v>1</v>
      </c>
      <c r="F86" s="158" t="b">
        <f>(F81-F82)=F85</f>
        <v>1</v>
      </c>
      <c r="G86" s="158" t="b">
        <f>((G81-(G82+G84))=G85)</f>
        <v>1</v>
      </c>
      <c r="H86" s="158" t="b">
        <f>(H81-H82)=H85</f>
        <v>1</v>
      </c>
      <c r="I86" s="158"/>
      <c r="J86" s="158"/>
      <c r="K86" s="158" t="b">
        <f>((K81-(K82+K84))=K85)</f>
        <v>1</v>
      </c>
    </row>
    <row r="89" spans="1:11" ht="17.25" x14ac:dyDescent="0.4">
      <c r="A89" s="149" t="s">
        <v>173</v>
      </c>
    </row>
    <row r="90" spans="1:11" x14ac:dyDescent="0.25">
      <c r="A90" s="154">
        <v>44742</v>
      </c>
      <c r="B90" s="155">
        <v>0</v>
      </c>
      <c r="C90" s="156" t="s">
        <v>71</v>
      </c>
      <c r="D90" s="155">
        <v>373.24</v>
      </c>
      <c r="E90" s="155">
        <v>289.14999999999998</v>
      </c>
      <c r="F90" s="155">
        <v>120.13</v>
      </c>
      <c r="G90" s="155"/>
      <c r="H90" s="155">
        <v>36.04</v>
      </c>
      <c r="I90" s="155"/>
      <c r="J90" s="155"/>
      <c r="K90" s="155">
        <f>SUM(E90:F90)</f>
        <v>409.28</v>
      </c>
    </row>
    <row r="91" spans="1:11" x14ac:dyDescent="0.25">
      <c r="A91" s="154">
        <v>44742</v>
      </c>
      <c r="B91" s="155">
        <v>0</v>
      </c>
      <c r="C91" s="156" t="s">
        <v>73</v>
      </c>
      <c r="D91" s="155">
        <v>163.76</v>
      </c>
      <c r="E91" s="155">
        <v>90.17</v>
      </c>
      <c r="F91" s="155">
        <v>105.13</v>
      </c>
      <c r="G91" s="155"/>
      <c r="H91" s="155">
        <v>36.04</v>
      </c>
      <c r="I91" s="155"/>
      <c r="J91" s="155"/>
      <c r="K91" s="155">
        <f>SUM(E91:F91)</f>
        <v>195.3</v>
      </c>
    </row>
    <row r="92" spans="1:11" x14ac:dyDescent="0.25">
      <c r="A92" s="154">
        <v>44742</v>
      </c>
      <c r="B92" s="155">
        <v>0</v>
      </c>
      <c r="C92" s="156" t="s">
        <v>75</v>
      </c>
      <c r="D92" s="155">
        <v>65.14</v>
      </c>
      <c r="E92" s="155">
        <v>65.14</v>
      </c>
      <c r="F92" s="155">
        <v>0</v>
      </c>
      <c r="G92" s="155"/>
      <c r="H92" s="155">
        <v>0</v>
      </c>
      <c r="I92" s="155"/>
      <c r="J92" s="155"/>
      <c r="K92" s="155">
        <f>SUM(E92:F92)</f>
        <v>65.14</v>
      </c>
    </row>
    <row r="93" spans="1:11" x14ac:dyDescent="0.25">
      <c r="A93" s="23"/>
      <c r="B93" s="74"/>
      <c r="C93" s="23"/>
      <c r="D93" s="74"/>
      <c r="E93" s="74"/>
      <c r="F93" s="74"/>
      <c r="G93" s="74"/>
      <c r="H93" s="74"/>
      <c r="I93" s="74"/>
      <c r="J93" s="74"/>
      <c r="K93" s="74"/>
    </row>
    <row r="94" spans="1:11" x14ac:dyDescent="0.25">
      <c r="A94" s="1" t="s">
        <v>136</v>
      </c>
      <c r="B94" s="12">
        <v>0</v>
      </c>
      <c r="E94" s="12">
        <f>SUM(E90:E93)</f>
        <v>444.46</v>
      </c>
      <c r="F94" s="12">
        <f t="shared" ref="F94:J94" si="6">SUM(F90:F93)</f>
        <v>225.26</v>
      </c>
      <c r="G94" s="12">
        <f t="shared" si="6"/>
        <v>0</v>
      </c>
      <c r="H94" s="12">
        <f t="shared" si="6"/>
        <v>72.08</v>
      </c>
      <c r="I94" s="12">
        <f t="shared" si="6"/>
        <v>0</v>
      </c>
      <c r="J94" s="12">
        <f t="shared" si="6"/>
        <v>0</v>
      </c>
      <c r="K94" s="12">
        <f>SUM(K90:K93)</f>
        <v>669.71999999999991</v>
      </c>
    </row>
    <row r="97" spans="1:3" ht="17.25" x14ac:dyDescent="0.4">
      <c r="A97" s="195" t="s">
        <v>184</v>
      </c>
      <c r="B97" s="196"/>
    </row>
    <row r="98" spans="1:3" x14ac:dyDescent="0.25">
      <c r="A98" s="196" t="s">
        <v>185</v>
      </c>
      <c r="B98" s="196">
        <f>B81-(E81+G81)+H81</f>
        <v>13221.949999999995</v>
      </c>
      <c r="C98" s="32"/>
    </row>
    <row r="99" spans="1:3" x14ac:dyDescent="0.25">
      <c r="A99" s="196" t="s">
        <v>186</v>
      </c>
      <c r="B99" s="196">
        <f>G81</f>
        <v>1681.54</v>
      </c>
      <c r="C99" s="32"/>
    </row>
    <row r="100" spans="1:3" x14ac:dyDescent="0.25">
      <c r="A100" s="196" t="s">
        <v>187</v>
      </c>
      <c r="B100" s="196">
        <f>E81-'Other debtors '!B10+'Other debtors '!D10</f>
        <v>1040.7200000000007</v>
      </c>
    </row>
    <row r="101" spans="1:3" x14ac:dyDescent="0.25">
      <c r="A101" s="196" t="s">
        <v>188</v>
      </c>
      <c r="B101" s="196">
        <f>H81</f>
        <v>4477.9000000000015</v>
      </c>
      <c r="C101" s="32"/>
    </row>
    <row r="102" spans="1:3" x14ac:dyDescent="0.25">
      <c r="A102" s="196"/>
      <c r="B102" s="196"/>
    </row>
    <row r="103" spans="1:3" ht="17.25" x14ac:dyDescent="0.4">
      <c r="A103" s="195" t="s">
        <v>189</v>
      </c>
      <c r="B103" s="196"/>
    </row>
    <row r="104" spans="1:3" x14ac:dyDescent="0.25">
      <c r="A104" s="196" t="s">
        <v>185</v>
      </c>
      <c r="B104" s="196">
        <f>F85</f>
        <v>10529.08</v>
      </c>
    </row>
    <row r="105" spans="1:3" x14ac:dyDescent="0.25">
      <c r="A105" s="196" t="s">
        <v>186</v>
      </c>
      <c r="B105" s="196">
        <f>G85</f>
        <v>1658.46</v>
      </c>
    </row>
    <row r="106" spans="1:3" x14ac:dyDescent="0.25">
      <c r="A106" s="196" t="s">
        <v>187</v>
      </c>
      <c r="B106" s="196">
        <f>'Other debtors '!K42</f>
        <v>755.69999999999993</v>
      </c>
    </row>
    <row r="107" spans="1:3" x14ac:dyDescent="0.25">
      <c r="A107" s="196" t="s">
        <v>144</v>
      </c>
      <c r="B107" s="196">
        <f>H85</f>
        <v>4448.1500000000005</v>
      </c>
    </row>
    <row r="108" spans="1:3" x14ac:dyDescent="0.25">
      <c r="A108" s="196" t="s">
        <v>190</v>
      </c>
      <c r="B108" s="196">
        <f>I81</f>
        <v>0</v>
      </c>
    </row>
  </sheetData>
  <sortState xmlns:xlrd2="http://schemas.microsoft.com/office/spreadsheetml/2017/richdata2" ref="B5:E78">
    <sortCondition ref="C5:C7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FB932-4FD5-4C00-85BA-A6ABC4948DE5}">
  <sheetPr>
    <tabColor theme="6" tint="-0.249977111117893"/>
  </sheetPr>
  <dimension ref="A1:S50"/>
  <sheetViews>
    <sheetView topLeftCell="A16" zoomScale="85" zoomScaleNormal="85" workbookViewId="0">
      <selection activeCell="B41" sqref="B41"/>
    </sheetView>
  </sheetViews>
  <sheetFormatPr defaultRowHeight="15" x14ac:dyDescent="0.25"/>
  <cols>
    <col min="1" max="1" width="65.85546875" bestFit="1" customWidth="1"/>
    <col min="2" max="3" width="18.7109375" bestFit="1" customWidth="1"/>
    <col min="4" max="4" width="23" bestFit="1" customWidth="1"/>
    <col min="5" max="5" width="19.140625" bestFit="1" customWidth="1"/>
    <col min="6" max="6" width="16.85546875" bestFit="1" customWidth="1"/>
    <col min="7" max="7" width="14" bestFit="1" customWidth="1"/>
    <col min="8" max="8" width="15.140625" style="167" bestFit="1" customWidth="1"/>
    <col min="9" max="9" width="14.140625" bestFit="1" customWidth="1"/>
    <col min="10" max="10" width="65.85546875" bestFit="1" customWidth="1"/>
    <col min="11" max="11" width="15.140625" style="46" bestFit="1" customWidth="1"/>
    <col min="12" max="12" width="12.42578125" bestFit="1" customWidth="1"/>
    <col min="13" max="13" width="17.85546875" bestFit="1" customWidth="1"/>
    <col min="14" max="14" width="9" bestFit="1" customWidth="1"/>
    <col min="15" max="15" width="10.5703125" bestFit="1" customWidth="1"/>
  </cols>
  <sheetData>
    <row r="1" spans="1:13" x14ac:dyDescent="0.25">
      <c r="H1"/>
    </row>
    <row r="2" spans="1:13" x14ac:dyDescent="0.25">
      <c r="A2" s="194" t="s">
        <v>183</v>
      </c>
      <c r="H2"/>
      <c r="K2"/>
      <c r="L2" s="46"/>
    </row>
    <row r="3" spans="1:13" x14ac:dyDescent="0.25">
      <c r="H3"/>
      <c r="K3"/>
      <c r="L3" s="46"/>
    </row>
    <row r="4" spans="1:13" s="131" customFormat="1" x14ac:dyDescent="0.25">
      <c r="A4" s="8" t="s">
        <v>0</v>
      </c>
      <c r="B4" s="193" t="s">
        <v>171</v>
      </c>
      <c r="C4" s="176" t="str">
        <f>B21</f>
        <v>Gross Distribution</v>
      </c>
      <c r="D4" s="192" t="s">
        <v>172</v>
      </c>
      <c r="E4" s="191" t="s">
        <v>139</v>
      </c>
      <c r="F4" s="8" t="s">
        <v>140</v>
      </c>
      <c r="G4" s="8" t="s">
        <v>141</v>
      </c>
      <c r="H4" s="130" t="s">
        <v>144</v>
      </c>
      <c r="I4" s="8" t="s">
        <v>142</v>
      </c>
      <c r="J4" s="8" t="s">
        <v>135</v>
      </c>
      <c r="K4" s="8" t="s">
        <v>143</v>
      </c>
      <c r="L4" s="8" t="s">
        <v>145</v>
      </c>
      <c r="M4" s="8" t="s">
        <v>146</v>
      </c>
    </row>
    <row r="5" spans="1:13" x14ac:dyDescent="0.25">
      <c r="A5" s="1"/>
      <c r="B5" s="45"/>
      <c r="C5" s="95"/>
      <c r="D5" s="190"/>
      <c r="E5" s="189"/>
      <c r="H5" s="46"/>
      <c r="J5" s="73"/>
      <c r="K5"/>
    </row>
    <row r="6" spans="1:13" x14ac:dyDescent="0.25">
      <c r="A6" s="173" t="s">
        <v>71</v>
      </c>
      <c r="B6" s="188">
        <f>'[1]Other debtors'!$D$3</f>
        <v>211.03</v>
      </c>
      <c r="C6" s="187">
        <f>SUM(B23:B24)</f>
        <v>747.03</v>
      </c>
      <c r="D6" s="186">
        <f>(E6-C6)+B6</f>
        <v>-323.45000000000005</v>
      </c>
      <c r="E6" s="185">
        <f>K40</f>
        <v>212.54999999999998</v>
      </c>
      <c r="F6" s="132">
        <f>K25+K28</f>
        <v>158.68</v>
      </c>
      <c r="G6" s="132">
        <v>0</v>
      </c>
      <c r="H6" s="133">
        <f>SUM(F23:F24)</f>
        <v>53.87</v>
      </c>
      <c r="I6" s="132">
        <v>0</v>
      </c>
      <c r="J6" s="183">
        <v>0</v>
      </c>
      <c r="K6" s="132">
        <v>0</v>
      </c>
      <c r="L6" s="132">
        <v>0</v>
      </c>
      <c r="M6" s="132">
        <v>0</v>
      </c>
    </row>
    <row r="7" spans="1:13" x14ac:dyDescent="0.25">
      <c r="A7" s="173" t="s">
        <v>147</v>
      </c>
      <c r="B7" s="188">
        <f>'[1]Other debtors'!$D$4</f>
        <v>536.81000000000006</v>
      </c>
      <c r="C7" s="187">
        <f>SUM(B27:B30)</f>
        <v>251.4</v>
      </c>
      <c r="D7" s="186">
        <f>(E7-C7)+B7</f>
        <v>446.32000000000005</v>
      </c>
      <c r="E7" s="185">
        <f>L40</f>
        <v>160.90999999999997</v>
      </c>
      <c r="F7" s="132">
        <f>L28</f>
        <v>158.07</v>
      </c>
      <c r="G7" s="132">
        <f>L36</f>
        <v>1.42</v>
      </c>
      <c r="H7" s="133">
        <f>SUM(F27:F30)</f>
        <v>0</v>
      </c>
      <c r="I7" s="132">
        <v>0</v>
      </c>
      <c r="J7" s="183">
        <v>0</v>
      </c>
      <c r="K7" s="132">
        <v>0</v>
      </c>
      <c r="L7" s="132">
        <v>0</v>
      </c>
      <c r="M7" s="132">
        <v>0</v>
      </c>
    </row>
    <row r="8" spans="1:13" x14ac:dyDescent="0.25">
      <c r="A8" s="173" t="s">
        <v>65</v>
      </c>
      <c r="B8" s="188">
        <f>'[1]Other debtors'!$D$5</f>
        <v>-104.67999999999996</v>
      </c>
      <c r="C8" s="187">
        <f>SUM(B31:B33)</f>
        <v>152.25</v>
      </c>
      <c r="D8" s="186">
        <f>(E8-C8)+B8</f>
        <v>-117.82999999999997</v>
      </c>
      <c r="E8" s="185">
        <f>M40</f>
        <v>139.1</v>
      </c>
      <c r="F8" s="132">
        <f>M28+M31</f>
        <v>109.12</v>
      </c>
      <c r="G8" s="132">
        <v>0</v>
      </c>
      <c r="H8" s="133">
        <f>SUM(F31:F33)</f>
        <v>26.16</v>
      </c>
      <c r="I8" s="132">
        <v>0</v>
      </c>
      <c r="J8" s="183">
        <v>0</v>
      </c>
      <c r="K8" s="132">
        <v>0</v>
      </c>
      <c r="L8" s="132">
        <v>0</v>
      </c>
      <c r="M8" s="132">
        <v>0</v>
      </c>
    </row>
    <row r="9" spans="1:13" x14ac:dyDescent="0.25">
      <c r="A9" s="173" t="s">
        <v>148</v>
      </c>
      <c r="B9" s="188">
        <f>'[1]Other debtors'!$D$6</f>
        <v>488.50000000000006</v>
      </c>
      <c r="C9" s="187">
        <f>SUM(B25:B26)</f>
        <v>366.72</v>
      </c>
      <c r="D9" s="186">
        <f>(E9-C9)+B9</f>
        <v>689.61000000000013</v>
      </c>
      <c r="E9" s="185">
        <f>N40</f>
        <v>567.83000000000004</v>
      </c>
      <c r="F9" s="132">
        <f>N25+N28+N29</f>
        <v>191.02</v>
      </c>
      <c r="G9" s="184">
        <f>N36</f>
        <v>203.83</v>
      </c>
      <c r="H9" s="133">
        <f>SUM(F25:F26)</f>
        <v>54.959999999999994</v>
      </c>
      <c r="I9" s="132">
        <v>0</v>
      </c>
      <c r="J9" s="183">
        <v>0</v>
      </c>
      <c r="K9" s="132">
        <v>0</v>
      </c>
      <c r="L9" s="132">
        <v>0</v>
      </c>
      <c r="M9" s="132">
        <v>0</v>
      </c>
    </row>
    <row r="10" spans="1:13" x14ac:dyDescent="0.25">
      <c r="A10" s="135" t="s">
        <v>136</v>
      </c>
      <c r="B10" s="182">
        <f t="shared" ref="B10:M10" si="0">SUM(B6:B9)</f>
        <v>1131.6600000000001</v>
      </c>
      <c r="C10" s="181">
        <f t="shared" si="0"/>
        <v>1517.3999999999999</v>
      </c>
      <c r="D10" s="179">
        <f t="shared" si="0"/>
        <v>694.6500000000002</v>
      </c>
      <c r="E10" s="169">
        <f t="shared" si="0"/>
        <v>1080.3899999999999</v>
      </c>
      <c r="F10" s="136">
        <f t="shared" si="0"/>
        <v>616.89</v>
      </c>
      <c r="G10" s="136">
        <f t="shared" si="0"/>
        <v>205.25</v>
      </c>
      <c r="H10" s="137">
        <f t="shared" si="0"/>
        <v>134.99</v>
      </c>
      <c r="I10" s="136">
        <f t="shared" si="0"/>
        <v>0</v>
      </c>
      <c r="J10" s="136">
        <f t="shared" si="0"/>
        <v>0</v>
      </c>
      <c r="K10" s="136">
        <f t="shared" si="0"/>
        <v>0</v>
      </c>
      <c r="L10" s="136">
        <f t="shared" si="0"/>
        <v>0</v>
      </c>
      <c r="M10" s="136">
        <f t="shared" si="0"/>
        <v>0</v>
      </c>
    </row>
    <row r="11" spans="1:13" x14ac:dyDescent="0.25">
      <c r="A11" s="46" t="s">
        <v>144</v>
      </c>
      <c r="C11" s="180">
        <f>H10</f>
        <v>134.99</v>
      </c>
      <c r="E11" s="138">
        <f>C10+H10+(D10-B10)</f>
        <v>1215.3800000000001</v>
      </c>
      <c r="H11"/>
      <c r="K11"/>
      <c r="L11" s="46"/>
    </row>
    <row r="12" spans="1:13" x14ac:dyDescent="0.25">
      <c r="A12" t="s">
        <v>152</v>
      </c>
      <c r="C12" s="179">
        <f>D10</f>
        <v>694.6500000000002</v>
      </c>
      <c r="D12" s="98"/>
      <c r="E12" s="98"/>
      <c r="H12"/>
      <c r="K12"/>
      <c r="L12" s="46"/>
    </row>
    <row r="13" spans="1:13" x14ac:dyDescent="0.25">
      <c r="A13" t="s">
        <v>151</v>
      </c>
      <c r="C13" s="49">
        <f>-B10</f>
        <v>-1131.6600000000001</v>
      </c>
      <c r="E13" s="98"/>
      <c r="H13"/>
      <c r="K13"/>
      <c r="L13" s="46"/>
    </row>
    <row r="14" spans="1:13" x14ac:dyDescent="0.25">
      <c r="C14" s="147"/>
      <c r="E14" s="98"/>
      <c r="H14"/>
      <c r="K14"/>
      <c r="L14" s="46"/>
    </row>
    <row r="15" spans="1:13" x14ac:dyDescent="0.25">
      <c r="A15" s="157" t="s">
        <v>182</v>
      </c>
      <c r="B15" s="157"/>
      <c r="C15" s="148">
        <f>SUM(C10:C14)</f>
        <v>1215.3799999999999</v>
      </c>
      <c r="E15" s="98"/>
      <c r="H15"/>
      <c r="K15"/>
      <c r="L15" s="46"/>
    </row>
    <row r="16" spans="1:13" x14ac:dyDescent="0.25">
      <c r="C16" s="98"/>
      <c r="E16" s="98"/>
      <c r="H16"/>
      <c r="K16"/>
      <c r="L16" s="46"/>
    </row>
    <row r="17" spans="1:19" x14ac:dyDescent="0.25">
      <c r="C17" s="98"/>
      <c r="E17" s="98"/>
      <c r="H17"/>
      <c r="K17"/>
      <c r="L17" s="46"/>
    </row>
    <row r="18" spans="1:19" s="73" customFormat="1" x14ac:dyDescent="0.25">
      <c r="C18" s="178"/>
      <c r="E18" s="178"/>
      <c r="K18" s="177"/>
    </row>
    <row r="19" spans="1:19" x14ac:dyDescent="0.25">
      <c r="C19" s="98"/>
      <c r="E19" s="98"/>
    </row>
    <row r="20" spans="1:19" x14ac:dyDescent="0.25">
      <c r="J20" s="131"/>
      <c r="K20" s="141"/>
      <c r="L20" s="131"/>
      <c r="M20" s="131"/>
      <c r="N20" s="131"/>
      <c r="O20" s="131"/>
      <c r="P20" s="131"/>
      <c r="Q20" s="131"/>
      <c r="R20" s="131"/>
      <c r="S20" s="131"/>
    </row>
    <row r="21" spans="1:19" s="131" customFormat="1" x14ac:dyDescent="0.25">
      <c r="A21" s="8" t="s">
        <v>181</v>
      </c>
      <c r="B21" s="176" t="s">
        <v>149</v>
      </c>
      <c r="C21" s="139" t="s">
        <v>130</v>
      </c>
      <c r="D21" s="139" t="s">
        <v>131</v>
      </c>
      <c r="E21" s="139" t="s">
        <v>132</v>
      </c>
      <c r="F21" s="140" t="s">
        <v>133</v>
      </c>
      <c r="G21" s="139" t="s">
        <v>150</v>
      </c>
      <c r="H21" s="175"/>
      <c r="J21" s="8" t="s">
        <v>153</v>
      </c>
      <c r="K21" s="8" t="s">
        <v>71</v>
      </c>
      <c r="L21" s="8" t="s">
        <v>75</v>
      </c>
      <c r="M21" s="8" t="s">
        <v>65</v>
      </c>
      <c r="N21" s="8" t="s">
        <v>73</v>
      </c>
      <c r="O21" s="8" t="s">
        <v>136</v>
      </c>
      <c r="P21"/>
      <c r="Q21"/>
      <c r="R21"/>
      <c r="S21"/>
    </row>
    <row r="22" spans="1:19" x14ac:dyDescent="0.25">
      <c r="A22" s="1"/>
      <c r="B22" s="95"/>
      <c r="F22" s="46"/>
      <c r="K22" s="163"/>
      <c r="L22" s="163"/>
      <c r="M22" s="163"/>
      <c r="N22" s="163"/>
      <c r="O22" s="163"/>
    </row>
    <row r="23" spans="1:19" x14ac:dyDescent="0.25">
      <c r="A23" s="173" t="s">
        <v>71</v>
      </c>
      <c r="B23" s="172">
        <f>Dividends!$K$13</f>
        <v>359.91</v>
      </c>
      <c r="C23" s="142">
        <f>Dividends!$E$13</f>
        <v>359.91</v>
      </c>
      <c r="D23" s="134"/>
      <c r="E23" s="134"/>
      <c r="F23" s="143"/>
      <c r="G23" s="134"/>
      <c r="J23" s="134" t="s">
        <v>150</v>
      </c>
      <c r="K23" s="132"/>
      <c r="L23" s="132"/>
      <c r="M23" s="132"/>
      <c r="N23" s="132"/>
      <c r="O23" s="132">
        <f t="shared" ref="O23:O39" si="1">SUM(K23:N23)</f>
        <v>0</v>
      </c>
    </row>
    <row r="24" spans="1:19" x14ac:dyDescent="0.25">
      <c r="A24" s="173" t="s">
        <v>71</v>
      </c>
      <c r="B24" s="172">
        <f>Dividends!$K$14</f>
        <v>387.12</v>
      </c>
      <c r="C24" s="142">
        <f>Dividends!$E$14</f>
        <v>207.55</v>
      </c>
      <c r="D24" s="134"/>
      <c r="E24" s="142">
        <f>Dividends!$F$14</f>
        <v>179.57</v>
      </c>
      <c r="F24" s="143">
        <f>Dividends!$H$14</f>
        <v>53.87</v>
      </c>
      <c r="G24" s="134"/>
      <c r="J24" s="134" t="s">
        <v>154</v>
      </c>
      <c r="K24" s="132">
        <v>0</v>
      </c>
      <c r="L24" s="132"/>
      <c r="M24" s="132"/>
      <c r="N24" s="132"/>
      <c r="O24" s="132">
        <f t="shared" si="1"/>
        <v>0</v>
      </c>
    </row>
    <row r="25" spans="1:19" x14ac:dyDescent="0.25">
      <c r="A25" s="173" t="s">
        <v>73</v>
      </c>
      <c r="B25" s="172">
        <f>Dividends!$K$29</f>
        <v>180.88</v>
      </c>
      <c r="C25" s="142">
        <f>Dividends!$E$29</f>
        <v>92.88</v>
      </c>
      <c r="D25" s="134"/>
      <c r="E25" s="142">
        <f>Dividends!$F$29</f>
        <v>61.6</v>
      </c>
      <c r="F25" s="143">
        <f>Dividends!$H$29</f>
        <v>26.4</v>
      </c>
      <c r="G25" s="134"/>
      <c r="J25" s="134" t="s">
        <v>155</v>
      </c>
      <c r="K25" s="132">
        <v>125.7</v>
      </c>
      <c r="L25" s="132"/>
      <c r="M25" s="132"/>
      <c r="N25" s="132">
        <v>128.24</v>
      </c>
      <c r="O25" s="132">
        <f t="shared" si="1"/>
        <v>253.94</v>
      </c>
    </row>
    <row r="26" spans="1:19" x14ac:dyDescent="0.25">
      <c r="A26" s="173" t="s">
        <v>73</v>
      </c>
      <c r="B26" s="172">
        <f>Dividends!$K$30</f>
        <v>185.84</v>
      </c>
      <c r="C26" s="142">
        <f>Dividends!$E$30</f>
        <v>90.64</v>
      </c>
      <c r="D26" s="134"/>
      <c r="E26" s="142">
        <f>Dividends!$F$30</f>
        <v>95.2</v>
      </c>
      <c r="F26" s="143">
        <f>Dividends!$H$30</f>
        <v>28.56</v>
      </c>
      <c r="G26" s="134"/>
      <c r="H26" s="171"/>
      <c r="J26" s="134" t="s">
        <v>156</v>
      </c>
      <c r="K26" s="132">
        <v>0</v>
      </c>
      <c r="L26" s="132"/>
      <c r="M26" s="132"/>
      <c r="N26" s="132"/>
      <c r="O26" s="132">
        <f t="shared" si="1"/>
        <v>0</v>
      </c>
    </row>
    <row r="27" spans="1:19" x14ac:dyDescent="0.25">
      <c r="A27" s="173" t="s">
        <v>75</v>
      </c>
      <c r="B27" s="172">
        <f>Dividends!$K$59</f>
        <v>65.14</v>
      </c>
      <c r="C27" s="142">
        <f>Dividends!$E$59</f>
        <v>65.14</v>
      </c>
      <c r="D27" s="134"/>
      <c r="E27" s="134"/>
      <c r="F27" s="144"/>
      <c r="G27" s="134"/>
      <c r="J27" s="144" t="s">
        <v>157</v>
      </c>
      <c r="K27" s="133">
        <v>53.87</v>
      </c>
      <c r="L27" s="133"/>
      <c r="M27" s="133"/>
      <c r="N27" s="133">
        <v>54.96</v>
      </c>
      <c r="O27" s="133">
        <f t="shared" si="1"/>
        <v>108.83</v>
      </c>
    </row>
    <row r="28" spans="1:19" x14ac:dyDescent="0.25">
      <c r="A28" s="173" t="s">
        <v>75</v>
      </c>
      <c r="B28" s="172">
        <f>Dividends!$K$60</f>
        <v>65.14</v>
      </c>
      <c r="C28" s="142">
        <f>Dividends!$E$60</f>
        <v>65.14</v>
      </c>
      <c r="D28" s="134"/>
      <c r="E28" s="134"/>
      <c r="F28" s="144"/>
      <c r="G28" s="134"/>
      <c r="J28" s="134" t="s">
        <v>158</v>
      </c>
      <c r="K28" s="132">
        <v>32.979999999999997</v>
      </c>
      <c r="L28" s="132">
        <v>158.07</v>
      </c>
      <c r="M28" s="132">
        <v>8.89</v>
      </c>
      <c r="N28" s="132">
        <v>61.97</v>
      </c>
      <c r="O28" s="132">
        <f t="shared" si="1"/>
        <v>261.90999999999997</v>
      </c>
    </row>
    <row r="29" spans="1:19" x14ac:dyDescent="0.25">
      <c r="A29" s="173" t="s">
        <v>75</v>
      </c>
      <c r="B29" s="172">
        <f>Dividends!$K$61</f>
        <v>65.14</v>
      </c>
      <c r="C29" s="142">
        <f>Dividends!$E$61</f>
        <v>65.14</v>
      </c>
      <c r="D29" s="134"/>
      <c r="E29" s="134"/>
      <c r="F29" s="144"/>
      <c r="G29" s="134"/>
      <c r="J29" s="134" t="s">
        <v>159</v>
      </c>
      <c r="K29" s="132"/>
      <c r="L29" s="132"/>
      <c r="M29" s="132"/>
      <c r="N29" s="132">
        <v>0.81</v>
      </c>
      <c r="O29" s="132">
        <f t="shared" si="1"/>
        <v>0.81</v>
      </c>
    </row>
    <row r="30" spans="1:19" x14ac:dyDescent="0.25">
      <c r="A30" s="173" t="s">
        <v>75</v>
      </c>
      <c r="B30" s="172">
        <f>Dividends!$K$62</f>
        <v>55.98</v>
      </c>
      <c r="C30" s="142">
        <f>Dividends!$E$62</f>
        <v>55.98</v>
      </c>
      <c r="D30" s="134"/>
      <c r="E30" s="134"/>
      <c r="F30" s="144"/>
      <c r="G30" s="134"/>
      <c r="J30" s="134" t="s">
        <v>160</v>
      </c>
      <c r="K30" s="132"/>
      <c r="L30" s="132"/>
      <c r="M30" s="132"/>
      <c r="N30" s="132"/>
      <c r="O30" s="132">
        <f t="shared" si="1"/>
        <v>0</v>
      </c>
    </row>
    <row r="31" spans="1:19" x14ac:dyDescent="0.25">
      <c r="A31" s="173" t="s">
        <v>65</v>
      </c>
      <c r="B31" s="172">
        <f>Dividends!$K$76</f>
        <v>34.24</v>
      </c>
      <c r="C31" s="142">
        <f>Dividends!$E$76</f>
        <v>30.89</v>
      </c>
      <c r="D31" s="142">
        <f>Dividends!$G$76</f>
        <v>23.06</v>
      </c>
      <c r="E31" s="142">
        <f>Dividends!$F$76</f>
        <v>7.83</v>
      </c>
      <c r="F31" s="143">
        <f>Dividends!$H$76</f>
        <v>3.35</v>
      </c>
      <c r="G31" s="134"/>
      <c r="J31" s="134" t="s">
        <v>161</v>
      </c>
      <c r="K31" s="132"/>
      <c r="L31" s="132"/>
      <c r="M31" s="132">
        <v>100.23</v>
      </c>
      <c r="N31" s="132"/>
      <c r="O31" s="132">
        <f t="shared" si="1"/>
        <v>100.23</v>
      </c>
    </row>
    <row r="32" spans="1:19" x14ac:dyDescent="0.25">
      <c r="A32" s="174" t="s">
        <v>65</v>
      </c>
      <c r="B32" s="172">
        <f>Dividends!$K$77</f>
        <v>77.3</v>
      </c>
      <c r="C32" s="134"/>
      <c r="D32" s="142">
        <f>Dividends!$G$77</f>
        <v>21.26</v>
      </c>
      <c r="E32" s="142">
        <f>Dividends!$F$77</f>
        <v>39.229999999999997</v>
      </c>
      <c r="F32" s="143">
        <f>Dividends!$H$77</f>
        <v>16.809999999999999</v>
      </c>
      <c r="G32" s="134"/>
      <c r="J32" s="134" t="s">
        <v>162</v>
      </c>
      <c r="K32" s="132"/>
      <c r="L32" s="132"/>
      <c r="M32" s="132"/>
      <c r="N32" s="132"/>
      <c r="O32" s="132">
        <f t="shared" si="1"/>
        <v>0</v>
      </c>
    </row>
    <row r="33" spans="1:19" x14ac:dyDescent="0.25">
      <c r="A33" s="173" t="s">
        <v>65</v>
      </c>
      <c r="B33" s="172">
        <f>Dividends!$K$78</f>
        <v>40.71</v>
      </c>
      <c r="C33" s="134"/>
      <c r="D33" s="142">
        <f>Dividends!$G$78</f>
        <v>20.71</v>
      </c>
      <c r="E33" s="142">
        <f>Dividends!$F$78</f>
        <v>14</v>
      </c>
      <c r="F33" s="143">
        <f>Dividends!$H$78</f>
        <v>6</v>
      </c>
      <c r="G33" s="134"/>
      <c r="J33" s="144" t="s">
        <v>163</v>
      </c>
      <c r="K33" s="133"/>
      <c r="L33" s="133"/>
      <c r="M33" s="133">
        <v>29.98</v>
      </c>
      <c r="N33" s="133"/>
      <c r="O33" s="133">
        <f t="shared" si="1"/>
        <v>29.98</v>
      </c>
    </row>
    <row r="34" spans="1:19" x14ac:dyDescent="0.25">
      <c r="A34" s="134"/>
      <c r="B34" s="172"/>
      <c r="C34" s="134"/>
      <c r="D34" s="142"/>
      <c r="E34" s="142"/>
      <c r="F34" s="143"/>
      <c r="G34" s="134"/>
      <c r="H34" s="171"/>
      <c r="J34" s="134" t="s">
        <v>164</v>
      </c>
      <c r="K34" s="132"/>
      <c r="L34" s="132"/>
      <c r="M34" s="132"/>
      <c r="N34" s="132"/>
      <c r="O34" s="132">
        <f t="shared" si="1"/>
        <v>0</v>
      </c>
    </row>
    <row r="35" spans="1:19" x14ac:dyDescent="0.25">
      <c r="B35" s="170">
        <f t="shared" ref="B35:G35" si="2">SUM(B23:B34)</f>
        <v>1517.4000000000003</v>
      </c>
      <c r="C35" s="145">
        <f t="shared" si="2"/>
        <v>1033.27</v>
      </c>
      <c r="D35" s="145">
        <f t="shared" si="2"/>
        <v>65.03</v>
      </c>
      <c r="E35" s="145">
        <f t="shared" si="2"/>
        <v>397.43</v>
      </c>
      <c r="F35" s="146">
        <f t="shared" si="2"/>
        <v>134.98999999999998</v>
      </c>
      <c r="G35" s="145">
        <f t="shared" si="2"/>
        <v>0</v>
      </c>
      <c r="J35" s="134" t="s">
        <v>165</v>
      </c>
      <c r="K35" s="132"/>
      <c r="L35" s="132">
        <v>1.42</v>
      </c>
      <c r="M35" s="132"/>
      <c r="N35" s="132">
        <v>118.02</v>
      </c>
      <c r="O35" s="132">
        <f t="shared" si="1"/>
        <v>119.44</v>
      </c>
    </row>
    <row r="36" spans="1:19" x14ac:dyDescent="0.25">
      <c r="J36" s="134" t="s">
        <v>166</v>
      </c>
      <c r="K36" s="132"/>
      <c r="L36" s="132">
        <v>1.42</v>
      </c>
      <c r="M36" s="132"/>
      <c r="N36" s="132">
        <v>203.83</v>
      </c>
      <c r="O36" s="132">
        <f t="shared" si="1"/>
        <v>205.25</v>
      </c>
    </row>
    <row r="37" spans="1:19" x14ac:dyDescent="0.25">
      <c r="J37" s="134" t="s">
        <v>167</v>
      </c>
      <c r="K37" s="132"/>
      <c r="L37" s="132"/>
      <c r="M37" s="132"/>
      <c r="N37" s="132"/>
      <c r="O37" s="132">
        <f t="shared" si="1"/>
        <v>0</v>
      </c>
    </row>
    <row r="38" spans="1:19" x14ac:dyDescent="0.25">
      <c r="J38" s="134" t="s">
        <v>168</v>
      </c>
      <c r="K38" s="132"/>
      <c r="L38" s="132"/>
      <c r="M38" s="132"/>
      <c r="N38" s="132"/>
      <c r="O38" s="132">
        <f t="shared" si="1"/>
        <v>0</v>
      </c>
    </row>
    <row r="39" spans="1:19" x14ac:dyDescent="0.25">
      <c r="J39" s="134" t="s">
        <v>169</v>
      </c>
      <c r="K39" s="132"/>
      <c r="L39" s="132"/>
      <c r="M39" s="132"/>
      <c r="N39" s="132"/>
      <c r="O39" s="132">
        <f t="shared" si="1"/>
        <v>0</v>
      </c>
    </row>
    <row r="40" spans="1:19" x14ac:dyDescent="0.25">
      <c r="J40" s="169" t="s">
        <v>139</v>
      </c>
      <c r="K40" s="169">
        <f>SUM(K23:K39)</f>
        <v>212.54999999999998</v>
      </c>
      <c r="L40" s="169">
        <f>SUM(L23:L39)</f>
        <v>160.90999999999997</v>
      </c>
      <c r="M40" s="169">
        <f>SUM(M23:M39)</f>
        <v>139.1</v>
      </c>
      <c r="N40" s="169">
        <f>SUM(N23:N39)</f>
        <v>567.83000000000004</v>
      </c>
      <c r="O40" s="169">
        <f>SUM(O23:O39)</f>
        <v>1080.3899999999999</v>
      </c>
    </row>
    <row r="41" spans="1:19" x14ac:dyDescent="0.25">
      <c r="K41" s="34"/>
      <c r="L41" s="34"/>
      <c r="M41" s="34"/>
      <c r="N41" s="34"/>
      <c r="O41" s="34"/>
    </row>
    <row r="42" spans="1:19" x14ac:dyDescent="0.25">
      <c r="J42" t="s">
        <v>170</v>
      </c>
      <c r="K42" s="98">
        <f>SUM(O25:O34)</f>
        <v>755.69999999999993</v>
      </c>
    </row>
    <row r="43" spans="1:19" x14ac:dyDescent="0.25">
      <c r="J43" s="46"/>
      <c r="L43" s="46"/>
      <c r="M43" s="46"/>
      <c r="N43" s="46"/>
      <c r="O43" s="46"/>
      <c r="P43" s="46"/>
      <c r="Q43" s="46"/>
      <c r="R43" s="46"/>
      <c r="S43" s="46"/>
    </row>
    <row r="44" spans="1:19" s="46" customFormat="1" x14ac:dyDescent="0.25">
      <c r="H44" s="168"/>
      <c r="J44"/>
      <c r="L44"/>
      <c r="M44"/>
      <c r="N44"/>
      <c r="O44"/>
      <c r="P44"/>
      <c r="Q44"/>
      <c r="R44"/>
      <c r="S44"/>
    </row>
    <row r="49" spans="8:19" x14ac:dyDescent="0.25">
      <c r="J49" s="46"/>
      <c r="L49" s="46"/>
      <c r="M49" s="46"/>
      <c r="N49" s="46"/>
      <c r="O49" s="46"/>
      <c r="P49" s="46"/>
      <c r="Q49" s="46"/>
      <c r="R49" s="46"/>
      <c r="S49" s="46"/>
    </row>
    <row r="50" spans="8:19" s="46" customFormat="1" x14ac:dyDescent="0.25">
      <c r="H50" s="168"/>
      <c r="J50"/>
      <c r="L50"/>
      <c r="M50"/>
      <c r="N50"/>
      <c r="O50"/>
      <c r="P50"/>
      <c r="Q50"/>
      <c r="R50"/>
      <c r="S5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C840-3AD4-4AD0-8EB4-61B351F8E41D}">
  <dimension ref="A1"/>
  <sheetViews>
    <sheetView workbookViewId="0">
      <selection activeCell="E13" sqref="E1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Movement</vt:lpstr>
      <vt:lpstr>CGT</vt:lpstr>
      <vt:lpstr>Dividends</vt:lpstr>
      <vt:lpstr>Other debtors 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Truc Luong</dc:creator>
  <cp:lastModifiedBy>Truc Luong</cp:lastModifiedBy>
  <dcterms:created xsi:type="dcterms:W3CDTF">2023-01-06T01:04:07Z</dcterms:created>
  <dcterms:modified xsi:type="dcterms:W3CDTF">2023-07-13T03:51:19Z</dcterms:modified>
</cp:coreProperties>
</file>