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lusgrowth-my.sharepoint.com/personal/info_taxgain_com_au/Documents/SMSF/Neil/Thrive/"/>
    </mc:Choice>
  </mc:AlternateContent>
  <xr:revisionPtr revIDLastSave="0" documentId="8_{E3156853-2E96-46F2-9F27-4BA5DBF3EA40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TGH Cap" sheetId="8" r:id="rId1"/>
  </sheets>
  <externalReferences>
    <externalReference r:id="rId2"/>
    <externalReference r:id="rId3"/>
  </externalReferences>
  <definedNames>
    <definedName name="CB_TS_Show_Hist_Fcast_Pers">[1]TS_BA!$J$31</definedName>
    <definedName name="DD_TS_Fin_YE_Mth">[1]TS_BA!$K$13</definedName>
    <definedName name="Hol.NSW" localSheetId="0">#REF!</definedName>
    <definedName name="Hol.NSW">#REF!</definedName>
    <definedName name="Hol.NSWv2">[2]days!$AA$6:$AA$44</definedName>
    <definedName name="LU_Mth_Names">[1]TS_LU!$D$47:$D$58</definedName>
    <definedName name="Model_Name">[1]Cover!$C$10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er" localSheetId="0" hidden="1">3</definedName>
    <definedName name="TS_Actual_Per_Title">[1]TS_BA!$J$34</definedName>
    <definedName name="TS_Actual_Pers">[1]TS_BA!$J$32</definedName>
    <definedName name="TS_Budget_Per_Title">[1]TS_BA!$J$35</definedName>
    <definedName name="TS_Budget_Pers">[1]TS_BA!$J$33</definedName>
    <definedName name="TS_Fcast_Per_Title">[1]TS_BA!$J$36</definedName>
    <definedName name="TS_Per_1_End_Date">[1]TS_BA!$J$25</definedName>
    <definedName name="TS_Per_1_FY_End_Date">[1]TS_BA!$J$20</definedName>
    <definedName name="TS_Per_1_Number">[1]TS_BA!$J$23</definedName>
    <definedName name="TS_Per_Type_Name">[1]TS_BA!$J$16</definedName>
    <definedName name="TS_Per_Type_Prefix">[1]TS_BA!$J$17</definedName>
    <definedName name="TS_Pers_In_Yr">[1]TS_BA!$J$21</definedName>
    <definedName name="TS_Start_Date">[1]TS_BA!$J$14</definedName>
    <definedName name="Yr_Name">[1]TS_LU!$D$85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4" i="8" l="1"/>
  <c r="H14" i="8"/>
  <c r="B26" i="8" l="1"/>
  <c r="N19" i="8" l="1"/>
  <c r="N20" i="8" s="1"/>
  <c r="J17" i="8"/>
  <c r="J16" i="8"/>
  <c r="J15" i="8"/>
  <c r="J10" i="8"/>
  <c r="J9" i="8"/>
  <c r="K9" i="8"/>
  <c r="J7" i="8"/>
  <c r="R22" i="8"/>
  <c r="R21" i="8"/>
  <c r="E20" i="8"/>
  <c r="C20" i="8"/>
  <c r="J18" i="8"/>
  <c r="K18" i="8" s="1"/>
  <c r="H16" i="8"/>
  <c r="K16" i="8" s="1"/>
  <c r="H15" i="8"/>
  <c r="K15" i="8" s="1"/>
  <c r="J14" i="8"/>
  <c r="J13" i="8"/>
  <c r="J12" i="8"/>
  <c r="J11" i="8"/>
  <c r="J8" i="8"/>
  <c r="K14" i="8"/>
  <c r="H8" i="8"/>
  <c r="K8" i="8" s="1"/>
  <c r="H18" i="8"/>
  <c r="D20" i="8"/>
  <c r="E2" i="8" s="1"/>
  <c r="B20" i="8"/>
  <c r="B2" i="8" s="1"/>
  <c r="H10" i="8"/>
  <c r="H20" i="8" s="1"/>
  <c r="K10" i="8"/>
  <c r="H17" i="8"/>
  <c r="K17" i="8" s="1"/>
  <c r="H12" i="8"/>
  <c r="H7" i="8"/>
  <c r="K7" i="8" s="1"/>
  <c r="G20" i="8"/>
  <c r="G2" i="8" s="1"/>
  <c r="H11" i="8"/>
  <c r="H13" i="8"/>
  <c r="K13" i="8" s="1"/>
  <c r="I20" i="8"/>
  <c r="I2" i="8" s="1"/>
  <c r="K12" i="8"/>
  <c r="K11" i="8"/>
  <c r="J20" i="8"/>
  <c r="K20" i="8" l="1"/>
  <c r="B24" i="8"/>
  <c r="D23" i="8"/>
  <c r="L24" i="8" l="1"/>
  <c r="E24" i="8"/>
  <c r="O24" i="8"/>
  <c r="E22" i="8" l="1"/>
  <c r="E21" i="8"/>
  <c r="E23" i="8" s="1"/>
  <c r="O17" i="8"/>
  <c r="O12" i="8"/>
  <c r="O16" i="8"/>
  <c r="R16" i="8" s="1"/>
  <c r="O19" i="8"/>
  <c r="R19" i="8" s="1"/>
  <c r="O10" i="8"/>
  <c r="R10" i="8" s="1"/>
  <c r="O9" i="8"/>
  <c r="O7" i="8"/>
  <c r="O8" i="8"/>
  <c r="O13" i="8"/>
  <c r="R13" i="8" s="1"/>
  <c r="Q22" i="8"/>
  <c r="Q21" i="8"/>
  <c r="O11" i="8"/>
  <c r="R11" i="8" s="1"/>
  <c r="O18" i="8"/>
  <c r="R18" i="8" s="1"/>
  <c r="O15" i="8"/>
  <c r="R15" i="8" s="1"/>
  <c r="O14" i="8"/>
  <c r="L15" i="8"/>
  <c r="L16" i="8"/>
  <c r="L12" i="8"/>
  <c r="L14" i="8"/>
  <c r="L7" i="8"/>
  <c r="L8" i="8"/>
  <c r="L9" i="8"/>
  <c r="L18" i="8"/>
  <c r="L13" i="8"/>
  <c r="L17" i="8"/>
  <c r="L10" i="8"/>
  <c r="L11" i="8"/>
  <c r="Q19" i="8" l="1"/>
  <c r="R9" i="8"/>
  <c r="L20" i="8"/>
  <c r="R17" i="8"/>
  <c r="Q15" i="8"/>
  <c r="Q10" i="8"/>
  <c r="Q16" i="8"/>
  <c r="R12" i="8"/>
  <c r="R8" i="8"/>
  <c r="Q18" i="8"/>
  <c r="Q11" i="8"/>
  <c r="Q13" i="8"/>
  <c r="R7" i="8"/>
  <c r="O20" i="8"/>
  <c r="R20" i="8" l="1"/>
  <c r="R23" i="8"/>
  <c r="Q7" i="8"/>
  <c r="S7" i="8"/>
  <c r="Q14" i="8"/>
  <c r="S14" i="8"/>
  <c r="Q9" i="8"/>
  <c r="S9" i="8"/>
  <c r="S17" i="8"/>
  <c r="Q17" i="8"/>
  <c r="Q12" i="8"/>
  <c r="S12" i="8"/>
  <c r="S8" i="8"/>
  <c r="Q8" i="8"/>
  <c r="Q23" i="8" l="1"/>
  <c r="R25" i="8" s="1"/>
  <c r="R24" i="8" s="1"/>
  <c r="S22" i="8"/>
  <c r="S21" i="8"/>
  <c r="S11" i="8"/>
  <c r="S10" i="8"/>
  <c r="S23" i="8" s="1"/>
  <c r="S19" i="8"/>
  <c r="S16" i="8"/>
  <c r="S15" i="8"/>
  <c r="S18" i="8"/>
  <c r="S13" i="8"/>
  <c r="Q20" i="8"/>
  <c r="S2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Dean Rogers</author>
  </authors>
  <commentList>
    <comment ref="D7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Dean Rogers:</t>
        </r>
        <r>
          <rPr>
            <sz val="10"/>
            <color indexed="81"/>
            <rFont val="Tahoma"/>
            <family val="2"/>
          </rPr>
          <t xml:space="preserve">
630 shares taken up by N Watson</t>
        </r>
      </text>
    </comment>
    <comment ref="D13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Dean Rogers:</t>
        </r>
        <r>
          <rPr>
            <sz val="10"/>
            <color indexed="81"/>
            <rFont val="Tahoma"/>
            <family val="2"/>
          </rPr>
          <t xml:space="preserve">
630 originally assigned to R Lane</t>
        </r>
      </text>
    </comment>
    <comment ref="B16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Dean Rogers:</t>
        </r>
        <r>
          <rPr>
            <sz val="10"/>
            <color indexed="81"/>
            <rFont val="Tahoma"/>
            <family val="2"/>
          </rPr>
          <t xml:space="preserve">
reduced for cancelled shares</t>
        </r>
      </text>
    </comment>
  </commentList>
</comments>
</file>

<file path=xl/sharedStrings.xml><?xml version="1.0" encoding="utf-8"?>
<sst xmlns="http://schemas.openxmlformats.org/spreadsheetml/2006/main" count="70" uniqueCount="60">
  <si>
    <t>Investor</t>
  </si>
  <si>
    <t>Series A</t>
  </si>
  <si>
    <t>Total</t>
  </si>
  <si>
    <t>Craig Taylor</t>
  </si>
  <si>
    <t>Ian Jackson</t>
  </si>
  <si>
    <t>Mark Robertson</t>
  </si>
  <si>
    <t>Interest</t>
  </si>
  <si>
    <t>Ross Lane (Monga)</t>
  </si>
  <si>
    <t>Neil Livingstone (Super)</t>
  </si>
  <si>
    <t>Robert Cordukes &amp; Sara Lane (Super)</t>
  </si>
  <si>
    <t>Neil Watson (Rossdale)</t>
  </si>
  <si>
    <t>#</t>
  </si>
  <si>
    <t>Common</t>
  </si>
  <si>
    <t>Grand Total</t>
  </si>
  <si>
    <t>C Note</t>
  </si>
  <si>
    <t>C Note -1</t>
  </si>
  <si>
    <t>C Note -2</t>
  </si>
  <si>
    <t>Dates</t>
  </si>
  <si>
    <t>ESOP</t>
  </si>
  <si>
    <t>C Notes</t>
  </si>
  <si>
    <t>Series B</t>
  </si>
  <si>
    <t>$</t>
  </si>
  <si>
    <t>%</t>
  </si>
  <si>
    <t xml:space="preserve"> Shares</t>
  </si>
  <si>
    <t>VC2014</t>
  </si>
  <si>
    <t>Mike Green (Trust)</t>
  </si>
  <si>
    <t>Josh Sparks (JS/Toybox/Super)</t>
  </si>
  <si>
    <t>Jack May (Trust)</t>
  </si>
  <si>
    <t xml:space="preserve"> Paid Up</t>
  </si>
  <si>
    <t>Final CAP Table</t>
  </si>
  <si>
    <t>Share Prices for valuation</t>
  </si>
  <si>
    <t>Notes</t>
  </si>
  <si>
    <t>All value amounts traced to cash contributions</t>
  </si>
  <si>
    <t>J Sparks did not participate in C note round 1</t>
  </si>
  <si>
    <t>TGH share register to be updated for above positions per shareholder agreement</t>
  </si>
  <si>
    <t>M Robertson reflects 14 cancelled shares</t>
  </si>
  <si>
    <t>The Shareholder Agreement will be updated to reflect N Watson position</t>
  </si>
  <si>
    <t>R Lane reflects the transfer of Akora (Robert Lane) Holdings from Robert Lane</t>
  </si>
  <si>
    <t>The above naming conventions do not relect the legal ownership re Trusts &amp; Super which will be used on register</t>
  </si>
  <si>
    <t>BSVC SPV</t>
  </si>
  <si>
    <t>Other B Shares</t>
  </si>
  <si>
    <t>NM</t>
  </si>
  <si>
    <t>J Sparks - Top-Up</t>
  </si>
  <si>
    <t>Legend</t>
  </si>
  <si>
    <t>Different from SPA (Series A)</t>
  </si>
  <si>
    <t>Mandated as per Term Sheet</t>
  </si>
  <si>
    <t>C Note 1&amp;2, Inclusive of Interest</t>
  </si>
  <si>
    <t xml:space="preserve">C Note Conversion </t>
  </si>
  <si>
    <t>Series B Conversion</t>
  </si>
  <si>
    <t>Common Shares Conversion</t>
  </si>
  <si>
    <t>Series A Conversion (BSVC)</t>
  </si>
  <si>
    <t>Conversion Valuation</t>
  </si>
  <si>
    <t>THR1VE Group Pty Ltd - Cap Table</t>
  </si>
  <si>
    <t>Updated: 21 Jun 17</t>
  </si>
  <si>
    <t>Shareholders</t>
  </si>
  <si>
    <t>C Note - Date Paid</t>
  </si>
  <si>
    <t>C Taylor &amp; R Lane have outstanding C note-2 contributions (but both are included in above tables)</t>
  </si>
  <si>
    <t>Top up for J Sparks as per Term Sheet - brings J Sparks to 15% fully diluted</t>
  </si>
  <si>
    <t>ESOP as per Term Sheet - 5% of post-money fully diluted capitalisation</t>
  </si>
  <si>
    <t>Series B Shareholding final (although composition dependant on pro-rata participation)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</si>
</sst>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-&quot;$&quot;* #,##0_-;\-&quot;$&quot;* #,##0_-;_-&quot;$&quot;* &quot;-&quot;??_-;_-@_-"/>
    <numFmt numFmtId="168" formatCode="0.0%"/>
    <numFmt numFmtId="169" formatCode="d/mm/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66FF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indexed="81"/>
      <name val="Tahoma"/>
      <family val="2"/>
    </font>
    <font>
      <b/>
      <sz val="10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2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169" fontId="4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8" fontId="5" fillId="0" borderId="2" xfId="6" applyNumberFormat="1" applyFont="1" applyFill="1" applyBorder="1" applyAlignment="1">
      <alignment horizontal="left" vertical="center"/>
    </xf>
    <xf numFmtId="168" fontId="5" fillId="0" borderId="4" xfId="6" applyNumberFormat="1" applyFont="1" applyFill="1" applyBorder="1" applyAlignment="1">
      <alignment horizontal="left" vertical="center"/>
    </xf>
    <xf numFmtId="168" fontId="5" fillId="0" borderId="3" xfId="6" applyNumberFormat="1" applyFont="1" applyFill="1" applyBorder="1" applyAlignment="1">
      <alignment horizontal="centerContinuous" vertical="center"/>
    </xf>
    <xf numFmtId="168" fontId="5" fillId="0" borderId="4" xfId="6" applyNumberFormat="1" applyFont="1" applyFill="1" applyBorder="1" applyAlignment="1">
      <alignment horizontal="centerContinuous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8" xfId="0" applyFill="1" applyBorder="1" applyAlignment="1">
      <alignment horizontal="left" vertical="center"/>
    </xf>
    <xf numFmtId="0" fontId="5" fillId="0" borderId="9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8" fontId="5" fillId="3" borderId="12" xfId="6" applyNumberFormat="1" applyFont="1" applyFill="1" applyBorder="1" applyAlignment="1">
      <alignment horizontal="center" vertical="center" wrapText="1"/>
    </xf>
    <xf numFmtId="168" fontId="5" fillId="3" borderId="8" xfId="6" applyNumberFormat="1" applyFont="1" applyFill="1" applyBorder="1" applyAlignment="1">
      <alignment horizontal="center" vertical="center" wrapText="1"/>
    </xf>
    <xf numFmtId="168" fontId="5" fillId="3" borderId="10" xfId="6" applyNumberFormat="1" applyFont="1" applyFill="1" applyBorder="1" applyAlignment="1">
      <alignment horizontal="center" vertical="center" wrapText="1"/>
    </xf>
    <xf numFmtId="168" fontId="5" fillId="3" borderId="9" xfId="6" applyNumberFormat="1" applyFont="1" applyFill="1" applyBorder="1" applyAlignment="1">
      <alignment horizontal="center" vertical="center" wrapText="1"/>
    </xf>
    <xf numFmtId="169" fontId="5" fillId="3" borderId="8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169" fontId="7" fillId="3" borderId="8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169" fontId="7" fillId="3" borderId="17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3" fontId="6" fillId="0" borderId="5" xfId="0" applyNumberFormat="1" applyFont="1" applyBorder="1" applyAlignment="1">
      <alignment vertical="center"/>
    </xf>
    <xf numFmtId="167" fontId="0" fillId="0" borderId="6" xfId="0" applyNumberFormat="1" applyBorder="1" applyAlignment="1">
      <alignment vertical="center"/>
    </xf>
    <xf numFmtId="3" fontId="6" fillId="5" borderId="0" xfId="0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167" fontId="0" fillId="0" borderId="5" xfId="5" applyNumberFormat="1" applyFont="1" applyBorder="1" applyAlignment="1">
      <alignment vertical="center"/>
    </xf>
    <xf numFmtId="167" fontId="0" fillId="0" borderId="0" xfId="5" applyNumberFormat="1" applyFont="1" applyBorder="1" applyAlignment="1">
      <alignment vertical="center"/>
    </xf>
    <xf numFmtId="167" fontId="0" fillId="0" borderId="5" xfId="5" applyNumberFormat="1" applyFont="1" applyFill="1" applyBorder="1" applyAlignment="1">
      <alignment vertical="center"/>
    </xf>
    <xf numFmtId="166" fontId="6" fillId="0" borderId="6" xfId="4" applyNumberFormat="1" applyFont="1" applyFill="1" applyBorder="1" applyAlignment="1">
      <alignment vertical="center"/>
    </xf>
    <xf numFmtId="167" fontId="0" fillId="2" borderId="5" xfId="0" applyNumberFormat="1" applyFill="1" applyBorder="1" applyAlignment="1">
      <alignment vertical="center"/>
    </xf>
    <xf numFmtId="166" fontId="6" fillId="2" borderId="0" xfId="0" applyNumberFormat="1" applyFont="1" applyFill="1" applyBorder="1" applyAlignment="1">
      <alignment vertical="center"/>
    </xf>
    <xf numFmtId="10" fontId="0" fillId="2" borderId="6" xfId="6" applyNumberFormat="1" applyFont="1" applyFill="1" applyBorder="1" applyAlignment="1">
      <alignment vertical="center"/>
    </xf>
    <xf numFmtId="169" fontId="0" fillId="0" borderId="8" xfId="0" applyNumberFormat="1" applyBorder="1" applyAlignment="1">
      <alignment horizontal="right" vertical="center"/>
    </xf>
    <xf numFmtId="169" fontId="0" fillId="0" borderId="10" xfId="0" applyNumberFormat="1" applyBorder="1" applyAlignment="1">
      <alignment vertical="center"/>
    </xf>
    <xf numFmtId="0" fontId="0" fillId="0" borderId="13" xfId="0" applyBorder="1" applyAlignment="1">
      <alignment horizontal="left" vertical="center"/>
    </xf>
    <xf numFmtId="3" fontId="6" fillId="0" borderId="0" xfId="0" applyNumberFormat="1" applyFont="1" applyBorder="1" applyAlignment="1">
      <alignment vertical="center"/>
    </xf>
    <xf numFmtId="169" fontId="0" fillId="0" borderId="5" xfId="0" applyNumberFormat="1" applyBorder="1" applyAlignment="1">
      <alignment horizontal="right" vertical="center"/>
    </xf>
    <xf numFmtId="169" fontId="0" fillId="0" borderId="6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169" fontId="4" fillId="0" borderId="17" xfId="0" applyNumberFormat="1" applyFont="1" applyBorder="1" applyAlignment="1">
      <alignment horizontal="right" vertical="center"/>
    </xf>
    <xf numFmtId="169" fontId="0" fillId="0" borderId="18" xfId="0" applyNumberForma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166" fontId="8" fillId="3" borderId="2" xfId="4" applyNumberFormat="1" applyFont="1" applyFill="1" applyBorder="1" applyAlignment="1">
      <alignment vertical="center"/>
    </xf>
    <xf numFmtId="167" fontId="5" fillId="3" borderId="4" xfId="5" applyNumberFormat="1" applyFont="1" applyFill="1" applyBorder="1" applyAlignment="1">
      <alignment vertical="center"/>
    </xf>
    <xf numFmtId="166" fontId="8" fillId="3" borderId="3" xfId="4" applyNumberFormat="1" applyFont="1" applyFill="1" applyBorder="1" applyAlignment="1">
      <alignment vertical="center"/>
    </xf>
    <xf numFmtId="167" fontId="5" fillId="3" borderId="2" xfId="5" applyNumberFormat="1" applyFont="1" applyFill="1" applyBorder="1" applyAlignment="1">
      <alignment vertical="center"/>
    </xf>
    <xf numFmtId="167" fontId="5" fillId="3" borderId="3" xfId="5" applyNumberFormat="1" applyFont="1" applyFill="1" applyBorder="1" applyAlignment="1">
      <alignment vertical="center"/>
    </xf>
    <xf numFmtId="167" fontId="5" fillId="8" borderId="2" xfId="5" applyNumberFormat="1" applyFont="1" applyFill="1" applyBorder="1" applyAlignment="1">
      <alignment vertical="center"/>
    </xf>
    <xf numFmtId="3" fontId="8" fillId="8" borderId="4" xfId="0" applyNumberFormat="1" applyFont="1" applyFill="1" applyBorder="1" applyAlignment="1">
      <alignment vertical="center"/>
    </xf>
    <xf numFmtId="166" fontId="8" fillId="8" borderId="4" xfId="5" applyNumberFormat="1" applyFont="1" applyFill="1" applyBorder="1" applyAlignment="1">
      <alignment vertical="center"/>
    </xf>
    <xf numFmtId="167" fontId="0" fillId="2" borderId="2" xfId="0" applyNumberFormat="1" applyFill="1" applyBorder="1" applyAlignment="1">
      <alignment vertical="center"/>
    </xf>
    <xf numFmtId="166" fontId="6" fillId="2" borderId="3" xfId="0" applyNumberFormat="1" applyFont="1" applyFill="1" applyBorder="1" applyAlignment="1">
      <alignment vertical="center"/>
    </xf>
    <xf numFmtId="10" fontId="0" fillId="2" borderId="4" xfId="6" applyNumberFormat="1" applyFont="1" applyFill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3" fontId="0" fillId="0" borderId="5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3" fontId="2" fillId="6" borderId="0" xfId="0" applyNumberFormat="1" applyFon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3" fontId="6" fillId="0" borderId="6" xfId="0" applyNumberFormat="1" applyFont="1" applyFill="1" applyBorder="1" applyAlignment="1">
      <alignment vertical="center"/>
    </xf>
    <xf numFmtId="0" fontId="0" fillId="4" borderId="14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166" fontId="0" fillId="4" borderId="7" xfId="0" applyNumberFormat="1" applyFill="1" applyBorder="1" applyAlignment="1">
      <alignment horizontal="left" vertical="center"/>
    </xf>
    <xf numFmtId="167" fontId="0" fillId="4" borderId="16" xfId="5" applyNumberFormat="1" applyFont="1" applyFill="1" applyBorder="1" applyAlignment="1">
      <alignment horizontal="left" vertical="center"/>
    </xf>
    <xf numFmtId="0" fontId="0" fillId="0" borderId="1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8" xfId="0" applyFill="1" applyBorder="1" applyAlignment="1">
      <alignment horizontal="left" vertical="center"/>
    </xf>
    <xf numFmtId="164" fontId="5" fillId="0" borderId="2" xfId="5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64" fontId="5" fillId="0" borderId="4" xfId="5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64" fontId="5" fillId="0" borderId="3" xfId="5" applyFont="1" applyBorder="1" applyAlignment="1">
      <alignment vertical="center"/>
    </xf>
    <xf numFmtId="164" fontId="5" fillId="0" borderId="0" xfId="5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3" fontId="5" fillId="7" borderId="2" xfId="0" applyNumberFormat="1" applyFont="1" applyFill="1" applyBorder="1" applyAlignment="1">
      <alignment vertical="center"/>
    </xf>
    <xf numFmtId="0" fontId="5" fillId="7" borderId="4" xfId="0" applyFont="1" applyFill="1" applyBorder="1" applyAlignment="1">
      <alignment horizontal="right" vertical="center"/>
    </xf>
    <xf numFmtId="0" fontId="5" fillId="7" borderId="3" xfId="0" applyFont="1" applyFill="1" applyBorder="1" applyAlignment="1">
      <alignment horizontal="right" vertical="center"/>
    </xf>
    <xf numFmtId="3" fontId="5" fillId="7" borderId="4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3" fontId="5" fillId="2" borderId="18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3" fontId="5" fillId="2" borderId="4" xfId="0" applyNumberFormat="1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3" fontId="0" fillId="2" borderId="11" xfId="0" applyNumberForma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167" fontId="0" fillId="0" borderId="0" xfId="0" applyNumberFormat="1" applyAlignment="1">
      <alignment vertical="center"/>
    </xf>
    <xf numFmtId="0" fontId="0" fillId="5" borderId="0" xfId="0" applyFill="1" applyAlignment="1">
      <alignment vertical="center"/>
    </xf>
    <xf numFmtId="0" fontId="2" fillId="6" borderId="0" xfId="0" applyFont="1" applyFill="1" applyAlignment="1">
      <alignment vertical="center"/>
    </xf>
    <xf numFmtId="166" fontId="0" fillId="0" borderId="0" xfId="0" applyNumberFormat="1" applyAlignment="1">
      <alignment vertical="center"/>
    </xf>
    <xf numFmtId="165" fontId="0" fillId="0" borderId="0" xfId="4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167" fontId="0" fillId="4" borderId="2" xfId="0" applyNumberFormat="1" applyFill="1" applyBorder="1" applyAlignment="1">
      <alignment horizontal="left" vertical="center"/>
    </xf>
    <xf numFmtId="166" fontId="6" fillId="4" borderId="3" xfId="4" applyNumberFormat="1" applyFont="1" applyFill="1" applyBorder="1" applyAlignment="1">
      <alignment horizontal="left" vertical="center"/>
    </xf>
    <xf numFmtId="10" fontId="0" fillId="4" borderId="4" xfId="0" applyNumberFormat="1" applyFill="1" applyBorder="1" applyAlignment="1">
      <alignment horizontal="left" vertical="center"/>
    </xf>
    <xf numFmtId="168" fontId="0" fillId="0" borderId="0" xfId="6" applyNumberFormat="1" applyFont="1" applyAlignment="1">
      <alignment vertical="center"/>
    </xf>
  </cellXfs>
  <cellStyles count="7">
    <cellStyle name="Comma" xfId="4" builtinId="3"/>
    <cellStyle name="Comma 4" xfId="2" xr:uid="{00000000-0005-0000-0000-000001000000}"/>
    <cellStyle name="Currency" xfId="5" builtinId="4"/>
    <cellStyle name="Normal" xfId="0" builtinId="0"/>
    <cellStyle name="Normal 3" xfId="1" xr:uid="{00000000-0005-0000-0000-000004000000}"/>
    <cellStyle name="Percent" xfId="6" builtinId="5"/>
    <cellStyle name="Percent 3" xfId="3" xr:uid="{00000000-0005-0000-0000-000006000000}"/>
  </cellStyles>
  <dxfs count="0"/>
  <tableStyles count="0" defaultTableStyle="TableStyleMedium2" defaultPivotStyle="PivotStyleLight16"/>
  <colors>
    <mruColors>
      <color rgb="FF0066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dunphy\Desktop\BSVC\2.%20Live%20Opportunities\1015%20-%20Vinomofo\4.%20Diligence\151217_Vinomofo_Return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dunphy\Dropbox\BSVC\2.%20Live%20Opportunities\0815%20-%20THR1VE\7.%20Jun%2017%20GC%20Financing\170619_THR1VE%20Cap%20Table_v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Operating model&gt;&gt;"/>
      <sheetName val="Scenario manager"/>
      <sheetName val="Selected case"/>
      <sheetName val="Financials_TA"/>
      <sheetName val="Management case"/>
      <sheetName val="Assumptions_SC"/>
      <sheetName val="TS_BA"/>
      <sheetName val="Cap Table"/>
      <sheetName val="Returns_TA"/>
      <sheetName val="Returns_21x"/>
      <sheetName val="Outputs_SC"/>
      <sheetName val="Financials_TO"/>
      <sheetName val="Returns_BO"/>
      <sheetName val="Appendices_SC"/>
      <sheetName val="Lookup_Tables_SSC"/>
      <sheetName val="TS_LU"/>
      <sheetName val="Checks_SSC"/>
      <sheetName val="Checks_BO"/>
    </sheetNames>
    <sheetDataSet>
      <sheetData sheetId="0">
        <row r="10">
          <cell r="C10" t="str">
            <v>Returns Model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J12" t="str">
            <v>Annual</v>
          </cell>
        </row>
        <row r="13">
          <cell r="K13">
            <v>6</v>
          </cell>
        </row>
        <row r="14">
          <cell r="J14">
            <v>42370</v>
          </cell>
        </row>
        <row r="16">
          <cell r="J16" t="str">
            <v>Year</v>
          </cell>
        </row>
        <row r="17">
          <cell r="J17" t="str">
            <v>Year</v>
          </cell>
        </row>
        <row r="20">
          <cell r="J20">
            <v>42551</v>
          </cell>
        </row>
        <row r="21">
          <cell r="J21">
            <v>1</v>
          </cell>
        </row>
        <row r="23">
          <cell r="J23">
            <v>1</v>
          </cell>
        </row>
        <row r="25">
          <cell r="J25">
            <v>42551</v>
          </cell>
        </row>
        <row r="31">
          <cell r="J31" t="b">
            <v>1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 t="str">
            <v>(A)</v>
          </cell>
        </row>
        <row r="35">
          <cell r="J35" t="str">
            <v>(B)</v>
          </cell>
        </row>
        <row r="36">
          <cell r="J36" t="str">
            <v>(F)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2">
          <cell r="D12">
            <v>1</v>
          </cell>
        </row>
        <row r="47">
          <cell r="D47" t="str">
            <v>January</v>
          </cell>
        </row>
        <row r="48">
          <cell r="D48" t="str">
            <v>February</v>
          </cell>
        </row>
        <row r="49">
          <cell r="D49" t="str">
            <v>March</v>
          </cell>
        </row>
        <row r="50">
          <cell r="D50" t="str">
            <v>April</v>
          </cell>
        </row>
        <row r="51">
          <cell r="D51" t="str">
            <v>May</v>
          </cell>
        </row>
        <row r="52">
          <cell r="D52" t="str">
            <v>June</v>
          </cell>
        </row>
        <row r="53">
          <cell r="D53" t="str">
            <v>July</v>
          </cell>
        </row>
        <row r="54">
          <cell r="D54" t="str">
            <v>August</v>
          </cell>
        </row>
        <row r="55">
          <cell r="D55" t="str">
            <v>September</v>
          </cell>
        </row>
        <row r="56">
          <cell r="D56" t="str">
            <v>October</v>
          </cell>
        </row>
        <row r="57">
          <cell r="D57" t="str">
            <v>November</v>
          </cell>
        </row>
        <row r="58">
          <cell r="D58" t="str">
            <v>December</v>
          </cell>
        </row>
        <row r="85">
          <cell r="D85" t="str">
            <v>Year</v>
          </cell>
        </row>
      </sheetData>
      <sheetData sheetId="18"/>
      <sheetData sheetId="19">
        <row r="7">
          <cell r="B7" t="str">
            <v>Error Checks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S Outputs"/>
      <sheetName val="Blue Sky VC --&gt;"/>
      <sheetName val="Returns + CASE CHOOSER"/>
      <sheetName val="Cap Table"/>
      <sheetName val="Fee Load"/>
      <sheetName val="Investor Doc Outputs"/>
      <sheetName val="Management Model --&gt;"/>
      <sheetName val="Case Summary"/>
      <sheetName val="Case Levers"/>
      <sheetName val="P&amp;L"/>
      <sheetName val="HL"/>
      <sheetName val="BS"/>
      <sheetName val="CF"/>
      <sheetName val="Group Ass"/>
      <sheetName val="HO"/>
      <sheetName val="Org &amp; Roles"/>
      <sheetName val="BU Assump"/>
      <sheetName val="Stores"/>
      <sheetName val="D2C"/>
      <sheetName val="D2C.CAC"/>
      <sheetName val="Wholesale"/>
      <sheetName val="Fran.local"/>
      <sheetName val="Fran.Inter"/>
      <sheetName val="X"/>
      <sheetName val="X Wk"/>
      <sheetName val="days"/>
      <sheetName val="Architec."/>
      <sheetName val="DataArch"/>
      <sheetName val="Hist3"/>
      <sheetName val="Hist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6">
          <cell r="AA6">
            <v>42736</v>
          </cell>
        </row>
        <row r="7">
          <cell r="AA7">
            <v>42737</v>
          </cell>
        </row>
        <row r="8">
          <cell r="AA8">
            <v>42761</v>
          </cell>
        </row>
        <row r="9">
          <cell r="AA9">
            <v>42807</v>
          </cell>
        </row>
        <row r="10">
          <cell r="AA10">
            <v>42839</v>
          </cell>
        </row>
        <row r="11">
          <cell r="AA11">
            <v>42842</v>
          </cell>
        </row>
        <row r="12">
          <cell r="AA12">
            <v>42850</v>
          </cell>
        </row>
        <row r="14">
          <cell r="AA14">
            <v>42898</v>
          </cell>
        </row>
        <row r="17">
          <cell r="AA17">
            <v>43094</v>
          </cell>
        </row>
        <row r="18">
          <cell r="AA18">
            <v>43095</v>
          </cell>
        </row>
      </sheetData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2"/>
  <sheetViews>
    <sheetView showGridLines="0" tabSelected="1" zoomScale="85" zoomScaleNormal="85" zoomScalePageLayoutView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T5" sqref="T5"/>
    </sheetView>
  </sheetViews>
  <sheetFormatPr defaultColWidth="8.85546875" defaultRowHeight="15" x14ac:dyDescent="0.25"/>
  <cols>
    <col min="1" max="1" width="32.85546875" style="2" customWidth="1"/>
    <col min="2" max="5" width="12.5703125" style="2" customWidth="1"/>
    <col min="6" max="6" width="3.42578125" style="2" customWidth="1"/>
    <col min="7" max="8" width="11.140625" style="2" customWidth="1"/>
    <col min="9" max="9" width="11.5703125" style="2" bestFit="1" customWidth="1"/>
    <col min="10" max="10" width="11.140625" style="2" customWidth="1"/>
    <col min="11" max="11" width="14.140625" style="2" customWidth="1"/>
    <col min="12" max="12" width="11.140625" style="2" customWidth="1"/>
    <col min="13" max="13" width="3.42578125" style="2" customWidth="1"/>
    <col min="14" max="14" width="14.42578125" style="2" customWidth="1"/>
    <col min="15" max="15" width="10.42578125" style="2" customWidth="1"/>
    <col min="16" max="16" width="3.42578125" style="2" customWidth="1"/>
    <col min="17" max="17" width="15" style="2" customWidth="1"/>
    <col min="18" max="19" width="12.140625" style="2" customWidth="1"/>
    <col min="20" max="20" width="8.42578125" style="2" customWidth="1"/>
    <col min="21" max="21" width="8.85546875" style="3" customWidth="1"/>
    <col min="22" max="22" width="10.42578125" style="2" customWidth="1"/>
    <col min="23" max="16384" width="8.85546875" style="2"/>
  </cols>
  <sheetData>
    <row r="1" spans="1:22" x14ac:dyDescent="0.25">
      <c r="A1" s="1" t="s">
        <v>52</v>
      </c>
    </row>
    <row r="2" spans="1:22" x14ac:dyDescent="0.25">
      <c r="A2" s="4" t="s">
        <v>53</v>
      </c>
      <c r="B2" s="121">
        <f>+B14/B20</f>
        <v>2.3857491252253206E-2</v>
      </c>
      <c r="E2" s="121">
        <f>+D14/D20</f>
        <v>1.9768942613403846E-2</v>
      </c>
      <c r="G2" s="121">
        <f>+G14/G20</f>
        <v>2.7638190954773871E-2</v>
      </c>
      <c r="I2" s="121">
        <f>+I14/I20</f>
        <v>0.02</v>
      </c>
    </row>
    <row r="3" spans="1:22" ht="15.75" thickBot="1" x14ac:dyDescent="0.3"/>
    <row r="4" spans="1:22" ht="15.75" thickBot="1" x14ac:dyDescent="0.3">
      <c r="A4" s="5" t="s">
        <v>54</v>
      </c>
      <c r="B4" s="6" t="s">
        <v>49</v>
      </c>
      <c r="C4" s="7"/>
      <c r="D4" s="8" t="s">
        <v>50</v>
      </c>
      <c r="E4" s="9"/>
      <c r="F4" s="10"/>
      <c r="G4" s="11"/>
      <c r="H4" s="12" t="s">
        <v>46</v>
      </c>
      <c r="I4" s="13"/>
      <c r="J4" s="13"/>
      <c r="K4" s="14" t="s">
        <v>47</v>
      </c>
      <c r="L4" s="15"/>
      <c r="N4" s="14" t="s">
        <v>48</v>
      </c>
      <c r="O4" s="15"/>
      <c r="Q4" s="16"/>
      <c r="R4" s="17" t="s">
        <v>29</v>
      </c>
      <c r="S4" s="18"/>
      <c r="U4" s="14" t="s">
        <v>55</v>
      </c>
      <c r="V4" s="15"/>
    </row>
    <row r="5" spans="1:22" x14ac:dyDescent="0.25">
      <c r="A5" s="19"/>
      <c r="B5" s="20" t="s">
        <v>23</v>
      </c>
      <c r="C5" s="21" t="s">
        <v>28</v>
      </c>
      <c r="D5" s="22"/>
      <c r="E5" s="21"/>
      <c r="G5" s="20">
        <v>0.1</v>
      </c>
      <c r="H5" s="22"/>
      <c r="I5" s="22">
        <v>0.08</v>
      </c>
      <c r="J5" s="21"/>
      <c r="K5" s="23">
        <v>42916</v>
      </c>
      <c r="L5" s="24"/>
      <c r="N5" s="20"/>
      <c r="O5" s="21"/>
      <c r="Q5" s="25"/>
      <c r="R5" s="26"/>
      <c r="S5" s="27"/>
      <c r="U5" s="28" t="s">
        <v>17</v>
      </c>
      <c r="V5" s="24" t="s">
        <v>17</v>
      </c>
    </row>
    <row r="6" spans="1:22" ht="15.75" thickBot="1" x14ac:dyDescent="0.3">
      <c r="A6" s="29" t="s">
        <v>0</v>
      </c>
      <c r="B6" s="30" t="s">
        <v>12</v>
      </c>
      <c r="C6" s="31" t="s">
        <v>12</v>
      </c>
      <c r="D6" s="32" t="s">
        <v>1</v>
      </c>
      <c r="E6" s="31" t="s">
        <v>1</v>
      </c>
      <c r="F6" s="10"/>
      <c r="G6" s="30" t="s">
        <v>15</v>
      </c>
      <c r="H6" s="32" t="s">
        <v>6</v>
      </c>
      <c r="I6" s="32" t="s">
        <v>16</v>
      </c>
      <c r="J6" s="31" t="s">
        <v>6</v>
      </c>
      <c r="K6" s="30" t="s">
        <v>14</v>
      </c>
      <c r="L6" s="31" t="s">
        <v>19</v>
      </c>
      <c r="N6" s="30" t="s">
        <v>20</v>
      </c>
      <c r="O6" s="31" t="s">
        <v>20</v>
      </c>
      <c r="Q6" s="33" t="s">
        <v>21</v>
      </c>
      <c r="R6" s="34" t="s">
        <v>11</v>
      </c>
      <c r="S6" s="35" t="s">
        <v>22</v>
      </c>
      <c r="U6" s="36" t="s">
        <v>15</v>
      </c>
      <c r="V6" s="31" t="s">
        <v>16</v>
      </c>
    </row>
    <row r="7" spans="1:22" x14ac:dyDescent="0.25">
      <c r="A7" s="37" t="s">
        <v>7</v>
      </c>
      <c r="B7" s="38">
        <v>4406</v>
      </c>
      <c r="C7" s="39">
        <v>3150000</v>
      </c>
      <c r="D7" s="40">
        <v>209.75</v>
      </c>
      <c r="E7" s="39">
        <v>100000</v>
      </c>
      <c r="F7" s="41"/>
      <c r="G7" s="42">
        <v>291500</v>
      </c>
      <c r="H7" s="43">
        <f>+G7*$G$5/365*($K$5-U7)</f>
        <v>17569.863013698632</v>
      </c>
      <c r="I7" s="43">
        <v>100000</v>
      </c>
      <c r="J7" s="43">
        <f t="shared" ref="J7:J18" si="0">+I7*$I$5/365*($K$5-V7)</f>
        <v>153.42465753424656</v>
      </c>
      <c r="K7" s="44">
        <f>SUM(G7:J7)</f>
        <v>409223.28767123283</v>
      </c>
      <c r="L7" s="45">
        <f t="shared" ref="L7:L14" si="1">+K7/$L$24</f>
        <v>1082.9420019847446</v>
      </c>
      <c r="N7" s="44">
        <v>0</v>
      </c>
      <c r="O7" s="45">
        <f t="shared" ref="O7:O19" si="2">+N7/$O$24</f>
        <v>0</v>
      </c>
      <c r="Q7" s="46">
        <f t="shared" ref="Q7:Q22" si="3">+R7*$O$24</f>
        <v>3058846.3902613735</v>
      </c>
      <c r="R7" s="47">
        <f t="shared" ref="R7:R19" si="4">+O7+L7+D7+B7</f>
        <v>5698.6920019847448</v>
      </c>
      <c r="S7" s="48">
        <f t="shared" ref="S7:S22" si="5">+R7/$R$23</f>
        <v>0.12041343361544699</v>
      </c>
      <c r="U7" s="49">
        <v>42696</v>
      </c>
      <c r="V7" s="50">
        <v>42909</v>
      </c>
    </row>
    <row r="8" spans="1:22" x14ac:dyDescent="0.25">
      <c r="A8" s="51" t="s">
        <v>24</v>
      </c>
      <c r="B8" s="38"/>
      <c r="C8" s="39"/>
      <c r="D8" s="52">
        <v>4617</v>
      </c>
      <c r="E8" s="39">
        <v>2200000</v>
      </c>
      <c r="F8" s="41"/>
      <c r="G8" s="42">
        <v>292600</v>
      </c>
      <c r="H8" s="43">
        <f>+G8*$G$5/365*($K$5-U8)</f>
        <v>17395.67123287671</v>
      </c>
      <c r="I8" s="43">
        <v>700000</v>
      </c>
      <c r="J8" s="43">
        <f t="shared" si="0"/>
        <v>13041.095890410958</v>
      </c>
      <c r="K8" s="44">
        <f t="shared" ref="K8:K18" si="6">SUM(G8:J8)</f>
        <v>1023036.7671232877</v>
      </c>
      <c r="L8" s="45">
        <f t="shared" si="1"/>
        <v>2707.2982356335619</v>
      </c>
      <c r="N8" s="44">
        <v>500000</v>
      </c>
      <c r="O8" s="45">
        <f t="shared" si="2"/>
        <v>931.5100000000001</v>
      </c>
      <c r="Q8" s="46">
        <f t="shared" si="3"/>
        <v>4431411.4908232661</v>
      </c>
      <c r="R8" s="47">
        <f t="shared" si="4"/>
        <v>8255.8082356335617</v>
      </c>
      <c r="S8" s="48">
        <f t="shared" si="5"/>
        <v>0.17444533176684981</v>
      </c>
      <c r="U8" s="53">
        <v>42699</v>
      </c>
      <c r="V8" s="54">
        <v>42831</v>
      </c>
    </row>
    <row r="9" spans="1:22" x14ac:dyDescent="0.25">
      <c r="A9" s="51" t="s">
        <v>39</v>
      </c>
      <c r="B9" s="38"/>
      <c r="C9" s="39"/>
      <c r="D9" s="52"/>
      <c r="E9" s="39"/>
      <c r="F9" s="41"/>
      <c r="G9" s="42">
        <v>0</v>
      </c>
      <c r="H9" s="43">
        <v>0</v>
      </c>
      <c r="I9" s="43">
        <v>0</v>
      </c>
      <c r="J9" s="43">
        <f t="shared" si="0"/>
        <v>0</v>
      </c>
      <c r="K9" s="44">
        <f t="shared" si="6"/>
        <v>0</v>
      </c>
      <c r="L9" s="45">
        <f t="shared" si="1"/>
        <v>0</v>
      </c>
      <c r="N9" s="44">
        <v>8500000</v>
      </c>
      <c r="O9" s="45">
        <f t="shared" si="2"/>
        <v>15835.670000000002</v>
      </c>
      <c r="Q9" s="46">
        <f t="shared" si="3"/>
        <v>8500000</v>
      </c>
      <c r="R9" s="47">
        <f t="shared" si="4"/>
        <v>15835.670000000002</v>
      </c>
      <c r="S9" s="48">
        <f t="shared" si="5"/>
        <v>0.3346079061014377</v>
      </c>
      <c r="U9" s="53"/>
      <c r="V9" s="54"/>
    </row>
    <row r="10" spans="1:22" x14ac:dyDescent="0.25">
      <c r="A10" s="51" t="s">
        <v>3</v>
      </c>
      <c r="B10" s="38">
        <v>750</v>
      </c>
      <c r="C10" s="39">
        <v>750000</v>
      </c>
      <c r="D10" s="52">
        <v>839</v>
      </c>
      <c r="E10" s="39">
        <v>400000</v>
      </c>
      <c r="F10" s="41"/>
      <c r="G10" s="42">
        <v>100100</v>
      </c>
      <c r="H10" s="43">
        <f t="shared" ref="H10:H18" si="7">+G10*$G$5/365*($K$5-U10)</f>
        <v>4086.2739726027394</v>
      </c>
      <c r="I10" s="43">
        <v>25000</v>
      </c>
      <c r="J10" s="43">
        <f t="shared" si="0"/>
        <v>0</v>
      </c>
      <c r="K10" s="44">
        <f t="shared" si="6"/>
        <v>129186.27397260274</v>
      </c>
      <c r="L10" s="45">
        <f t="shared" si="1"/>
        <v>341.8701876938045</v>
      </c>
      <c r="N10" s="44">
        <v>0</v>
      </c>
      <c r="O10" s="45">
        <f t="shared" si="2"/>
        <v>0</v>
      </c>
      <c r="Q10" s="46">
        <f t="shared" si="3"/>
        <v>1036419.46285805</v>
      </c>
      <c r="R10" s="47">
        <f t="shared" si="4"/>
        <v>1930.8701876938044</v>
      </c>
      <c r="S10" s="48">
        <f t="shared" si="5"/>
        <v>4.0799311330553985E-2</v>
      </c>
      <c r="U10" s="53">
        <v>42767</v>
      </c>
      <c r="V10" s="54">
        <v>42916</v>
      </c>
    </row>
    <row r="11" spans="1:22" x14ac:dyDescent="0.25">
      <c r="A11" s="51" t="s">
        <v>25</v>
      </c>
      <c r="B11" s="38"/>
      <c r="C11" s="39"/>
      <c r="D11" s="52">
        <v>1049</v>
      </c>
      <c r="E11" s="39">
        <v>500000</v>
      </c>
      <c r="F11" s="41"/>
      <c r="G11" s="42">
        <v>66000</v>
      </c>
      <c r="H11" s="43">
        <f t="shared" si="7"/>
        <v>4213.1506849315074</v>
      </c>
      <c r="I11" s="43">
        <v>120000</v>
      </c>
      <c r="J11" s="43">
        <f t="shared" si="0"/>
        <v>1920</v>
      </c>
      <c r="K11" s="44">
        <f t="shared" si="6"/>
        <v>192133.15068493149</v>
      </c>
      <c r="L11" s="45">
        <f t="shared" si="1"/>
        <v>508.44872498443334</v>
      </c>
      <c r="N11" s="44">
        <v>0</v>
      </c>
      <c r="O11" s="45">
        <f t="shared" si="2"/>
        <v>0</v>
      </c>
      <c r="Q11" s="46">
        <f t="shared" si="3"/>
        <v>835980.6792114058</v>
      </c>
      <c r="R11" s="47">
        <f t="shared" si="4"/>
        <v>1557.4487249844333</v>
      </c>
      <c r="S11" s="48">
        <f t="shared" si="5"/>
        <v>3.2908911130845431E-2</v>
      </c>
      <c r="U11" s="53">
        <v>42683</v>
      </c>
      <c r="V11" s="54">
        <v>42843</v>
      </c>
    </row>
    <row r="12" spans="1:22" x14ac:dyDescent="0.25">
      <c r="A12" s="51" t="s">
        <v>4</v>
      </c>
      <c r="B12" s="38">
        <v>342</v>
      </c>
      <c r="C12" s="39">
        <v>305000</v>
      </c>
      <c r="D12" s="52">
        <v>367</v>
      </c>
      <c r="E12" s="39">
        <v>175000</v>
      </c>
      <c r="F12" s="41"/>
      <c r="G12" s="42">
        <v>45100</v>
      </c>
      <c r="H12" s="43">
        <f t="shared" si="7"/>
        <v>2841.9178082191784</v>
      </c>
      <c r="I12" s="43">
        <v>100000</v>
      </c>
      <c r="J12" s="43">
        <f t="shared" si="0"/>
        <v>1600</v>
      </c>
      <c r="K12" s="44">
        <f t="shared" si="6"/>
        <v>149541.91780821918</v>
      </c>
      <c r="L12" s="45">
        <f t="shared" si="1"/>
        <v>395.73804504981319</v>
      </c>
      <c r="N12" s="44">
        <v>0</v>
      </c>
      <c r="O12" s="45">
        <f t="shared" si="2"/>
        <v>0</v>
      </c>
      <c r="Q12" s="46">
        <f t="shared" si="3"/>
        <v>592982.38615249062</v>
      </c>
      <c r="R12" s="47">
        <f t="shared" si="4"/>
        <v>1104.7380450498131</v>
      </c>
      <c r="S12" s="48">
        <f t="shared" si="5"/>
        <v>2.3343128774766946E-2</v>
      </c>
      <c r="U12" s="53">
        <v>42686</v>
      </c>
      <c r="V12" s="54">
        <v>42843</v>
      </c>
    </row>
    <row r="13" spans="1:22" x14ac:dyDescent="0.25">
      <c r="A13" s="51" t="s">
        <v>10</v>
      </c>
      <c r="B13" s="38"/>
      <c r="C13" s="39"/>
      <c r="D13" s="40">
        <v>630</v>
      </c>
      <c r="E13" s="39">
        <v>300000</v>
      </c>
      <c r="F13" s="41"/>
      <c r="G13" s="42">
        <v>39600</v>
      </c>
      <c r="H13" s="43">
        <f t="shared" si="7"/>
        <v>2549.5890410958905</v>
      </c>
      <c r="I13" s="43">
        <v>23000</v>
      </c>
      <c r="J13" s="43">
        <f t="shared" si="0"/>
        <v>393.20547945205476</v>
      </c>
      <c r="K13" s="44">
        <f t="shared" si="6"/>
        <v>65542.794520547948</v>
      </c>
      <c r="L13" s="45">
        <f t="shared" si="1"/>
        <v>173.44820603362393</v>
      </c>
      <c r="N13" s="44">
        <v>0</v>
      </c>
      <c r="O13" s="45">
        <f t="shared" si="2"/>
        <v>0</v>
      </c>
      <c r="Q13" s="46">
        <f t="shared" si="3"/>
        <v>431261.18132581713</v>
      </c>
      <c r="R13" s="47">
        <f t="shared" si="4"/>
        <v>803.44820603362393</v>
      </c>
      <c r="S13" s="48">
        <f t="shared" si="5"/>
        <v>1.6976870690148721E-2</v>
      </c>
      <c r="U13" s="53">
        <v>42681</v>
      </c>
      <c r="V13" s="54">
        <v>42838</v>
      </c>
    </row>
    <row r="14" spans="1:22" x14ac:dyDescent="0.25">
      <c r="A14" s="51" t="s">
        <v>8</v>
      </c>
      <c r="B14" s="38">
        <v>225</v>
      </c>
      <c r="C14" s="39">
        <v>164000</v>
      </c>
      <c r="D14" s="52">
        <v>157</v>
      </c>
      <c r="E14" s="39">
        <v>75000</v>
      </c>
      <c r="F14" s="41"/>
      <c r="G14" s="42">
        <v>24200</v>
      </c>
      <c r="H14" s="43">
        <f>+G14*$G$5/365*($K$5-U14)</f>
        <v>855.28767123287673</v>
      </c>
      <c r="I14" s="43">
        <v>22000</v>
      </c>
      <c r="J14" s="43">
        <f t="shared" si="0"/>
        <v>284.49315068493149</v>
      </c>
      <c r="K14" s="44">
        <f t="shared" si="6"/>
        <v>47339.780821917804</v>
      </c>
      <c r="L14" s="45">
        <f t="shared" si="1"/>
        <v>125.27692964041096</v>
      </c>
      <c r="N14" s="44">
        <v>0</v>
      </c>
      <c r="O14" s="45">
        <f t="shared" si="2"/>
        <v>0</v>
      </c>
      <c r="Q14" s="46">
        <f t="shared" si="3"/>
        <v>272287.43096714525</v>
      </c>
      <c r="R14" s="47">
        <f>+O14+L14+D14+B14</f>
        <v>507.27692964041097</v>
      </c>
      <c r="S14" s="48">
        <f t="shared" si="5"/>
        <v>1.0718767898077203E-2</v>
      </c>
      <c r="U14" s="53">
        <v>42787</v>
      </c>
      <c r="V14" s="54">
        <v>42857</v>
      </c>
    </row>
    <row r="15" spans="1:22" x14ac:dyDescent="0.25">
      <c r="A15" s="51" t="s">
        <v>26</v>
      </c>
      <c r="B15" s="38">
        <v>3477</v>
      </c>
      <c r="C15" s="39">
        <v>100000</v>
      </c>
      <c r="D15" s="52">
        <v>73</v>
      </c>
      <c r="E15" s="39">
        <v>35000</v>
      </c>
      <c r="F15" s="41"/>
      <c r="G15" s="42">
        <v>0</v>
      </c>
      <c r="H15" s="43">
        <f t="shared" si="7"/>
        <v>0</v>
      </c>
      <c r="I15" s="43">
        <v>0</v>
      </c>
      <c r="J15" s="43">
        <f t="shared" si="0"/>
        <v>0</v>
      </c>
      <c r="K15" s="44">
        <f t="shared" si="6"/>
        <v>0</v>
      </c>
      <c r="L15" s="45">
        <f>+K15/$O$24</f>
        <v>0</v>
      </c>
      <c r="N15" s="44">
        <v>0</v>
      </c>
      <c r="O15" s="45">
        <f t="shared" si="2"/>
        <v>0</v>
      </c>
      <c r="Q15" s="46">
        <f t="shared" si="3"/>
        <v>1905508.2607808826</v>
      </c>
      <c r="R15" s="47">
        <f t="shared" si="4"/>
        <v>3550</v>
      </c>
      <c r="S15" s="48">
        <f t="shared" si="5"/>
        <v>7.5011544611633341E-2</v>
      </c>
      <c r="U15" s="53"/>
      <c r="V15" s="54"/>
    </row>
    <row r="16" spans="1:22" x14ac:dyDescent="0.25">
      <c r="A16" s="51" t="s">
        <v>5</v>
      </c>
      <c r="B16" s="38">
        <v>66</v>
      </c>
      <c r="C16" s="39">
        <v>100000</v>
      </c>
      <c r="D16" s="52"/>
      <c r="E16" s="39">
        <v>0</v>
      </c>
      <c r="F16" s="41"/>
      <c r="G16" s="42">
        <v>0</v>
      </c>
      <c r="H16" s="43">
        <f t="shared" si="7"/>
        <v>0</v>
      </c>
      <c r="I16" s="43">
        <v>0</v>
      </c>
      <c r="J16" s="43">
        <f t="shared" si="0"/>
        <v>0</v>
      </c>
      <c r="K16" s="44">
        <f t="shared" si="6"/>
        <v>0</v>
      </c>
      <c r="L16" s="45">
        <f>+K16/$O$24</f>
        <v>0</v>
      </c>
      <c r="N16" s="44">
        <v>0</v>
      </c>
      <c r="O16" s="45">
        <f t="shared" si="2"/>
        <v>0</v>
      </c>
      <c r="Q16" s="46">
        <f t="shared" si="3"/>
        <v>35426.350763813592</v>
      </c>
      <c r="R16" s="47">
        <f t="shared" si="4"/>
        <v>66</v>
      </c>
      <c r="S16" s="48">
        <f t="shared" si="5"/>
        <v>1.3945808293993804E-3</v>
      </c>
      <c r="U16" s="53"/>
      <c r="V16" s="54"/>
    </row>
    <row r="17" spans="1:22" x14ac:dyDescent="0.25">
      <c r="A17" s="51" t="s">
        <v>9</v>
      </c>
      <c r="B17" s="38">
        <v>79</v>
      </c>
      <c r="C17" s="39">
        <v>50000</v>
      </c>
      <c r="D17" s="52"/>
      <c r="E17" s="39">
        <v>0</v>
      </c>
      <c r="F17" s="41"/>
      <c r="G17" s="42">
        <v>5500</v>
      </c>
      <c r="H17" s="43">
        <f t="shared" si="7"/>
        <v>326.98630136986304</v>
      </c>
      <c r="I17" s="43">
        <v>0</v>
      </c>
      <c r="J17" s="43">
        <f t="shared" si="0"/>
        <v>0</v>
      </c>
      <c r="K17" s="44">
        <f t="shared" si="6"/>
        <v>5826.9863013698632</v>
      </c>
      <c r="L17" s="45">
        <f>+K17/$L$24</f>
        <v>15.420159118150686</v>
      </c>
      <c r="N17" s="44">
        <v>0</v>
      </c>
      <c r="O17" s="45">
        <f t="shared" si="2"/>
        <v>0</v>
      </c>
      <c r="Q17" s="46">
        <f t="shared" si="3"/>
        <v>50681.237516586334</v>
      </c>
      <c r="R17" s="47">
        <f t="shared" si="4"/>
        <v>94.420159118150679</v>
      </c>
      <c r="S17" s="48">
        <f t="shared" si="5"/>
        <v>1.9950991487123035E-3</v>
      </c>
      <c r="U17" s="53">
        <v>42699</v>
      </c>
      <c r="V17" s="54"/>
    </row>
    <row r="18" spans="1:22" x14ac:dyDescent="0.25">
      <c r="A18" s="51" t="s">
        <v>27</v>
      </c>
      <c r="B18" s="38">
        <v>86</v>
      </c>
      <c r="C18" s="55">
        <v>0.86</v>
      </c>
      <c r="D18" s="52"/>
      <c r="E18" s="39">
        <v>0</v>
      </c>
      <c r="F18" s="41"/>
      <c r="G18" s="42">
        <v>11000</v>
      </c>
      <c r="H18" s="43">
        <f t="shared" si="7"/>
        <v>708.21917808219177</v>
      </c>
      <c r="I18" s="43">
        <v>10000</v>
      </c>
      <c r="J18" s="43">
        <f t="shared" si="0"/>
        <v>78.904109589041099</v>
      </c>
      <c r="K18" s="44">
        <f t="shared" si="6"/>
        <v>21787.123287671235</v>
      </c>
      <c r="L18" s="45">
        <f>+K18/$L$24</f>
        <v>57.656031857098391</v>
      </c>
      <c r="N18" s="44">
        <v>0</v>
      </c>
      <c r="O18" s="45">
        <f t="shared" si="2"/>
        <v>0</v>
      </c>
      <c r="Q18" s="46">
        <f t="shared" si="3"/>
        <v>77109.226877381006</v>
      </c>
      <c r="R18" s="47">
        <f t="shared" si="4"/>
        <v>143.65603185709838</v>
      </c>
      <c r="S18" s="48">
        <f t="shared" si="5"/>
        <v>3.0354537584166073E-3</v>
      </c>
      <c r="U18" s="53">
        <v>42681</v>
      </c>
      <c r="V18" s="54">
        <v>42880</v>
      </c>
    </row>
    <row r="19" spans="1:22" ht="15.75" thickBot="1" x14ac:dyDescent="0.3">
      <c r="A19" s="51" t="s">
        <v>40</v>
      </c>
      <c r="B19" s="38"/>
      <c r="C19" s="55"/>
      <c r="D19" s="52"/>
      <c r="E19" s="39"/>
      <c r="F19" s="41"/>
      <c r="G19" s="42"/>
      <c r="H19" s="43"/>
      <c r="I19" s="43"/>
      <c r="J19" s="43"/>
      <c r="K19" s="44"/>
      <c r="L19" s="45"/>
      <c r="N19" s="44">
        <f>1000000-SUM(N7,N10:N18)</f>
        <v>1000000</v>
      </c>
      <c r="O19" s="45">
        <f t="shared" si="2"/>
        <v>1863.0200000000002</v>
      </c>
      <c r="Q19" s="46">
        <f t="shared" si="3"/>
        <v>1000000</v>
      </c>
      <c r="R19" s="47">
        <f t="shared" si="4"/>
        <v>1863.0200000000002</v>
      </c>
      <c r="S19" s="48">
        <f t="shared" si="5"/>
        <v>3.9365636011933845E-2</v>
      </c>
      <c r="U19" s="56"/>
      <c r="V19" s="57"/>
    </row>
    <row r="20" spans="1:22" ht="15.75" thickBot="1" x14ac:dyDescent="0.3">
      <c r="A20" s="58" t="s">
        <v>13</v>
      </c>
      <c r="B20" s="59">
        <f>SUM(B7:B18)</f>
        <v>9431</v>
      </c>
      <c r="C20" s="60">
        <f>SUM(C7:C18)</f>
        <v>4619000.8600000003</v>
      </c>
      <c r="D20" s="61">
        <f>SUM(D7:D18)</f>
        <v>7941.75</v>
      </c>
      <c r="E20" s="60">
        <f t="shared" ref="E20" si="8">SUM(E7:E18)</f>
        <v>3785000</v>
      </c>
      <c r="F20" s="41"/>
      <c r="G20" s="62">
        <f t="shared" ref="G20:L20" si="9">SUM(G7:G18)</f>
        <v>875600</v>
      </c>
      <c r="H20" s="63">
        <f t="shared" si="9"/>
        <v>50546.95890410959</v>
      </c>
      <c r="I20" s="63">
        <f t="shared" si="9"/>
        <v>1100000</v>
      </c>
      <c r="J20" s="60">
        <f t="shared" si="9"/>
        <v>17471.123287671235</v>
      </c>
      <c r="K20" s="64">
        <f t="shared" si="9"/>
        <v>2043618.0821917809</v>
      </c>
      <c r="L20" s="65">
        <f t="shared" si="9"/>
        <v>5408.0985219956419</v>
      </c>
      <c r="N20" s="64">
        <f>SUM(N7:N19)</f>
        <v>10000000</v>
      </c>
      <c r="O20" s="66">
        <f>SUM(O7:O19)</f>
        <v>18630.2</v>
      </c>
      <c r="Q20" s="67">
        <f t="shared" si="3"/>
        <v>22227914.09753821</v>
      </c>
      <c r="R20" s="68">
        <f>SUM(R7:R19)</f>
        <v>41411.048521995639</v>
      </c>
      <c r="S20" s="69">
        <f t="shared" si="5"/>
        <v>0.8750159756682222</v>
      </c>
      <c r="U20"/>
      <c r="V20"/>
    </row>
    <row r="21" spans="1:22" x14ac:dyDescent="0.25">
      <c r="A21" s="70" t="s">
        <v>42</v>
      </c>
      <c r="B21" s="71"/>
      <c r="C21" s="72"/>
      <c r="D21" s="73">
        <v>3550</v>
      </c>
      <c r="E21" s="74">
        <f>+D21*$E$24</f>
        <v>1262970.875245569</v>
      </c>
      <c r="G21" s="75"/>
      <c r="H21" s="76"/>
      <c r="I21" s="76"/>
      <c r="J21" s="77"/>
      <c r="K21" s="75"/>
      <c r="L21" s="77"/>
      <c r="M21" s="76"/>
      <c r="N21" s="75"/>
      <c r="O21" s="78"/>
      <c r="Q21" s="46">
        <f t="shared" si="3"/>
        <v>1905508.2607808826</v>
      </c>
      <c r="R21" s="47">
        <f>+O21+L21+D21+B21</f>
        <v>3550</v>
      </c>
      <c r="S21" s="48">
        <f t="shared" si="5"/>
        <v>7.5011544611633341E-2</v>
      </c>
      <c r="U21"/>
      <c r="V21"/>
    </row>
    <row r="22" spans="1:22" ht="15.75" thickBot="1" x14ac:dyDescent="0.3">
      <c r="A22" s="70" t="s">
        <v>18</v>
      </c>
      <c r="B22" s="71"/>
      <c r="C22" s="72"/>
      <c r="D22" s="73">
        <v>2365</v>
      </c>
      <c r="E22" s="74">
        <f>+D22*$E$24</f>
        <v>841387.6394241607</v>
      </c>
      <c r="G22" s="75"/>
      <c r="H22" s="76"/>
      <c r="I22" s="76"/>
      <c r="J22" s="77"/>
      <c r="K22" s="75"/>
      <c r="L22" s="77"/>
      <c r="M22" s="76"/>
      <c r="N22" s="75"/>
      <c r="O22" s="78"/>
      <c r="Q22" s="46">
        <f t="shared" si="3"/>
        <v>1269444.2357033202</v>
      </c>
      <c r="R22" s="47">
        <f>+O22+L22+D22+B22</f>
        <v>2365</v>
      </c>
      <c r="S22" s="48">
        <f t="shared" si="5"/>
        <v>4.9972479720144465E-2</v>
      </c>
      <c r="U22"/>
      <c r="V22"/>
    </row>
    <row r="23" spans="1:22" ht="15.75" thickBot="1" x14ac:dyDescent="0.3">
      <c r="A23" s="79" t="s">
        <v>2</v>
      </c>
      <c r="B23" s="80"/>
      <c r="C23" s="81"/>
      <c r="D23" s="82">
        <f>+B20+D20+D21+D22</f>
        <v>23287.75</v>
      </c>
      <c r="E23" s="83">
        <f>+E20+E21+E22</f>
        <v>5889358.5146697303</v>
      </c>
      <c r="F23" s="41"/>
      <c r="G23" s="84"/>
      <c r="H23" s="85"/>
      <c r="I23" s="85"/>
      <c r="J23" s="86"/>
      <c r="K23" s="84"/>
      <c r="L23" s="86"/>
      <c r="M23" s="76"/>
      <c r="N23" s="84"/>
      <c r="O23" s="87"/>
      <c r="Q23" s="118">
        <f>SUM(Q7:Q19,Q21:Q22)</f>
        <v>25402866.594022408</v>
      </c>
      <c r="R23" s="119">
        <f>SUM(R7:R19,R21:R22)</f>
        <v>47326.048521995639</v>
      </c>
      <c r="S23" s="120">
        <f>SUM(S7:S19,S21:S22)</f>
        <v>1.0000000000000002</v>
      </c>
      <c r="U23"/>
      <c r="V23"/>
    </row>
    <row r="24" spans="1:22" ht="15.75" thickBot="1" x14ac:dyDescent="0.3">
      <c r="A24" s="58" t="s">
        <v>30</v>
      </c>
      <c r="B24" s="88">
        <f>+B25/B20</f>
        <v>477.14982504506418</v>
      </c>
      <c r="C24" s="89" t="s">
        <v>41</v>
      </c>
      <c r="D24" s="90" t="s">
        <v>41</v>
      </c>
      <c r="E24" s="91">
        <f>+E25/D23</f>
        <v>355.76644373114618</v>
      </c>
      <c r="G24" s="92"/>
      <c r="H24" s="93"/>
      <c r="I24" s="93"/>
      <c r="J24" s="94"/>
      <c r="K24" s="92"/>
      <c r="L24" s="91">
        <f>+L25/D23</f>
        <v>377.88107481401164</v>
      </c>
      <c r="N24" s="92"/>
      <c r="O24" s="91">
        <f>+O25/D23</f>
        <v>536.76289036081198</v>
      </c>
      <c r="Q24" s="92"/>
      <c r="R24" s="95">
        <f>+R25/R23</f>
        <v>536.76289036081187</v>
      </c>
      <c r="S24" s="94"/>
      <c r="T24" s="96"/>
      <c r="U24"/>
      <c r="V24"/>
    </row>
    <row r="25" spans="1:22" ht="15.75" thickBot="1" x14ac:dyDescent="0.3">
      <c r="A25" s="97" t="s">
        <v>51</v>
      </c>
      <c r="B25" s="98">
        <v>4500000</v>
      </c>
      <c r="C25" s="99" t="s">
        <v>41</v>
      </c>
      <c r="D25" s="100" t="s">
        <v>41</v>
      </c>
      <c r="E25" s="101">
        <v>8285000</v>
      </c>
      <c r="G25" s="102"/>
      <c r="H25" s="103"/>
      <c r="I25" s="103"/>
      <c r="J25" s="104"/>
      <c r="K25" s="102"/>
      <c r="L25" s="105">
        <v>8800000</v>
      </c>
      <c r="N25" s="106"/>
      <c r="O25" s="107">
        <v>12500000</v>
      </c>
      <c r="Q25" s="108"/>
      <c r="R25" s="109">
        <f>Q23</f>
        <v>25402866.594022408</v>
      </c>
      <c r="S25" s="110"/>
      <c r="U25"/>
      <c r="V25"/>
    </row>
    <row r="26" spans="1:22" x14ac:dyDescent="0.25">
      <c r="B26" s="111">
        <f>+C14+E14+G14+I14</f>
        <v>285200</v>
      </c>
      <c r="C26" s="111"/>
    </row>
    <row r="27" spans="1:22" x14ac:dyDescent="0.25">
      <c r="A27" s="1" t="s">
        <v>43</v>
      </c>
      <c r="C27" s="111"/>
    </row>
    <row r="28" spans="1:22" x14ac:dyDescent="0.25">
      <c r="A28" s="112" t="s">
        <v>44</v>
      </c>
      <c r="C28" s="111"/>
    </row>
    <row r="29" spans="1:22" x14ac:dyDescent="0.25">
      <c r="A29" s="113" t="s">
        <v>45</v>
      </c>
      <c r="C29" s="111"/>
    </row>
    <row r="30" spans="1:22" x14ac:dyDescent="0.25">
      <c r="B30" s="114"/>
    </row>
    <row r="31" spans="1:22" x14ac:dyDescent="0.25">
      <c r="A31" s="1" t="s">
        <v>31</v>
      </c>
      <c r="R31" s="115"/>
    </row>
    <row r="32" spans="1:22" x14ac:dyDescent="0.25">
      <c r="A32" s="116" t="s">
        <v>34</v>
      </c>
    </row>
    <row r="33" spans="1:1" x14ac:dyDescent="0.25">
      <c r="A33" s="116" t="s">
        <v>35</v>
      </c>
    </row>
    <row r="34" spans="1:1" x14ac:dyDescent="0.25">
      <c r="A34" s="116" t="s">
        <v>36</v>
      </c>
    </row>
    <row r="35" spans="1:1" x14ac:dyDescent="0.25">
      <c r="A35" s="116" t="s">
        <v>37</v>
      </c>
    </row>
    <row r="36" spans="1:1" x14ac:dyDescent="0.25">
      <c r="A36" s="117" t="s">
        <v>38</v>
      </c>
    </row>
    <row r="37" spans="1:1" x14ac:dyDescent="0.25">
      <c r="A37" s="117" t="s">
        <v>32</v>
      </c>
    </row>
    <row r="38" spans="1:1" x14ac:dyDescent="0.25">
      <c r="A38" s="117" t="s">
        <v>33</v>
      </c>
    </row>
    <row r="39" spans="1:1" x14ac:dyDescent="0.25">
      <c r="A39" s="117" t="s">
        <v>56</v>
      </c>
    </row>
    <row r="40" spans="1:1" x14ac:dyDescent="0.25">
      <c r="A40" s="117" t="s">
        <v>57</v>
      </c>
    </row>
    <row r="41" spans="1:1" x14ac:dyDescent="0.25">
      <c r="A41" s="117" t="s">
        <v>58</v>
      </c>
    </row>
    <row r="42" spans="1:1" x14ac:dyDescent="0.25">
      <c r="A42" s="117" t="s">
        <v>59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TGH 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bdunphy</dc:creator>
  <cp:lastModifiedBy>Mahesh</cp:lastModifiedBy>
  <dcterms:created xsi:type="dcterms:W3CDTF">2017-06-19T04:04:18Z</dcterms:created>
  <dcterms:modified xsi:type="dcterms:W3CDTF">2020-08-16T09:33:10Z</dcterms:modified>
</cp:coreProperties>
</file>